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minimized="1" xWindow="40" yWindow="0" windowWidth="24640" windowHeight="15600" activeTab="2"/>
  </bookViews>
  <sheets>
    <sheet name="RRSP (Deduction)" sheetId="1" r:id="rId1"/>
    <sheet name="Interest Inc (Income)" sheetId="3" r:id="rId2"/>
    <sheet name="Dividend Inc" sheetId="19" r:id="rId3"/>
    <sheet name="Foreign Investment Inc" sheetId="25" r:id="rId4"/>
    <sheet name="Old Age Security Pension" sheetId="26" r:id="rId5"/>
  </sheets>
  <calcPr calcId="140001" iterate="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9" l="1"/>
  <c r="B91" i="19"/>
  <c r="J44" i="3"/>
  <c r="F39" i="3"/>
  <c r="G39" i="3"/>
  <c r="H39" i="3"/>
  <c r="I39" i="3"/>
  <c r="J39" i="3"/>
  <c r="K39" i="3"/>
  <c r="L39" i="3"/>
  <c r="M39" i="3"/>
  <c r="N39" i="3"/>
  <c r="O39" i="3"/>
  <c r="P39" i="3"/>
  <c r="Q39" i="3"/>
  <c r="F40" i="3"/>
  <c r="G40" i="3"/>
  <c r="H40" i="3"/>
  <c r="I40" i="3"/>
  <c r="J40" i="3"/>
  <c r="K40" i="3"/>
  <c r="L40" i="3"/>
  <c r="M40" i="3"/>
  <c r="N40" i="3"/>
  <c r="O40" i="3"/>
  <c r="Q40" i="3"/>
  <c r="F41" i="3"/>
  <c r="G41" i="3"/>
  <c r="H41" i="3"/>
  <c r="I41" i="3"/>
  <c r="J41" i="3"/>
  <c r="K41" i="3"/>
  <c r="L41" i="3"/>
  <c r="M41" i="3"/>
  <c r="N41" i="3"/>
  <c r="Q41" i="3"/>
  <c r="F42" i="3"/>
  <c r="G42" i="3"/>
  <c r="H42" i="3"/>
  <c r="I42" i="3"/>
  <c r="J42" i="3"/>
  <c r="K42" i="3"/>
  <c r="L42" i="3"/>
  <c r="M42" i="3"/>
  <c r="Q42" i="3"/>
  <c r="F43" i="3"/>
  <c r="G43" i="3"/>
  <c r="H43" i="3"/>
  <c r="I43" i="3"/>
  <c r="J43" i="3"/>
  <c r="K43" i="3"/>
  <c r="L43" i="3"/>
  <c r="Q43" i="3"/>
  <c r="F44" i="3"/>
  <c r="G44" i="3"/>
  <c r="H44" i="3"/>
  <c r="I44" i="3"/>
  <c r="K44" i="3"/>
  <c r="Q44" i="3"/>
  <c r="F45" i="3"/>
  <c r="G45" i="3"/>
  <c r="H45" i="3"/>
  <c r="I45" i="3"/>
  <c r="J45" i="3"/>
  <c r="Q45" i="3"/>
  <c r="F46" i="3"/>
  <c r="G46" i="3"/>
  <c r="H46" i="3"/>
  <c r="I46" i="3"/>
  <c r="Q46" i="3"/>
  <c r="F47" i="3"/>
  <c r="G47" i="3"/>
  <c r="H47" i="3"/>
  <c r="Q47" i="3"/>
  <c r="F48" i="3"/>
  <c r="G48" i="3"/>
  <c r="Q48" i="3"/>
  <c r="F49" i="3"/>
  <c r="Q49" i="3"/>
  <c r="Q50" i="3"/>
  <c r="B92" i="3"/>
  <c r="K45" i="1"/>
  <c r="L45" i="1"/>
  <c r="M45" i="1"/>
  <c r="N45" i="1"/>
  <c r="O45" i="1"/>
  <c r="P45" i="1"/>
  <c r="Q45" i="1"/>
  <c r="P40" i="1"/>
  <c r="Q40" i="1"/>
  <c r="O41" i="1"/>
  <c r="P41" i="1"/>
  <c r="Q41" i="1"/>
  <c r="N42" i="1"/>
  <c r="O42" i="1"/>
  <c r="P42" i="1"/>
  <c r="Q42" i="1"/>
  <c r="M43" i="1"/>
  <c r="N43" i="1"/>
  <c r="O43" i="1"/>
  <c r="P43" i="1"/>
  <c r="Q43" i="1"/>
  <c r="L44" i="1"/>
  <c r="M44" i="1"/>
  <c r="N44" i="1"/>
  <c r="O44" i="1"/>
  <c r="P44" i="1"/>
  <c r="Q44" i="1"/>
  <c r="J46" i="1"/>
  <c r="K46" i="1"/>
  <c r="L46" i="1"/>
  <c r="M46" i="1"/>
  <c r="N46" i="1"/>
  <c r="O46" i="1"/>
  <c r="P46" i="1"/>
  <c r="Q46" i="1"/>
  <c r="I47" i="1"/>
  <c r="J47" i="1"/>
  <c r="K47" i="1"/>
  <c r="L47" i="1"/>
  <c r="M47" i="1"/>
  <c r="N47" i="1"/>
  <c r="O47" i="1"/>
  <c r="P47" i="1"/>
  <c r="Q47" i="1"/>
  <c r="H48" i="1"/>
  <c r="I48" i="1"/>
  <c r="J48" i="1"/>
  <c r="K48" i="1"/>
  <c r="L48" i="1"/>
  <c r="M48" i="1"/>
  <c r="N48" i="1"/>
  <c r="O48" i="1"/>
  <c r="P48" i="1"/>
  <c r="Q48" i="1"/>
  <c r="G49" i="1"/>
  <c r="H49" i="1"/>
  <c r="I49" i="1"/>
  <c r="J49" i="1"/>
  <c r="K49" i="1"/>
  <c r="L49" i="1"/>
  <c r="M49" i="1"/>
  <c r="N49" i="1"/>
  <c r="O49" i="1"/>
  <c r="P49" i="1"/>
  <c r="Q49" i="1"/>
  <c r="F50" i="1"/>
  <c r="G50" i="1"/>
  <c r="H50" i="1"/>
  <c r="I50" i="1"/>
  <c r="J50" i="1"/>
  <c r="K50" i="1"/>
  <c r="L50" i="1"/>
  <c r="M50" i="1"/>
  <c r="N50" i="1"/>
  <c r="O50" i="1"/>
  <c r="P50" i="1"/>
  <c r="Q50" i="1"/>
  <c r="Q51" i="1"/>
  <c r="B89" i="1"/>
  <c r="K66" i="3"/>
  <c r="J60" i="3"/>
  <c r="K60" i="3"/>
  <c r="J61" i="3"/>
  <c r="K61" i="3"/>
  <c r="J62" i="3"/>
  <c r="K62" i="3"/>
  <c r="J63" i="3"/>
  <c r="K63" i="3"/>
  <c r="J64" i="3"/>
  <c r="K64" i="3"/>
  <c r="K65" i="3"/>
  <c r="K67" i="3"/>
  <c r="B65" i="3"/>
  <c r="B62" i="3"/>
  <c r="B63" i="3"/>
  <c r="B67" i="3"/>
  <c r="J72" i="3"/>
  <c r="K72" i="3"/>
  <c r="J73" i="3"/>
  <c r="K73" i="3"/>
  <c r="J74" i="3"/>
  <c r="K74" i="3"/>
  <c r="J75" i="3"/>
  <c r="K75" i="3"/>
  <c r="J76" i="3"/>
  <c r="K76" i="3"/>
  <c r="K77" i="3"/>
  <c r="K78" i="3"/>
  <c r="K79" i="3"/>
  <c r="C65" i="3"/>
  <c r="C62" i="3"/>
  <c r="C63" i="3"/>
  <c r="C67" i="3"/>
  <c r="B69" i="3"/>
  <c r="J68" i="1"/>
  <c r="K68" i="1"/>
  <c r="J69" i="1"/>
  <c r="K69" i="1"/>
  <c r="J70" i="1"/>
  <c r="K70" i="1"/>
  <c r="J71" i="1"/>
  <c r="K71" i="1"/>
  <c r="J72" i="1"/>
  <c r="K72" i="1"/>
  <c r="K73" i="1"/>
  <c r="K74" i="1"/>
  <c r="K75" i="1"/>
  <c r="K62" i="1"/>
  <c r="J57" i="1"/>
  <c r="I57" i="1"/>
  <c r="K57" i="1"/>
  <c r="J56" i="1"/>
  <c r="K56" i="1"/>
  <c r="J58" i="1"/>
  <c r="K58" i="1"/>
  <c r="J59" i="1"/>
  <c r="K59" i="1"/>
  <c r="J60" i="1"/>
  <c r="K60" i="1"/>
  <c r="K61" i="1"/>
  <c r="K63" i="1"/>
  <c r="B58" i="1"/>
  <c r="B59" i="1"/>
  <c r="B61" i="1"/>
  <c r="B63" i="1"/>
  <c r="C61" i="1"/>
  <c r="C58" i="1"/>
  <c r="C59" i="1"/>
  <c r="C63" i="1"/>
  <c r="B65" i="1"/>
  <c r="B88" i="1"/>
  <c r="B85" i="3"/>
  <c r="B103" i="19"/>
  <c r="B104" i="19"/>
  <c r="B121" i="19"/>
  <c r="B96" i="19"/>
  <c r="B86" i="19"/>
  <c r="B92" i="19"/>
  <c r="B97" i="19"/>
  <c r="B82" i="1"/>
  <c r="C34" i="26"/>
  <c r="B32" i="26"/>
  <c r="B31" i="26"/>
  <c r="B30" i="26"/>
  <c r="B29" i="26"/>
  <c r="B22" i="26"/>
  <c r="B21" i="26"/>
  <c r="B20" i="26"/>
  <c r="B19" i="26"/>
  <c r="C34" i="25"/>
  <c r="B32" i="25"/>
  <c r="B31" i="25"/>
  <c r="B30" i="25"/>
  <c r="B29" i="25"/>
  <c r="B22" i="25"/>
  <c r="B21" i="25"/>
  <c r="B20" i="25"/>
  <c r="B19" i="25"/>
  <c r="C38" i="19"/>
  <c r="B36" i="19"/>
  <c r="B35" i="19"/>
  <c r="B34" i="19"/>
  <c r="B33" i="19"/>
  <c r="B26" i="19"/>
  <c r="B25" i="19"/>
  <c r="B24" i="19"/>
  <c r="B23" i="19"/>
  <c r="C34" i="3"/>
  <c r="B32" i="3"/>
  <c r="B31" i="3"/>
  <c r="B30" i="3"/>
  <c r="B29" i="3"/>
  <c r="B22" i="3"/>
  <c r="B21" i="3"/>
  <c r="B20" i="3"/>
  <c r="B19" i="3"/>
  <c r="B33" i="1"/>
  <c r="B32" i="1"/>
  <c r="B31" i="1"/>
  <c r="B30" i="1"/>
  <c r="B23" i="1"/>
  <c r="B22" i="1"/>
  <c r="B21" i="1"/>
  <c r="B20" i="1"/>
  <c r="J74" i="1"/>
  <c r="I74" i="1"/>
  <c r="I62" i="1"/>
  <c r="J62" i="1"/>
  <c r="H72" i="1"/>
  <c r="H71" i="1"/>
  <c r="H70" i="1"/>
  <c r="H69" i="1"/>
  <c r="H68" i="1"/>
  <c r="G71" i="1"/>
  <c r="F72" i="1"/>
  <c r="G70" i="1"/>
  <c r="F71" i="1"/>
  <c r="G69" i="1"/>
  <c r="F70" i="1"/>
  <c r="G68" i="1"/>
  <c r="I69" i="1"/>
  <c r="H60" i="1"/>
  <c r="H59" i="1"/>
  <c r="H58" i="1"/>
  <c r="H57" i="1"/>
  <c r="H56" i="1"/>
  <c r="G59" i="1"/>
  <c r="F60" i="1"/>
  <c r="G58" i="1"/>
  <c r="F59" i="1"/>
  <c r="G57" i="1"/>
  <c r="F58" i="1"/>
  <c r="G56" i="1"/>
  <c r="F57" i="1"/>
  <c r="F69" i="1"/>
  <c r="I58" i="1"/>
  <c r="I59" i="1"/>
  <c r="I60" i="1"/>
  <c r="J72" i="26"/>
  <c r="I72" i="26"/>
  <c r="H70" i="26"/>
  <c r="H69" i="26"/>
  <c r="G69" i="26"/>
  <c r="F70" i="26"/>
  <c r="H68" i="26"/>
  <c r="G68" i="26"/>
  <c r="F69" i="26"/>
  <c r="H67" i="26"/>
  <c r="G67" i="26"/>
  <c r="F68" i="26"/>
  <c r="H66" i="26"/>
  <c r="G66" i="26"/>
  <c r="J60" i="26"/>
  <c r="I60" i="26"/>
  <c r="H58" i="26"/>
  <c r="H57" i="26"/>
  <c r="G57" i="26"/>
  <c r="H56" i="26"/>
  <c r="G56" i="26"/>
  <c r="F57" i="26"/>
  <c r="H55" i="26"/>
  <c r="G55" i="26"/>
  <c r="F56" i="26"/>
  <c r="H54" i="26"/>
  <c r="G54" i="26"/>
  <c r="F55" i="26"/>
  <c r="J56" i="26"/>
  <c r="K56" i="26"/>
  <c r="I67" i="26"/>
  <c r="I70" i="1"/>
  <c r="I71" i="1"/>
  <c r="I72" i="1"/>
  <c r="J54" i="26"/>
  <c r="K54" i="26"/>
  <c r="K60" i="26"/>
  <c r="J55" i="26"/>
  <c r="I55" i="26"/>
  <c r="J57" i="26"/>
  <c r="K57" i="26"/>
  <c r="F67" i="26"/>
  <c r="F58" i="26"/>
  <c r="J58" i="26"/>
  <c r="K58" i="26"/>
  <c r="I56" i="26"/>
  <c r="I57" i="26"/>
  <c r="I58" i="26"/>
  <c r="J72" i="25"/>
  <c r="I72" i="25"/>
  <c r="H70" i="25"/>
  <c r="H69" i="25"/>
  <c r="G69" i="25"/>
  <c r="F70" i="25"/>
  <c r="H68" i="25"/>
  <c r="G68" i="25"/>
  <c r="F69" i="25"/>
  <c r="H67" i="25"/>
  <c r="G67" i="25"/>
  <c r="F68" i="25"/>
  <c r="H66" i="25"/>
  <c r="G66" i="25"/>
  <c r="I67" i="25"/>
  <c r="J60" i="25"/>
  <c r="I60" i="25"/>
  <c r="H58" i="25"/>
  <c r="H57" i="25"/>
  <c r="G57" i="25"/>
  <c r="F58" i="25"/>
  <c r="J58" i="25"/>
  <c r="H56" i="25"/>
  <c r="G56" i="25"/>
  <c r="F57" i="25"/>
  <c r="H55" i="25"/>
  <c r="G55" i="25"/>
  <c r="F56" i="25"/>
  <c r="H54" i="25"/>
  <c r="G54" i="25"/>
  <c r="K60" i="25"/>
  <c r="I55" i="25"/>
  <c r="I68" i="26"/>
  <c r="I69" i="26"/>
  <c r="I70" i="26"/>
  <c r="K55" i="26"/>
  <c r="K59" i="26"/>
  <c r="K61" i="26"/>
  <c r="B59" i="26"/>
  <c r="J57" i="25"/>
  <c r="K57" i="25"/>
  <c r="J54" i="25"/>
  <c r="K54" i="25"/>
  <c r="J56" i="25"/>
  <c r="K56" i="25"/>
  <c r="K58" i="25"/>
  <c r="F55" i="25"/>
  <c r="F67" i="25"/>
  <c r="J76" i="19"/>
  <c r="I76" i="19"/>
  <c r="H74" i="19"/>
  <c r="H73" i="19"/>
  <c r="G73" i="19"/>
  <c r="F74" i="19"/>
  <c r="J74" i="19"/>
  <c r="H72" i="19"/>
  <c r="G72" i="19"/>
  <c r="F73" i="19"/>
  <c r="H71" i="19"/>
  <c r="G71" i="19"/>
  <c r="H70" i="19"/>
  <c r="G70" i="19"/>
  <c r="J64" i="19"/>
  <c r="I64" i="19"/>
  <c r="H62" i="19"/>
  <c r="H61" i="19"/>
  <c r="G61" i="19"/>
  <c r="H60" i="19"/>
  <c r="G60" i="19"/>
  <c r="F61" i="19"/>
  <c r="H59" i="19"/>
  <c r="G59" i="19"/>
  <c r="F60" i="19"/>
  <c r="H58" i="19"/>
  <c r="G58" i="19"/>
  <c r="F59" i="19"/>
  <c r="I71" i="19"/>
  <c r="B56" i="26"/>
  <c r="B57" i="26"/>
  <c r="B61" i="26"/>
  <c r="J55" i="25"/>
  <c r="K55" i="25"/>
  <c r="K59" i="25"/>
  <c r="K61" i="25"/>
  <c r="B56" i="25"/>
  <c r="I56" i="25"/>
  <c r="I57" i="25"/>
  <c r="I58" i="25"/>
  <c r="K64" i="19"/>
  <c r="J73" i="19"/>
  <c r="K73" i="19"/>
  <c r="K76" i="19"/>
  <c r="I68" i="25"/>
  <c r="I69" i="25"/>
  <c r="I70" i="25"/>
  <c r="J59" i="19"/>
  <c r="K59" i="19"/>
  <c r="J61" i="19"/>
  <c r="K61" i="19"/>
  <c r="J60" i="19"/>
  <c r="K60" i="19"/>
  <c r="J58" i="19"/>
  <c r="K58" i="19"/>
  <c r="K74" i="19"/>
  <c r="F71" i="19"/>
  <c r="I59" i="19"/>
  <c r="I60" i="19"/>
  <c r="I61" i="19"/>
  <c r="I62" i="19"/>
  <c r="F72" i="19"/>
  <c r="F62" i="19"/>
  <c r="J78" i="3"/>
  <c r="J66" i="3"/>
  <c r="H76" i="3"/>
  <c r="H75" i="3"/>
  <c r="H74" i="3"/>
  <c r="H73" i="3"/>
  <c r="H72" i="3"/>
  <c r="H64" i="3"/>
  <c r="H63" i="3"/>
  <c r="H62" i="3"/>
  <c r="H61" i="3"/>
  <c r="H60" i="3"/>
  <c r="I78" i="3"/>
  <c r="I66" i="3"/>
  <c r="G75" i="3"/>
  <c r="G74" i="3"/>
  <c r="G73" i="3"/>
  <c r="G72" i="3"/>
  <c r="G63" i="3"/>
  <c r="G62" i="3"/>
  <c r="G61" i="3"/>
  <c r="G60" i="3"/>
  <c r="J72" i="19"/>
  <c r="K72" i="19"/>
  <c r="J62" i="19"/>
  <c r="K62" i="19"/>
  <c r="K63" i="19"/>
  <c r="K65" i="19"/>
  <c r="B60" i="19"/>
  <c r="B61" i="19"/>
  <c r="J71" i="19"/>
  <c r="K71" i="19"/>
  <c r="I72" i="19"/>
  <c r="I73" i="19"/>
  <c r="I74" i="19"/>
  <c r="F76" i="3"/>
  <c r="F75" i="3"/>
  <c r="F74" i="3"/>
  <c r="F73" i="3"/>
  <c r="I73" i="3"/>
  <c r="F63" i="3"/>
  <c r="F62" i="3"/>
  <c r="F61" i="3"/>
  <c r="I61" i="3"/>
  <c r="B63" i="19"/>
  <c r="B65" i="19"/>
  <c r="F64" i="3"/>
  <c r="I62" i="3"/>
  <c r="I63" i="3"/>
  <c r="I64" i="3"/>
  <c r="I74" i="3"/>
  <c r="I75" i="3"/>
  <c r="I76" i="3"/>
  <c r="B91" i="26"/>
  <c r="B89" i="26"/>
  <c r="P39" i="26"/>
  <c r="O39" i="26"/>
  <c r="N39" i="26"/>
  <c r="M39" i="26"/>
  <c r="L39" i="26"/>
  <c r="B41" i="26"/>
  <c r="K41" i="26"/>
  <c r="K39" i="26"/>
  <c r="J39" i="26"/>
  <c r="I39" i="26"/>
  <c r="H41" i="26"/>
  <c r="H39" i="26"/>
  <c r="G39" i="26"/>
  <c r="F39" i="26"/>
  <c r="B81" i="26"/>
  <c r="B80" i="26"/>
  <c r="B49" i="26"/>
  <c r="B48" i="26"/>
  <c r="F48" i="26"/>
  <c r="B47" i="26"/>
  <c r="B46" i="26"/>
  <c r="G46" i="26"/>
  <c r="B45" i="26"/>
  <c r="F45" i="26"/>
  <c r="B44" i="26"/>
  <c r="K44" i="26"/>
  <c r="B43" i="26"/>
  <c r="J43" i="26"/>
  <c r="B42" i="26"/>
  <c r="L42" i="26"/>
  <c r="N41" i="26"/>
  <c r="B40" i="26"/>
  <c r="K40" i="26"/>
  <c r="B35" i="26"/>
  <c r="B36" i="26"/>
  <c r="H46" i="26"/>
  <c r="K42" i="26"/>
  <c r="F46" i="26"/>
  <c r="H42" i="26"/>
  <c r="L43" i="26"/>
  <c r="F42" i="26"/>
  <c r="G43" i="26"/>
  <c r="H43" i="26"/>
  <c r="K43" i="26"/>
  <c r="M42" i="26"/>
  <c r="F43" i="26"/>
  <c r="H45" i="26"/>
  <c r="G45" i="26"/>
  <c r="I45" i="26"/>
  <c r="J45" i="26"/>
  <c r="Q45" i="26"/>
  <c r="I40" i="26"/>
  <c r="I44" i="26"/>
  <c r="J40" i="26"/>
  <c r="J44" i="26"/>
  <c r="G40" i="26"/>
  <c r="G44" i="26"/>
  <c r="G48" i="26"/>
  <c r="I41" i="26"/>
  <c r="J41" i="26"/>
  <c r="L40" i="26"/>
  <c r="O40" i="26"/>
  <c r="F40" i="26"/>
  <c r="F44" i="26"/>
  <c r="G41" i="26"/>
  <c r="I42" i="26"/>
  <c r="I46" i="26"/>
  <c r="J42" i="26"/>
  <c r="L41" i="26"/>
  <c r="M40" i="26"/>
  <c r="N40" i="26"/>
  <c r="F41" i="26"/>
  <c r="F49" i="26"/>
  <c r="Q49" i="26"/>
  <c r="G42" i="26"/>
  <c r="H40" i="26"/>
  <c r="H44" i="26"/>
  <c r="I43" i="26"/>
  <c r="M41" i="26"/>
  <c r="B91" i="3"/>
  <c r="Q39" i="26"/>
  <c r="B82" i="26"/>
  <c r="C35" i="26"/>
  <c r="C36" i="26"/>
  <c r="Q48" i="26"/>
  <c r="B98" i="25"/>
  <c r="B82" i="25"/>
  <c r="Q46" i="26"/>
  <c r="Q44" i="26"/>
  <c r="Q43" i="26"/>
  <c r="B97" i="26"/>
  <c r="B104" i="26"/>
  <c r="K72" i="26"/>
  <c r="J67" i="26"/>
  <c r="K67" i="26"/>
  <c r="J70" i="26"/>
  <c r="K70" i="26"/>
  <c r="J66" i="26"/>
  <c r="K66" i="26"/>
  <c r="J69" i="26"/>
  <c r="K69" i="26"/>
  <c r="J68" i="26"/>
  <c r="K68" i="26"/>
  <c r="B94" i="26"/>
  <c r="B93" i="26"/>
  <c r="B88" i="26"/>
  <c r="B102" i="26"/>
  <c r="H47" i="26"/>
  <c r="F47" i="26"/>
  <c r="B90" i="26"/>
  <c r="G47" i="26"/>
  <c r="Q41" i="26"/>
  <c r="Q40" i="26"/>
  <c r="Q42" i="26"/>
  <c r="H111" i="25"/>
  <c r="J111" i="25"/>
  <c r="G109" i="25"/>
  <c r="G108" i="25"/>
  <c r="F108" i="25"/>
  <c r="G107" i="25"/>
  <c r="F107" i="25"/>
  <c r="G106" i="25"/>
  <c r="F106" i="25"/>
  <c r="E107" i="25"/>
  <c r="G105" i="25"/>
  <c r="F105" i="25"/>
  <c r="E106" i="25"/>
  <c r="B112" i="25"/>
  <c r="B88" i="25"/>
  <c r="H87" i="25"/>
  <c r="B87" i="25"/>
  <c r="G85" i="25"/>
  <c r="G84" i="25"/>
  <c r="F84" i="25"/>
  <c r="E85" i="25"/>
  <c r="G83" i="25"/>
  <c r="F83" i="25"/>
  <c r="G82" i="25"/>
  <c r="F82" i="25"/>
  <c r="E83" i="25"/>
  <c r="G81" i="25"/>
  <c r="F81" i="25"/>
  <c r="B81" i="25"/>
  <c r="B80" i="25"/>
  <c r="B49" i="25"/>
  <c r="F49" i="25"/>
  <c r="Q49" i="25"/>
  <c r="B48" i="25"/>
  <c r="G48" i="25"/>
  <c r="B47" i="25"/>
  <c r="F47" i="25"/>
  <c r="B46" i="25"/>
  <c r="B45" i="25"/>
  <c r="B44" i="25"/>
  <c r="B43" i="25"/>
  <c r="B42" i="25"/>
  <c r="J42" i="25"/>
  <c r="B41" i="25"/>
  <c r="M41" i="25"/>
  <c r="B40" i="25"/>
  <c r="B35" i="25"/>
  <c r="B36" i="25"/>
  <c r="Q47" i="26"/>
  <c r="Q50" i="26"/>
  <c r="B96" i="26"/>
  <c r="K71" i="26"/>
  <c r="K73" i="26"/>
  <c r="M40" i="25"/>
  <c r="H40" i="25"/>
  <c r="H82" i="25"/>
  <c r="E82" i="25"/>
  <c r="L40" i="25"/>
  <c r="F40" i="25"/>
  <c r="N40" i="25"/>
  <c r="G40" i="25"/>
  <c r="K40" i="25"/>
  <c r="J41" i="25"/>
  <c r="L42" i="25"/>
  <c r="C35" i="25"/>
  <c r="F41" i="25"/>
  <c r="K41" i="25"/>
  <c r="G42" i="25"/>
  <c r="F48" i="25"/>
  <c r="Q48" i="25"/>
  <c r="G41" i="25"/>
  <c r="L41" i="25"/>
  <c r="H42" i="25"/>
  <c r="G47" i="25"/>
  <c r="J40" i="25"/>
  <c r="O40" i="25"/>
  <c r="H41" i="25"/>
  <c r="N41" i="25"/>
  <c r="K42" i="25"/>
  <c r="H47" i="25"/>
  <c r="L43" i="25"/>
  <c r="H43" i="25"/>
  <c r="K43" i="25"/>
  <c r="G43" i="25"/>
  <c r="H46" i="25"/>
  <c r="G46" i="25"/>
  <c r="F43" i="25"/>
  <c r="K44" i="25"/>
  <c r="G44" i="25"/>
  <c r="J44" i="25"/>
  <c r="F44" i="25"/>
  <c r="G45" i="25"/>
  <c r="J45" i="25"/>
  <c r="F45" i="25"/>
  <c r="F46" i="25"/>
  <c r="I43" i="25"/>
  <c r="H44" i="25"/>
  <c r="H45" i="25"/>
  <c r="I46" i="25"/>
  <c r="E84" i="25"/>
  <c r="J43" i="25"/>
  <c r="I44" i="25"/>
  <c r="I45" i="25"/>
  <c r="H106" i="25"/>
  <c r="H107" i="25"/>
  <c r="H108" i="25"/>
  <c r="H109" i="25"/>
  <c r="I42" i="25"/>
  <c r="M42" i="25"/>
  <c r="I40" i="25"/>
  <c r="I41" i="25"/>
  <c r="F42" i="25"/>
  <c r="C35" i="1"/>
  <c r="H134" i="19"/>
  <c r="H110" i="19"/>
  <c r="C59" i="26"/>
  <c r="C56" i="26"/>
  <c r="C57" i="26"/>
  <c r="C36" i="25"/>
  <c r="H83" i="25"/>
  <c r="H84" i="25"/>
  <c r="H85" i="25"/>
  <c r="Q47" i="25"/>
  <c r="Q41" i="25"/>
  <c r="Q40" i="25"/>
  <c r="Q44" i="25"/>
  <c r="Q46" i="25"/>
  <c r="Q43" i="25"/>
  <c r="Q45" i="25"/>
  <c r="Q42" i="25"/>
  <c r="C61" i="26"/>
  <c r="B63" i="26"/>
  <c r="B95" i="26"/>
  <c r="B98" i="26"/>
  <c r="B103" i="26"/>
  <c r="B105" i="26"/>
  <c r="B59" i="25"/>
  <c r="B57" i="25"/>
  <c r="B61" i="25"/>
  <c r="B105" i="19"/>
  <c r="B111" i="19"/>
  <c r="F104" i="19"/>
  <c r="J134" i="19"/>
  <c r="G132" i="19"/>
  <c r="G131" i="19"/>
  <c r="G130" i="19"/>
  <c r="G129" i="19"/>
  <c r="G128" i="19"/>
  <c r="G108" i="19"/>
  <c r="G107" i="19"/>
  <c r="G106" i="19"/>
  <c r="G105" i="19"/>
  <c r="G104" i="19"/>
  <c r="F107" i="19"/>
  <c r="E108" i="19"/>
  <c r="F106" i="19"/>
  <c r="F105" i="19"/>
  <c r="F131" i="19"/>
  <c r="F130" i="19"/>
  <c r="F129" i="19"/>
  <c r="F128" i="19"/>
  <c r="E130" i="19"/>
  <c r="E107" i="19"/>
  <c r="E105" i="19"/>
  <c r="H105" i="19"/>
  <c r="E129" i="19"/>
  <c r="H129" i="19"/>
  <c r="E106" i="19"/>
  <c r="H106" i="19"/>
  <c r="H107" i="19"/>
  <c r="H108" i="19"/>
  <c r="H130" i="19"/>
  <c r="H131" i="19"/>
  <c r="H132" i="19"/>
  <c r="B90" i="3"/>
  <c r="B89" i="3"/>
  <c r="B86" i="1"/>
  <c r="B135" i="19"/>
  <c r="B110" i="19"/>
  <c r="B87" i="19"/>
  <c r="B53" i="19"/>
  <c r="B52" i="19"/>
  <c r="B51" i="19"/>
  <c r="H51" i="19"/>
  <c r="B50" i="19"/>
  <c r="B49" i="19"/>
  <c r="B48" i="19"/>
  <c r="B47" i="19"/>
  <c r="B46" i="19"/>
  <c r="B45" i="19"/>
  <c r="B44" i="19"/>
  <c r="B39" i="19"/>
  <c r="I47" i="19"/>
  <c r="J47" i="19"/>
  <c r="K47" i="19"/>
  <c r="H47" i="19"/>
  <c r="L47" i="19"/>
  <c r="I44" i="19"/>
  <c r="M44" i="19"/>
  <c r="J44" i="19"/>
  <c r="N44" i="19"/>
  <c r="K44" i="19"/>
  <c r="H44" i="19"/>
  <c r="L44" i="19"/>
  <c r="H48" i="19"/>
  <c r="I48" i="19"/>
  <c r="J48" i="19"/>
  <c r="K48" i="19"/>
  <c r="J45" i="19"/>
  <c r="N45" i="19"/>
  <c r="K45" i="19"/>
  <c r="H45" i="19"/>
  <c r="L45" i="19"/>
  <c r="I45" i="19"/>
  <c r="M45" i="19"/>
  <c r="H49" i="19"/>
  <c r="I49" i="19"/>
  <c r="J49" i="19"/>
  <c r="K46" i="19"/>
  <c r="H46" i="19"/>
  <c r="L46" i="19"/>
  <c r="I46" i="19"/>
  <c r="M46" i="19"/>
  <c r="J46" i="19"/>
  <c r="I50" i="19"/>
  <c r="H50" i="19"/>
  <c r="F48" i="19"/>
  <c r="G48" i="19"/>
  <c r="G52" i="19"/>
  <c r="F52" i="19"/>
  <c r="F45" i="19"/>
  <c r="G45" i="19"/>
  <c r="F46" i="19"/>
  <c r="G46" i="19"/>
  <c r="G50" i="19"/>
  <c r="F50" i="19"/>
  <c r="C39" i="19"/>
  <c r="C40" i="19"/>
  <c r="B88" i="19"/>
  <c r="B98" i="19"/>
  <c r="B40" i="19"/>
  <c r="Q48" i="19"/>
  <c r="Q46" i="19"/>
  <c r="Q50" i="19"/>
  <c r="Q52" i="19"/>
  <c r="Q45" i="19"/>
  <c r="B93" i="19"/>
  <c r="B84" i="1"/>
  <c r="B50" i="1"/>
  <c r="B49" i="1"/>
  <c r="B48" i="1"/>
  <c r="B47" i="1"/>
  <c r="B46" i="1"/>
  <c r="B45" i="1"/>
  <c r="B44" i="1"/>
  <c r="B43" i="1"/>
  <c r="B42" i="1"/>
  <c r="B41" i="1"/>
  <c r="B36" i="1"/>
  <c r="C36" i="1"/>
  <c r="C37" i="1"/>
  <c r="B35" i="3"/>
  <c r="B81" i="1"/>
  <c r="B94" i="1"/>
  <c r="B83" i="1"/>
  <c r="B87" i="1"/>
  <c r="B95" i="1"/>
  <c r="B96" i="1"/>
  <c r="B37" i="1"/>
  <c r="B87" i="3"/>
  <c r="B49" i="3"/>
  <c r="B48" i="3"/>
  <c r="B47" i="3"/>
  <c r="B46" i="3"/>
  <c r="B45" i="3"/>
  <c r="B44" i="3"/>
  <c r="B43" i="3"/>
  <c r="B42" i="3"/>
  <c r="B41" i="3"/>
  <c r="B40" i="3"/>
  <c r="B90" i="1"/>
  <c r="B36" i="3"/>
  <c r="B54" i="3"/>
  <c r="C35" i="3"/>
  <c r="C36" i="3"/>
  <c r="B53" i="3"/>
  <c r="B51" i="3"/>
  <c r="B52" i="3"/>
  <c r="B55" i="3"/>
  <c r="B86" i="3"/>
  <c r="B98" i="3"/>
  <c r="B84" i="3"/>
  <c r="B97" i="3"/>
  <c r="B99" i="3"/>
  <c r="B93" i="3"/>
  <c r="F44" i="19"/>
  <c r="G44" i="19"/>
  <c r="O44" i="19"/>
  <c r="Q44" i="19"/>
  <c r="F47" i="19"/>
  <c r="G47" i="19"/>
  <c r="Q47" i="19"/>
  <c r="F49" i="19"/>
  <c r="G49" i="19"/>
  <c r="Q49" i="19"/>
  <c r="F51" i="19"/>
  <c r="G51" i="19"/>
  <c r="F53" i="19"/>
  <c r="Q53" i="19"/>
  <c r="Q51" i="19"/>
  <c r="B149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Q54" i="19"/>
  <c r="C60" i="19"/>
  <c r="C61" i="19"/>
  <c r="C63" i="19"/>
  <c r="C65" i="19"/>
  <c r="B67" i="19"/>
  <c r="J70" i="19"/>
  <c r="K70" i="19"/>
  <c r="K75" i="19"/>
  <c r="K77" i="19"/>
  <c r="K78" i="19"/>
  <c r="K79" i="19"/>
  <c r="I104" i="19"/>
  <c r="J104" i="19"/>
  <c r="I105" i="19"/>
  <c r="J105" i="19"/>
  <c r="B106" i="19"/>
  <c r="I106" i="19"/>
  <c r="J106" i="19"/>
  <c r="B107" i="19"/>
  <c r="I107" i="19"/>
  <c r="J107" i="19"/>
  <c r="B108" i="19"/>
  <c r="I108" i="19"/>
  <c r="J108" i="19"/>
  <c r="J109" i="19"/>
  <c r="J110" i="19"/>
  <c r="J111" i="19"/>
  <c r="B112" i="19"/>
  <c r="B113" i="19"/>
  <c r="B114" i="19"/>
  <c r="B116" i="19"/>
  <c r="B118" i="19"/>
  <c r="B120" i="19"/>
  <c r="B123" i="19"/>
  <c r="B127" i="19"/>
  <c r="B128" i="19"/>
  <c r="I128" i="19"/>
  <c r="J128" i="19"/>
  <c r="B129" i="19"/>
  <c r="I129" i="19"/>
  <c r="J129" i="19"/>
  <c r="I130" i="19"/>
  <c r="J130" i="19"/>
  <c r="B131" i="19"/>
  <c r="I131" i="19"/>
  <c r="J131" i="19"/>
  <c r="I132" i="19"/>
  <c r="J132" i="19"/>
  <c r="B133" i="19"/>
  <c r="J133" i="19"/>
  <c r="J135" i="19"/>
  <c r="B136" i="19"/>
  <c r="G136" i="19"/>
  <c r="J136" i="19"/>
  <c r="B137" i="19"/>
  <c r="G137" i="19"/>
  <c r="J137" i="19"/>
  <c r="J138" i="19"/>
  <c r="B139" i="19"/>
  <c r="I139" i="19"/>
  <c r="J139" i="19"/>
  <c r="J140" i="19"/>
  <c r="B141" i="19"/>
  <c r="B146" i="19"/>
  <c r="B147" i="19"/>
  <c r="B148" i="19"/>
  <c r="B150" i="19"/>
  <c r="B151" i="19"/>
  <c r="B152" i="19"/>
  <c r="B153" i="19"/>
  <c r="B155" i="19"/>
  <c r="B156" i="19"/>
  <c r="B157" i="19"/>
  <c r="B158" i="19"/>
  <c r="B159" i="19"/>
  <c r="B163" i="19"/>
  <c r="B164" i="19"/>
  <c r="B165" i="19"/>
  <c r="F39" i="25"/>
  <c r="G39" i="25"/>
  <c r="H39" i="25"/>
  <c r="I39" i="25"/>
  <c r="J39" i="25"/>
  <c r="K39" i="25"/>
  <c r="L39" i="25"/>
  <c r="M39" i="25"/>
  <c r="N39" i="25"/>
  <c r="O39" i="25"/>
  <c r="P39" i="25"/>
  <c r="Q39" i="25"/>
  <c r="Q50" i="25"/>
  <c r="C56" i="25"/>
  <c r="C57" i="25"/>
  <c r="C59" i="25"/>
  <c r="C61" i="25"/>
  <c r="B63" i="25"/>
  <c r="J66" i="25"/>
  <c r="K66" i="25"/>
  <c r="J67" i="25"/>
  <c r="K67" i="25"/>
  <c r="J68" i="25"/>
  <c r="K68" i="25"/>
  <c r="J69" i="25"/>
  <c r="K69" i="25"/>
  <c r="J70" i="25"/>
  <c r="K70" i="25"/>
  <c r="K71" i="25"/>
  <c r="K72" i="25"/>
  <c r="K73" i="25"/>
  <c r="I81" i="25"/>
  <c r="J81" i="25"/>
  <c r="I82" i="25"/>
  <c r="J82" i="25"/>
  <c r="B83" i="25"/>
  <c r="I83" i="25"/>
  <c r="J83" i="25"/>
  <c r="B84" i="25"/>
  <c r="I84" i="25"/>
  <c r="J84" i="25"/>
  <c r="B85" i="25"/>
  <c r="I85" i="25"/>
  <c r="J85" i="25"/>
  <c r="J86" i="25"/>
  <c r="J87" i="25"/>
  <c r="J88" i="25"/>
  <c r="B89" i="25"/>
  <c r="B90" i="25"/>
  <c r="B91" i="25"/>
  <c r="B93" i="25"/>
  <c r="B95" i="25"/>
  <c r="B97" i="25"/>
  <c r="B100" i="25"/>
  <c r="B104" i="25"/>
  <c r="B105" i="25"/>
  <c r="I105" i="25"/>
  <c r="J105" i="25"/>
  <c r="B106" i="25"/>
  <c r="I106" i="25"/>
  <c r="J106" i="25"/>
  <c r="I107" i="25"/>
  <c r="J107" i="25"/>
  <c r="B108" i="25"/>
  <c r="I108" i="25"/>
  <c r="J108" i="25"/>
  <c r="I109" i="25"/>
  <c r="J109" i="25"/>
  <c r="B110" i="25"/>
  <c r="J110" i="25"/>
  <c r="J112" i="25"/>
  <c r="B113" i="25"/>
  <c r="G113" i="25"/>
  <c r="J113" i="25"/>
  <c r="B114" i="25"/>
  <c r="G114" i="25"/>
  <c r="J114" i="25"/>
  <c r="J115" i="25"/>
  <c r="B116" i="25"/>
  <c r="I116" i="25"/>
  <c r="J116" i="25"/>
  <c r="J117" i="25"/>
  <c r="B118" i="25"/>
  <c r="B123" i="25"/>
  <c r="B124" i="25"/>
  <c r="B125" i="25"/>
  <c r="B126" i="25"/>
  <c r="B127" i="25"/>
  <c r="B128" i="25"/>
  <c r="B130" i="25"/>
  <c r="B131" i="25"/>
  <c r="B132" i="25"/>
  <c r="B133" i="25"/>
  <c r="B134" i="25"/>
  <c r="B138" i="25"/>
  <c r="B139" i="25"/>
  <c r="B140" i="25"/>
</calcChain>
</file>

<file path=xl/sharedStrings.xml><?xml version="1.0" encoding="utf-8"?>
<sst xmlns="http://schemas.openxmlformats.org/spreadsheetml/2006/main" count="539" uniqueCount="132">
  <si>
    <t>Input cell</t>
  </si>
  <si>
    <t> Ontario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</si>
  <si>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</si>
  <si>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</si>
  <si>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</si>
  <si>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</si>
  <si>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</si>
  <si>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</si>
  <si>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</si>
  <si>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</si>
  <si>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</si>
  <si>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</si>
  <si>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</si>
  <si>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Ontario</t>
  </si>
  <si>
    <t>#4</t>
  </si>
  <si>
    <t>Output cell</t>
  </si>
  <si>
    <t>Tax savings</t>
  </si>
  <si>
    <t>Federal</t>
  </si>
  <si>
    <t>Provincial</t>
  </si>
  <si>
    <t>Surtax %</t>
  </si>
  <si>
    <t>Threshold</t>
  </si>
  <si>
    <t>ON Surtax</t>
  </si>
  <si>
    <t>Total Tax Savings</t>
  </si>
  <si>
    <t>Interest income</t>
  </si>
  <si>
    <t>Taxes Payable</t>
  </si>
  <si>
    <t>2016 rates</t>
  </si>
  <si>
    <t>Additional Taxes Payable</t>
  </si>
  <si>
    <t>Net income</t>
  </si>
  <si>
    <t>Yes</t>
  </si>
  <si>
    <t>No</t>
  </si>
  <si>
    <t>Dividend Income</t>
  </si>
  <si>
    <t>Step #1</t>
  </si>
  <si>
    <t>Step #2</t>
  </si>
  <si>
    <t>Non-Canadian corporation</t>
  </si>
  <si>
    <t>Canadian Corporation</t>
  </si>
  <si>
    <t>A</t>
  </si>
  <si>
    <t>B</t>
  </si>
  <si>
    <t>Tax Tips:</t>
  </si>
  <si>
    <t>Basic personal amount (federal)</t>
  </si>
  <si>
    <t>Basic personal amount</t>
  </si>
  <si>
    <t>Basic personal amount (Provincial)</t>
  </si>
  <si>
    <t>Ontario basic reduction</t>
  </si>
  <si>
    <t>Ontario basic reduction threshold</t>
  </si>
  <si>
    <t>Ontario Health Premium</t>
  </si>
  <si>
    <t>Premium</t>
  </si>
  <si>
    <t>Total</t>
  </si>
  <si>
    <t>`</t>
  </si>
  <si>
    <t>Ontario Basic Reduction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</si>
  <si>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</si>
  <si>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</si>
  <si>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</si>
  <si>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</si>
  <si>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</si>
  <si>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</si>
  <si>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</si>
  <si>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</si>
  <si>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</si>
  <si>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</si>
  <si>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</si>
  <si>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</si>
  <si>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</si>
  <si>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</si>
  <si>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</si>
  <si>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Ontario Dividend Tax Credit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</si>
  <si>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</si>
  <si>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</si>
  <si>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</si>
  <si>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</si>
  <si>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</si>
  <si>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</si>
  <si>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</si>
  <si>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</si>
  <si>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</si>
  <si>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</si>
  <si>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</si>
  <si>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</si>
  <si>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</si>
  <si>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</si>
  <si>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</si>
  <si>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</si>
  <si>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</si>
  <si>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</si>
  <si>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</si>
  <si>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Surtax</t>
  </si>
  <si>
    <t>Provincial foreign tax credit (lesser of A or B)</t>
  </si>
  <si>
    <t xml:space="preserve">US source investment income - limitation on 20(11) and 20(12) 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</si>
  <si>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</si>
  <si>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</si>
  <si>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</si>
  <si>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</si>
  <si>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</si>
  <si>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</si>
  <si>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</si>
  <si>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</si>
  <si>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</si>
  <si>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</si>
  <si>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</si>
  <si>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</si>
  <si>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</si>
  <si>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</si>
  <si>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</si>
  <si>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2016 Threshold</t>
  </si>
  <si>
    <t>Total income equal between 0 and 10,011</t>
  </si>
  <si>
    <t>Total income equal between 10,011 and 14,526</t>
  </si>
  <si>
    <t>Total income equal between 14,526 and 19,041</t>
  </si>
  <si>
    <t>Total income equal or greater than 19,041</t>
  </si>
  <si>
    <t>Foreign Investment Income</t>
  </si>
  <si>
    <t>Foreign income</t>
  </si>
  <si>
    <t>Old Age Security (OAS) Pension</t>
  </si>
  <si>
    <t>OAS Pension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</si>
  <si>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</si>
  <si>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</si>
  <si>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</si>
  <si>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</si>
  <si>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</si>
  <si>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</si>
  <si>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Total income only</t>
  </si>
  <si>
    <t>Provincial tax</t>
  </si>
  <si>
    <t>Net</t>
  </si>
  <si>
    <t>With interest</t>
  </si>
  <si>
    <t>ON Basic Reduction</t>
  </si>
  <si>
    <t>2016 ON rates</t>
  </si>
  <si>
    <t>Lesser of:</t>
  </si>
  <si>
    <t>With dividend and 20(11)/(12) deduction</t>
  </si>
  <si>
    <t>ON dividend tax credit</t>
  </si>
  <si>
    <t>cannot be more than income, otherwise Error</t>
  </si>
  <si>
    <t>With interest and 20(11)/(12) deduction</t>
  </si>
  <si>
    <t>With interest and clawback</t>
  </si>
  <si>
    <t>With RRSP deduction</t>
  </si>
  <si>
    <t>Additional Federal Taxes</t>
  </si>
  <si>
    <t>Additional ON Taxes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</si>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</sst>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10" fontId="0" fillId="0" borderId="0" xfId="0" applyNumberFormat="1" applyFill="1"/>
    <xf numFmtId="0" fontId="0" fillId="0" borderId="0" xfId="0" applyFill="1"/>
    <xf numFmtId="43" fontId="0" fillId="0" borderId="0" xfId="1" applyFont="1"/>
    <xf numFmtId="3" fontId="5" fillId="0" borderId="0" xfId="0" applyNumberFormat="1" applyFont="1" applyBorder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0" fontId="4" fillId="0" borderId="0" xfId="0" applyFont="1" applyFill="1"/>
    <xf numFmtId="3" fontId="5" fillId="0" borderId="0" xfId="0" applyNumberFormat="1" applyFont="1" applyFill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9" fontId="0" fillId="0" borderId="0" xfId="0" applyNumberForma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3" fontId="5" fillId="0" borderId="1" xfId="0" applyNumberFormat="1" applyFont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2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0" fontId="8" fillId="0" borderId="0" xfId="0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165" fontId="8" fillId="0" borderId="0" xfId="1" applyNumberFormat="1" applyFont="1" applyFill="1" applyBorder="1"/>
    <xf numFmtId="3" fontId="0" fillId="0" borderId="0" xfId="0" applyNumberFormat="1" applyFill="1"/>
    <xf numFmtId="164" fontId="0" fillId="0" borderId="0" xfId="0" applyNumberFormat="1" applyFill="1"/>
    <xf numFmtId="43" fontId="0" fillId="0" borderId="0" xfId="1" applyFont="1" applyFill="1"/>
    <xf numFmtId="164" fontId="0" fillId="0" borderId="1" xfId="1" applyNumberFormat="1" applyFont="1" applyFill="1" applyBorder="1"/>
    <xf numFmtId="165" fontId="8" fillId="0" borderId="1" xfId="1" applyNumberFormat="1" applyFont="1" applyFill="1" applyBorder="1"/>
    <xf numFmtId="164" fontId="9" fillId="0" borderId="0" xfId="0" applyNumberFormat="1" applyFont="1" applyFill="1"/>
    <xf numFmtId="164" fontId="0" fillId="2" borderId="0" xfId="0" applyNumberFormat="1" applyFill="1"/>
    <xf numFmtId="0" fontId="0" fillId="0" borderId="0" xfId="0" applyFont="1" applyFill="1"/>
    <xf numFmtId="0" fontId="7" fillId="0" borderId="0" xfId="0" applyFont="1" applyFill="1"/>
    <xf numFmtId="164" fontId="3" fillId="0" borderId="0" xfId="1" applyNumberFormat="1" applyFont="1" applyBorder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9" fontId="0" fillId="0" borderId="0" xfId="2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1" applyNumberFormat="1" applyFont="1" applyAlignment="1">
      <alignment horizontal="right"/>
    </xf>
    <xf numFmtId="164" fontId="2" fillId="3" borderId="0" xfId="1" applyNumberFormat="1" applyFont="1" applyFill="1"/>
    <xf numFmtId="0" fontId="0" fillId="0" borderId="0" xfId="0" applyFill="1" applyAlignment="1">
      <alignment horizontal="left"/>
    </xf>
    <xf numFmtId="10" fontId="5" fillId="0" borderId="0" xfId="2" applyNumberFormat="1" applyFont="1" applyFill="1"/>
    <xf numFmtId="10" fontId="5" fillId="0" borderId="0" xfId="0" applyNumberFormat="1" applyFont="1" applyFill="1"/>
    <xf numFmtId="10" fontId="0" fillId="0" borderId="0" xfId="0" applyNumberFormat="1" applyFill="1" applyAlignment="1">
      <alignment horizontal="center"/>
    </xf>
    <xf numFmtId="0" fontId="0" fillId="0" borderId="0" xfId="0" applyFont="1" applyAlignment="1">
      <alignment wrapText="1"/>
    </xf>
    <xf numFmtId="3" fontId="0" fillId="0" borderId="1" xfId="0" applyNumberFormat="1" applyBorder="1"/>
    <xf numFmtId="164" fontId="0" fillId="0" borderId="0" xfId="0" applyNumberFormat="1" applyBorder="1"/>
    <xf numFmtId="165" fontId="0" fillId="4" borderId="1" xfId="1" applyNumberFormat="1" applyFont="1" applyFill="1" applyBorder="1"/>
    <xf numFmtId="0" fontId="0" fillId="4" borderId="0" xfId="0" applyFont="1" applyFill="1"/>
    <xf numFmtId="0" fontId="0" fillId="4" borderId="0" xfId="0" applyFill="1"/>
    <xf numFmtId="164" fontId="0" fillId="4" borderId="1" xfId="0" applyNumberFormat="1" applyFill="1" applyBorder="1"/>
    <xf numFmtId="3" fontId="0" fillId="0" borderId="0" xfId="0" applyNumberFormat="1" applyFont="1"/>
    <xf numFmtId="165" fontId="0" fillId="0" borderId="1" xfId="0" applyNumberFormat="1" applyBorder="1"/>
    <xf numFmtId="165" fontId="0" fillId="0" borderId="0" xfId="0" applyNumberFormat="1" applyBorder="1"/>
    <xf numFmtId="164" fontId="4" fillId="0" borderId="0" xfId="1" applyNumberFormat="1" applyFont="1" applyFill="1"/>
    <xf numFmtId="3" fontId="5" fillId="0" borderId="1" xfId="0" applyNumberFormat="1" applyFont="1" applyFill="1" applyBorder="1"/>
    <xf numFmtId="3" fontId="5" fillId="0" borderId="0" xfId="0" applyNumberFormat="1" applyFont="1" applyFill="1" applyBorder="1"/>
    <xf numFmtId="166" fontId="0" fillId="0" borderId="0" xfId="2" applyNumberFormat="1" applyFont="1" applyFill="1"/>
    <xf numFmtId="166" fontId="0" fillId="0" borderId="0" xfId="0" applyNumberFormat="1" applyFill="1"/>
    <xf numFmtId="0" fontId="2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opLeftCell="A80" zoomScale="125" zoomScaleNormal="125" zoomScalePageLayoutView="125" workbookViewId="0">
      <selection activeCell="B13" sqref="B13"/>
    </sheetView>
  </sheetViews>
  <sheetFormatPr baseColWidth="10" defaultColWidth="8.83203125" defaultRowHeight="14" x14ac:dyDescent="0"/>
  <cols>
    <col min="1" max="1" width="29.6640625" customWidth="1"/>
    <col min="2" max="2" width="22.6640625" customWidth="1"/>
    <col min="3" max="3" width="9.5" bestFit="1" customWidth="1"/>
    <col min="4" max="4" width="9" bestFit="1" customWidth="1"/>
    <col min="5" max="5" width="10.5" bestFit="1" customWidth="1"/>
    <col min="6" max="6" width="10.33203125" customWidth="1"/>
    <col min="7" max="7" width="11.6640625" bestFit="1" customWidth="1"/>
    <col min="11" max="11" width="12.33203125" bestFit="1" customWidth="1"/>
  </cols>
  <sheetData>
    <row r="1" spans="1:20">
      <c r="B1" s="1"/>
      <c r="C1" t="s">
        <v>0</v>
      </c>
    </row>
    <row r="2" spans="1:20">
      <c r="A2" s="2" t="s">
        <v>2</v>
      </c>
    </row>
    <row r="3" spans="1:20">
      <c r="A3" s="3" t="s">
        <v>3</v>
      </c>
    </row>
    <row r="4" spans="1:20">
      <c r="A4" t="s">
        <v>4</v>
      </c>
      <c r="B4" s="1">
        <v>10000</v>
      </c>
    </row>
    <row r="6" spans="1:20" ht="17">
      <c r="G6" s="60"/>
      <c r="H6" s="21"/>
      <c r="I6" s="55"/>
      <c r="J6" s="12"/>
      <c r="K6" s="55"/>
      <c r="L6" s="21"/>
      <c r="M6" s="21"/>
      <c r="N6" s="21"/>
      <c r="O6" s="21"/>
      <c r="P6" s="56"/>
      <c r="Q6" s="21"/>
      <c r="R6" s="21"/>
      <c r="S6" s="21"/>
      <c r="T6" s="21"/>
    </row>
    <row r="7" spans="1:20">
      <c r="A7" s="2" t="s">
        <v>5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t="s">
        <v>6</v>
      </c>
      <c r="B8" s="1" t="s">
        <v>1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</row>
    <row r="9" spans="1:20">
      <c r="G9" s="55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1" spans="1:20">
      <c r="H11" s="8"/>
      <c r="L11" s="8"/>
    </row>
    <row r="12" spans="1:20">
      <c r="A12" t="s">
        <v>7</v>
      </c>
      <c r="B12" s="1">
        <v>48300</v>
      </c>
      <c r="H12" s="8"/>
    </row>
    <row r="13" spans="1:20">
      <c r="D13" s="4"/>
    </row>
    <row r="14" spans="1:20">
      <c r="D14" s="4"/>
    </row>
    <row r="16" spans="1:20">
      <c r="A16" s="2" t="s">
        <v>8</v>
      </c>
    </row>
    <row r="17" spans="1:8">
      <c r="A17" s="3" t="s">
        <v>9</v>
      </c>
    </row>
    <row r="18" spans="1:8">
      <c r="A18" s="21"/>
      <c r="B18" s="27" t="s">
        <v>25</v>
      </c>
      <c r="C18" s="21"/>
      <c r="D18" s="21"/>
      <c r="E18" s="21"/>
      <c r="F18" s="21"/>
      <c r="G18" s="21"/>
      <c r="H18" s="21"/>
    </row>
    <row r="19" spans="1:8" ht="15">
      <c r="A19" s="21" t="s">
        <v>10</v>
      </c>
      <c r="B19" s="55">
        <v>0</v>
      </c>
      <c r="C19" s="28">
        <v>45282</v>
      </c>
      <c r="D19" s="78">
        <v>0.15</v>
      </c>
      <c r="E19" s="21"/>
      <c r="F19" s="55"/>
      <c r="G19" s="28"/>
      <c r="H19" s="78"/>
    </row>
    <row r="20" spans="1:8" ht="15">
      <c r="A20" s="21" t="s">
        <v>11</v>
      </c>
      <c r="B20" s="28">
        <f>C19</f>
        <v>45282</v>
      </c>
      <c r="C20" s="28">
        <v>90563</v>
      </c>
      <c r="D20" s="79">
        <v>0.20499999999999999</v>
      </c>
      <c r="E20" s="21"/>
      <c r="F20" s="28"/>
      <c r="G20" s="28"/>
      <c r="H20" s="79"/>
    </row>
    <row r="21" spans="1:8" ht="15">
      <c r="A21" s="21" t="s">
        <v>11</v>
      </c>
      <c r="B21" s="28">
        <f>C20</f>
        <v>90563</v>
      </c>
      <c r="C21" s="28">
        <v>140388</v>
      </c>
      <c r="D21" s="79">
        <v>0.26</v>
      </c>
      <c r="E21" s="21"/>
      <c r="F21" s="28"/>
      <c r="G21" s="28"/>
      <c r="H21" s="79"/>
    </row>
    <row r="22" spans="1:8" ht="15">
      <c r="A22" s="21" t="s">
        <v>11</v>
      </c>
      <c r="B22" s="28">
        <f>C21</f>
        <v>140388</v>
      </c>
      <c r="C22" s="28">
        <v>200000</v>
      </c>
      <c r="D22" s="79">
        <v>0.28999999999999998</v>
      </c>
      <c r="E22" s="21"/>
      <c r="F22" s="28"/>
      <c r="G22" s="28"/>
      <c r="H22" s="79"/>
    </row>
    <row r="23" spans="1:8" ht="15">
      <c r="A23" s="21"/>
      <c r="B23" s="28">
        <f>C22</f>
        <v>200000</v>
      </c>
      <c r="C23" s="21"/>
      <c r="D23" s="79">
        <v>0.33</v>
      </c>
      <c r="E23" s="21"/>
      <c r="F23" s="28"/>
      <c r="G23" s="21"/>
      <c r="H23" s="79"/>
    </row>
    <row r="24" spans="1:8">
      <c r="A24" s="21"/>
      <c r="B24" s="21"/>
      <c r="C24" s="21"/>
      <c r="D24" s="12"/>
      <c r="E24" s="21"/>
      <c r="F24" s="21"/>
      <c r="G24" s="21"/>
      <c r="H24" s="12"/>
    </row>
    <row r="25" spans="1:8" ht="15">
      <c r="A25" s="21" t="s">
        <v>48</v>
      </c>
      <c r="B25" s="28">
        <v>11474</v>
      </c>
      <c r="C25" s="55"/>
      <c r="D25" s="12"/>
      <c r="E25" s="21"/>
      <c r="F25" s="28"/>
      <c r="G25" s="55"/>
      <c r="H25" s="12"/>
    </row>
    <row r="26" spans="1:8">
      <c r="A26" s="21"/>
      <c r="B26" s="21"/>
      <c r="C26" s="21"/>
      <c r="D26" s="21"/>
      <c r="E26" s="21"/>
      <c r="F26" s="21"/>
      <c r="G26" s="21"/>
      <c r="H26" s="21"/>
    </row>
    <row r="27" spans="1:8">
      <c r="A27" s="27" t="s">
        <v>12</v>
      </c>
      <c r="B27" s="21"/>
      <c r="C27" s="21"/>
      <c r="D27" s="21"/>
      <c r="E27" s="21"/>
      <c r="F27" s="21"/>
      <c r="G27" s="21"/>
      <c r="H27" s="21"/>
    </row>
    <row r="28" spans="1:8">
      <c r="A28" s="96" t="s">
        <v>13</v>
      </c>
      <c r="B28" s="27" t="s">
        <v>25</v>
      </c>
      <c r="C28" s="21"/>
      <c r="D28" s="21"/>
      <c r="E28" s="21"/>
      <c r="F28" s="21"/>
      <c r="G28" s="21"/>
      <c r="H28" s="21"/>
    </row>
    <row r="29" spans="1:8" ht="15">
      <c r="A29" s="21" t="s">
        <v>10</v>
      </c>
      <c r="B29" s="21">
        <v>0</v>
      </c>
      <c r="C29" s="28">
        <v>41536</v>
      </c>
      <c r="D29" s="79">
        <v>5.0500000000000003E-2</v>
      </c>
      <c r="E29" s="21"/>
      <c r="F29" s="21"/>
      <c r="G29" s="28"/>
      <c r="H29" s="79"/>
    </row>
    <row r="30" spans="1:8" ht="15">
      <c r="A30" s="21" t="s">
        <v>11</v>
      </c>
      <c r="B30" s="28">
        <f>C29</f>
        <v>41536</v>
      </c>
      <c r="C30" s="28">
        <v>83075</v>
      </c>
      <c r="D30" s="79">
        <v>9.1499999999999998E-2</v>
      </c>
      <c r="E30" s="12"/>
      <c r="F30" s="28"/>
      <c r="G30" s="28"/>
      <c r="H30" s="79"/>
    </row>
    <row r="31" spans="1:8" ht="15">
      <c r="A31" s="21" t="s">
        <v>11</v>
      </c>
      <c r="B31" s="28">
        <f>C30</f>
        <v>83075</v>
      </c>
      <c r="C31" s="28">
        <v>150000</v>
      </c>
      <c r="D31" s="79">
        <v>0.1116</v>
      </c>
      <c r="E31" s="12"/>
      <c r="F31" s="28"/>
      <c r="G31" s="28"/>
      <c r="H31" s="79"/>
    </row>
    <row r="32" spans="1:8" ht="15">
      <c r="A32" s="21" t="s">
        <v>11</v>
      </c>
      <c r="B32" s="28">
        <f>C31</f>
        <v>150000</v>
      </c>
      <c r="C32" s="28">
        <v>220000</v>
      </c>
      <c r="D32" s="79">
        <v>0.1216</v>
      </c>
      <c r="E32" s="21"/>
      <c r="F32" s="28"/>
      <c r="G32" s="28"/>
      <c r="H32" s="79"/>
    </row>
    <row r="33" spans="1:17" ht="15">
      <c r="A33" s="21"/>
      <c r="B33" s="28">
        <f>C32</f>
        <v>220000</v>
      </c>
      <c r="C33" s="21"/>
      <c r="D33" s="79">
        <v>0.13159999999999999</v>
      </c>
      <c r="E33" s="21"/>
      <c r="F33" s="28"/>
      <c r="G33" s="21"/>
      <c r="H33" s="79"/>
    </row>
    <row r="34" spans="1:17">
      <c r="A34" s="21"/>
      <c r="B34" s="21"/>
      <c r="C34" s="21"/>
      <c r="D34" s="21"/>
      <c r="E34" s="21"/>
      <c r="F34" s="21"/>
      <c r="G34" s="21"/>
      <c r="H34" s="21"/>
    </row>
    <row r="35" spans="1:17" ht="15">
      <c r="A35" s="21" t="s">
        <v>39</v>
      </c>
      <c r="B35" s="28">
        <v>10011</v>
      </c>
      <c r="C35" s="28">
        <f>B35</f>
        <v>10011</v>
      </c>
      <c r="D35" s="21"/>
      <c r="E35" s="21"/>
      <c r="F35" s="28"/>
      <c r="G35" s="28"/>
      <c r="H35" s="21"/>
      <c r="I35" s="4"/>
      <c r="J35" s="4"/>
      <c r="K35" s="4"/>
      <c r="L35" s="4"/>
      <c r="N35" s="4"/>
    </row>
    <row r="36" spans="1:17" ht="15">
      <c r="A36" s="21" t="s">
        <v>42</v>
      </c>
      <c r="B36" s="92">
        <f>E88/0.0505</f>
        <v>9029.7029702970285</v>
      </c>
      <c r="C36" s="92">
        <f>B36/2</f>
        <v>4514.8514851485143</v>
      </c>
      <c r="D36" s="55"/>
      <c r="E36" s="21"/>
      <c r="F36" s="93"/>
      <c r="G36" s="93"/>
      <c r="H36" s="55"/>
      <c r="I36" s="4"/>
      <c r="J36" s="26"/>
      <c r="K36" s="13"/>
      <c r="L36" s="26"/>
    </row>
    <row r="37" spans="1:17">
      <c r="A37" s="21"/>
      <c r="B37" s="55">
        <f>SUM(B35:B36)</f>
        <v>19040.702970297029</v>
      </c>
      <c r="C37" s="55">
        <f>SUM(C35:C36)</f>
        <v>14525.851485148514</v>
      </c>
      <c r="D37" s="21"/>
      <c r="E37" s="21"/>
      <c r="F37" s="55"/>
      <c r="G37" s="55"/>
      <c r="H37" s="21"/>
      <c r="I37" s="18"/>
      <c r="J37" s="4"/>
      <c r="K37" s="13"/>
      <c r="L37" s="4"/>
    </row>
    <row r="38" spans="1:17">
      <c r="B38" s="4"/>
      <c r="C38" s="4"/>
      <c r="D38" t="s">
        <v>46</v>
      </c>
      <c r="E38" s="13"/>
      <c r="F38" s="45"/>
      <c r="H38" s="16"/>
    </row>
    <row r="39" spans="1:17" s="21" customFormat="1">
      <c r="A39" s="27" t="s">
        <v>43</v>
      </c>
      <c r="B39" s="55"/>
      <c r="C39" s="55"/>
      <c r="E39" s="12" t="s">
        <v>44</v>
      </c>
      <c r="F39" s="56"/>
      <c r="G39" s="55"/>
      <c r="H39" s="57"/>
      <c r="Q39" s="21" t="s">
        <v>45</v>
      </c>
    </row>
    <row r="40" spans="1:17" s="21" customFormat="1">
      <c r="B40" s="55">
        <v>0</v>
      </c>
      <c r="C40" s="55">
        <v>20000</v>
      </c>
      <c r="D40" s="32">
        <v>0</v>
      </c>
      <c r="E40" s="12">
        <v>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 t="b">
        <f>IF(AND(B12&gt;=B40,B12&lt;C40),IF(AND((B12-B4)&gt;=B40,(B12-B4)&lt;C40),0))</f>
        <v>0</v>
      </c>
      <c r="Q40" s="12">
        <f>SUM(F40:P40)</f>
        <v>0</v>
      </c>
    </row>
    <row r="41" spans="1:17" s="21" customFormat="1">
      <c r="B41" s="55">
        <f t="shared" ref="B41:B50" si="0">C40</f>
        <v>20000</v>
      </c>
      <c r="C41" s="55">
        <v>25000</v>
      </c>
      <c r="D41" s="32">
        <v>0.06</v>
      </c>
      <c r="E41" s="12">
        <v>0</v>
      </c>
      <c r="F41" s="12"/>
      <c r="G41" s="12"/>
      <c r="H41" s="12"/>
      <c r="I41" s="12"/>
      <c r="J41" s="12"/>
      <c r="K41" s="12"/>
      <c r="L41" s="12"/>
      <c r="M41" s="12"/>
      <c r="N41" s="12"/>
      <c r="O41" s="12" t="b">
        <f>IF(AND(B12&gt;=B41,B12&lt;C41),IF(AND((B12-B4)&gt;=B41,(B12-B4)&lt;C41),B4*D41))</f>
        <v>0</v>
      </c>
      <c r="P41" s="12" t="b">
        <f>IF(AND(B12&gt;=B41,B12&lt;C41),IF(AND((B12-B4)&gt;=B40,(B12-B4)&lt;C40),(B12-B41)*D41))</f>
        <v>0</v>
      </c>
      <c r="Q41" s="12">
        <f t="shared" ref="Q41:Q50" si="1">SUM(F41:P41)</f>
        <v>0</v>
      </c>
    </row>
    <row r="42" spans="1:17" s="21" customFormat="1">
      <c r="B42" s="55">
        <f t="shared" si="0"/>
        <v>25000</v>
      </c>
      <c r="C42" s="55">
        <v>36000</v>
      </c>
      <c r="E42" s="12">
        <v>300</v>
      </c>
      <c r="F42" s="12"/>
      <c r="G42" s="12"/>
      <c r="H42" s="12"/>
      <c r="I42" s="12"/>
      <c r="J42" s="12"/>
      <c r="K42" s="12"/>
      <c r="L42" s="12"/>
      <c r="M42" s="12"/>
      <c r="N42" s="12" t="b">
        <f>IF(AND(B12&gt;=B42,B12&lt;C42),IF(AND((B12-B4)&gt;=B42,(B12-B4)&lt;C42),0))</f>
        <v>0</v>
      </c>
      <c r="O42" s="12" t="b">
        <f>IF(AND((B12&gt;=B42),(B12&lt;C42)),IF(AND((B12-B4)&gt;=B41,(B12-B4)&lt;C41),(C41-(B12-B4))*D41))</f>
        <v>0</v>
      </c>
      <c r="P42" s="12" t="b">
        <f>IF(AND((B12&gt;=B42),(B12&lt;C42)),IF(AND((B12-B4)&gt;=B40,(B12-B4)&lt;C40),E42-E40))</f>
        <v>0</v>
      </c>
      <c r="Q42" s="12">
        <f t="shared" si="1"/>
        <v>0</v>
      </c>
    </row>
    <row r="43" spans="1:17" s="21" customFormat="1">
      <c r="B43" s="55">
        <f t="shared" si="0"/>
        <v>36000</v>
      </c>
      <c r="C43" s="55">
        <v>38500</v>
      </c>
      <c r="D43" s="32">
        <v>0.06</v>
      </c>
      <c r="E43" s="12">
        <v>0</v>
      </c>
      <c r="F43" s="12"/>
      <c r="G43" s="12"/>
      <c r="H43" s="12"/>
      <c r="I43" s="12"/>
      <c r="J43" s="12"/>
      <c r="K43" s="12"/>
      <c r="L43" s="12"/>
      <c r="M43" s="12" t="b">
        <f>IF(AND(B12&gt;=B43,B12&lt;C43),IF(AND((B12-B4)&gt;=B43,(B12-B4)&lt;C43),B4*D43))</f>
        <v>0</v>
      </c>
      <c r="N43" s="12" t="b">
        <f>IF(AND(B12&gt;=B43,B12&lt;C43),IF(AND((B12-B4)&gt;=B42,(B12-B4)&lt;C42),(B12-B43)*D43))</f>
        <v>0</v>
      </c>
      <c r="O43" s="12" t="b">
        <f>IF(AND(B12&gt;=B43,B12&lt;C43),IF(AND((B12-B4)&gt;=B41,(B12-B4)&lt;C41),((B12-B43)*D43)+((C41-(B12-B4))*D41)))</f>
        <v>0</v>
      </c>
      <c r="P43" s="12" t="b">
        <f>IF(AND(B12&gt;=B43,B12&lt;C43),IF(AND((B12-B4)&gt;=B40,(B12-B4)&lt;C40),((B12-B43)*D43)+E42))</f>
        <v>0</v>
      </c>
      <c r="Q43" s="12">
        <f t="shared" si="1"/>
        <v>0</v>
      </c>
    </row>
    <row r="44" spans="1:17" s="21" customFormat="1">
      <c r="B44" s="55">
        <f t="shared" si="0"/>
        <v>38500</v>
      </c>
      <c r="C44" s="55">
        <v>48000</v>
      </c>
      <c r="E44" s="12">
        <v>450</v>
      </c>
      <c r="F44" s="12"/>
      <c r="G44" s="12"/>
      <c r="H44" s="12"/>
      <c r="I44" s="12"/>
      <c r="J44" s="12"/>
      <c r="K44" s="12"/>
      <c r="L44" s="12" t="b">
        <f>IF(AND(B12&gt;=B44,B12&lt;C44),IF(AND((B12-B4)&gt;=B44,(B12-B4)&lt;C44),0))</f>
        <v>0</v>
      </c>
      <c r="M44" s="12" t="b">
        <f>IF(AND((B12&gt;=B44),(B12&lt;C44)),IF(AND((B12-B4)&gt;=B43,(B12-B4)&lt;C43),(C43-(B12-B4))*D43))</f>
        <v>0</v>
      </c>
      <c r="N44" s="12" t="b">
        <f>IF(AND((B12&gt;=B44),(B12&lt;C44)),IF(AND((B12-B4)&gt;=B42,(B12-B4)&lt;C42),E44-E42))</f>
        <v>0</v>
      </c>
      <c r="O44" s="12" t="b">
        <f>IF(AND((B12&gt;=B44),(B12&lt;C44)),IF(AND((B12-B4)&gt;=B41,(B12-B4)&lt;C41),(E44-E42)+(C41-(B12-B4))*D41))</f>
        <v>0</v>
      </c>
      <c r="P44" s="12" t="b">
        <f>IF(AND((B12&gt;=B44),(B12&lt;C44)),IF(AND((B12-B4)&gt;=B40,(B12-B4)&lt;C40),E44))</f>
        <v>0</v>
      </c>
      <c r="Q44" s="12">
        <f t="shared" si="1"/>
        <v>0</v>
      </c>
    </row>
    <row r="45" spans="1:17" s="21" customFormat="1">
      <c r="B45" s="55">
        <f t="shared" si="0"/>
        <v>48000</v>
      </c>
      <c r="C45" s="55">
        <v>48600</v>
      </c>
      <c r="D45" s="32">
        <v>0.25</v>
      </c>
      <c r="E45" s="12">
        <v>0</v>
      </c>
      <c r="F45" s="12"/>
      <c r="G45" s="12"/>
      <c r="H45" s="12"/>
      <c r="I45" s="12"/>
      <c r="J45" s="12"/>
      <c r="K45" s="12" t="b">
        <f>IF(AND(B12&gt;=B45,B12&lt;C45),IF(AND((B12-B4)&gt;=B45,(B12-B4)&lt;C45),B4*D45))</f>
        <v>0</v>
      </c>
      <c r="L45" s="12" t="b">
        <f>IF(AND(B12&gt;=B45,B12&lt;C45),IF(AND((B12-B4)&gt;=B44,(B12-B4)&lt;C44),(B12-B45)*D45))</f>
        <v>0</v>
      </c>
      <c r="M45" s="12">
        <f>IF(AND(B12&gt;=B45,B12&lt;C45),IF(AND((B12-B4)&gt;=B43,(B12-B4)&lt;C43),((B12-B45)*D45)+((C43-(B12-B4))*D43)))</f>
        <v>87</v>
      </c>
      <c r="N45" s="12" t="b">
        <f>IF(AND(B12&gt;=B45,B12&lt;C45),IF(AND((B12-B4)&gt;=B42,(B12-B4)&lt;C42),((B12-B45)*D45)+(E44-E42)))</f>
        <v>0</v>
      </c>
      <c r="O45" s="12" t="b">
        <f>IF(AND(B12&gt;=B45,B12&lt;C45),IF(AND((B12-B4)&gt;=B41,(B12-B4)&lt;C41),((B12-B45)*D45)+(E44-E42)+((C41-(B12-B4))*D41)))</f>
        <v>0</v>
      </c>
      <c r="P45" s="12" t="b">
        <f>IF(AND(B12&gt;=B45,B12&lt;C45),IF(AND((B12-B4)&gt;=B40,(B12-B4)&lt;C40),((B12-B45)*D45)+E44))</f>
        <v>0</v>
      </c>
      <c r="Q45" s="12">
        <f>SUM(F45:P45)</f>
        <v>87</v>
      </c>
    </row>
    <row r="46" spans="1:17" s="21" customFormat="1">
      <c r="B46" s="55">
        <f t="shared" si="0"/>
        <v>48600</v>
      </c>
      <c r="C46" s="55">
        <v>72000</v>
      </c>
      <c r="E46" s="12">
        <v>600</v>
      </c>
      <c r="F46" s="12"/>
      <c r="G46" s="12"/>
      <c r="H46" s="12"/>
      <c r="I46" s="12"/>
      <c r="J46" s="12" t="b">
        <f>IF(AND(B12&gt;=B46,B12&lt;C46),IF(AND((B12-B4)&gt;=B46,(B12-B4)&lt;C46),0))</f>
        <v>0</v>
      </c>
      <c r="K46" s="12" t="b">
        <f>IF(AND((B12&gt;=B46),(B12&lt;C46)),IF(AND((B12-B4)&gt;=B45,(B12-B4)&lt;C45),(C45-(B12-B4))*D45))</f>
        <v>0</v>
      </c>
      <c r="L46" s="12" t="b">
        <f>IF(AND((B12&gt;=B46),(B12&lt;C46)),IF(AND((B12-B4)&gt;=B44,(B12-B4)&lt;C44),E46-E44))</f>
        <v>0</v>
      </c>
      <c r="M46" s="12" t="b">
        <f>IF(AND((B12&gt;=B46),(B12&lt;C46)),IF(AND((B12-B4)&gt;=B43,(B12-B4)&lt;C43),(E46-E44)+(C43-(B12-B4))*D43))</f>
        <v>0</v>
      </c>
      <c r="N46" s="12" t="b">
        <f>IF(AND((B12&gt;=B46),(B12&lt;C46)),IF(AND((B12-B4)&gt;=B42,(B12-B4)&lt;C42),E46-E42))</f>
        <v>0</v>
      </c>
      <c r="O46" s="12" t="b">
        <f>IF(AND((B12&gt;=B46),(B12&lt;C46)),IF(AND((B12-B4)&gt;=B41,(B12-B4)&lt;C41),(E46-E42)+(C41-(B12-B4))*D41))</f>
        <v>0</v>
      </c>
      <c r="P46" s="12" t="b">
        <f>IF(AND((B12&gt;=B46),(B12&lt;C46)),IF(AND((B12-B4)&gt;=B40,(B12-B4)&lt;C40),E46))</f>
        <v>0</v>
      </c>
      <c r="Q46" s="12">
        <f t="shared" si="1"/>
        <v>0</v>
      </c>
    </row>
    <row r="47" spans="1:17" s="21" customFormat="1">
      <c r="B47" s="55">
        <f t="shared" si="0"/>
        <v>72000</v>
      </c>
      <c r="C47" s="55">
        <v>72600</v>
      </c>
      <c r="D47" s="32">
        <v>0.25</v>
      </c>
      <c r="E47" s="12">
        <v>0</v>
      </c>
      <c r="F47" s="12"/>
      <c r="G47" s="12"/>
      <c r="H47" s="12"/>
      <c r="I47" s="12" t="b">
        <f>IF(AND(B12&gt;=B47,B12&lt;C47),IF(AND((B12-B4)&gt;=B47,(B12-B4)&lt;C47),B4*D47))</f>
        <v>0</v>
      </c>
      <c r="J47" s="12" t="b">
        <f>IF(AND(B12&gt;=B47,B12&lt;C47),IF(AND((B12-B4)&gt;=B46,(B12-B4)&lt;C46),(B12-B47)*D47))</f>
        <v>0</v>
      </c>
      <c r="K47" s="12" t="b">
        <f>IF(AND(B12&gt;=B47,B12&lt;C47),IF(AND((B12-B4)&gt;=B45,(B12-B4)&lt;C45),((B12-B47)*D47)+((C45-(B12-B4))*D45)))</f>
        <v>0</v>
      </c>
      <c r="L47" s="12" t="b">
        <f>IF(AND(B12&gt;=B47,B12&lt;C47),IF(AND((B12-B4)&gt;=B44,(B12-B4)&lt;C44),((B12-B47)*D47)+(E46-E44)))</f>
        <v>0</v>
      </c>
      <c r="M47" s="12" t="b">
        <f>IF(AND(B12&gt;=B47,B12&lt;C47),IF(AND((B12-B4)&gt;=B43,(B12-B4)&lt;C43),((B12-B47)*D47)+(E46-E44)+((C43-(B12-B4))*D43)))</f>
        <v>0</v>
      </c>
      <c r="N47" s="12" t="b">
        <f>IF(AND(B12&gt;=B47,B12&lt;C47),IF(AND((B12-B4)&gt;=B42,(B12-B4)&lt;C42),((B12-B47)*D47)+(E46-E42)))</f>
        <v>0</v>
      </c>
      <c r="O47" s="12" t="b">
        <f>IF(AND(B12&gt;=B47,B12&lt;C47),IF(AND((B12-B4)&gt;=B41,(B12-B4)&lt;C41),((B12-B47)*D47)+(E46-E42)+((C41-(B12-B4))*D41)))</f>
        <v>0</v>
      </c>
      <c r="P47" s="12" t="b">
        <f>IF(AND(B12&gt;=B47,B12&lt;C47),IF(AND((B12-B4)&gt;=B40,(B12-B4)&lt;C40),((B12-B47)*D47)+E46))</f>
        <v>0</v>
      </c>
      <c r="Q47" s="12">
        <f t="shared" si="1"/>
        <v>0</v>
      </c>
    </row>
    <row r="48" spans="1:17" s="21" customFormat="1">
      <c r="B48" s="55">
        <f t="shared" si="0"/>
        <v>72600</v>
      </c>
      <c r="C48" s="55">
        <v>200000</v>
      </c>
      <c r="E48" s="12">
        <v>750</v>
      </c>
      <c r="F48" s="12"/>
      <c r="G48" s="12"/>
      <c r="H48" s="12" t="b">
        <f>IF(AND(B12&gt;=B48,B12&lt;C48),IF(AND((B12-B4)&gt;=B48,(B12-B4)&lt;C48),0))</f>
        <v>0</v>
      </c>
      <c r="I48" s="12" t="b">
        <f>IF(AND((B12&gt;=B48),(B12&lt;C48)),IF(AND((B12-B4)&gt;=B47,(B12-B4)&lt;C47),(C47-(B12-B4))*D47))</f>
        <v>0</v>
      </c>
      <c r="J48" s="12" t="b">
        <f>IF(AND((B12&gt;=B48),(B12&lt;C48)),IF(AND((B12-B4)&gt;=B46,(B12-B4)&lt;C46),E48-E46))</f>
        <v>0</v>
      </c>
      <c r="K48" s="12" t="b">
        <f>IF(AND((B12&gt;=B48),(B12&lt;C48)),IF(AND((B12-B4)&gt;=B45,(B12-B4)&lt;C45),(E48-E46)+(C45-(B12-B4))*D45))</f>
        <v>0</v>
      </c>
      <c r="L48" s="12" t="b">
        <f>IF(AND((B12&gt;=B48),(B12&lt;C48)),IF(AND((B12-B4)&gt;=B44,(B12-B4)&lt;C44),E48-E44))</f>
        <v>0</v>
      </c>
      <c r="M48" s="12" t="b">
        <f>IF(AND((B12&gt;=B48),(B12&lt;C48)),IF(AND((B12-B4)&gt;=B43,(B12-B4)&lt;C43),(E48-E44)+(C43-(B12-B4))*D43))</f>
        <v>0</v>
      </c>
      <c r="N48" s="12" t="b">
        <f>IF(AND((B12&gt;=B48),(B12&lt;C48)),IF(AND((B12-B4)&gt;=B42,(B12-B4)&lt;C42),E48-E42))</f>
        <v>0</v>
      </c>
      <c r="O48" s="12" t="b">
        <f>IF(AND((B12&gt;=B48),(B12&lt;C48)),IF(AND((B12-B4)&gt;=B41,(B12-B4)&lt;C41),(E48-E42)+(C41-(B12-B4))*D41))</f>
        <v>0</v>
      </c>
      <c r="P48" s="12" t="b">
        <f>IF(AND((B12&gt;=B48),(B12&lt;C48)),IF(AND((B12-B4)&gt;=B40,(B12-B4)&lt;C40),E48))</f>
        <v>0</v>
      </c>
      <c r="Q48" s="12">
        <f t="shared" si="1"/>
        <v>0</v>
      </c>
    </row>
    <row r="49" spans="1:17" s="21" customFormat="1">
      <c r="B49" s="55">
        <f t="shared" si="0"/>
        <v>200000</v>
      </c>
      <c r="C49" s="55">
        <v>200600</v>
      </c>
      <c r="D49" s="32">
        <v>0.25</v>
      </c>
      <c r="E49" s="12">
        <v>0</v>
      </c>
      <c r="F49" s="12"/>
      <c r="G49" s="12" t="b">
        <f>IF(AND(B12&gt;=B49,B12&lt;C49),IF(AND((B12-B4)&gt;=B49,(B12-B4)&lt;C49),B4*D49))</f>
        <v>0</v>
      </c>
      <c r="H49" s="12" t="b">
        <f>IF(AND(B12&gt;=B49,B12&lt;C49),IF(AND((B12-B4)&gt;=B48,(B12-B4)&lt;C48),(B12-B49)*D49))</f>
        <v>0</v>
      </c>
      <c r="I49" s="12" t="b">
        <f>IF(AND(B12&gt;=B49,B12&lt;C49),IF(AND((B12-B4)&gt;=B47,(B12-B4)&lt;C47),((B12-B49)*D49)+((C47-(B12-B4))*D47)))</f>
        <v>0</v>
      </c>
      <c r="J49" s="12" t="b">
        <f>IF(AND(B12&gt;=B49,B12&lt;C49),IF(AND((B12-B4)&gt;=B46,(B12-B4)&lt;C46),((B12-B49)*D49)+(E48-E46)))</f>
        <v>0</v>
      </c>
      <c r="K49" s="12" t="b">
        <f>IF(AND(B12&gt;=B49,B12&lt;C49),IF(AND((B12-B4)&gt;=B45,(B12-B4)&lt;C45),((B12-B49)*D49)+(E48-E46)+((C45-(B12-B4))*D45)))</f>
        <v>0</v>
      </c>
      <c r="L49" s="12" t="b">
        <f>IF(AND(B12&gt;=B49,B12&lt;C49),IF(AND((B12-B4)&gt;=B44,(B12-B4)&lt;C44),((B12-B49)*D49)+(E48-E44)))</f>
        <v>0</v>
      </c>
      <c r="M49" s="12" t="b">
        <f>IF(AND(B12&gt;=B49,B12&lt;C49),IF(AND((B12-B4)&gt;=B43,(B12-B4)&lt;C43),((B12-B49)*D49)+(E48-E44)+((C43-(B12-B4))*D43)))</f>
        <v>0</v>
      </c>
      <c r="N49" s="12" t="b">
        <f>IF(AND(B12&gt;=B49,B12&lt;C49),IF(AND((B12-B4)&gt;=B42,(B12-B4)&lt;C42),((B12-B49)*D49)+(E48-E42)))</f>
        <v>0</v>
      </c>
      <c r="O49" s="12" t="b">
        <f>IF(AND(B12&gt;=B49,B12&lt;C49),IF(AND((B12-B4)&gt;=B41,(B12-B4)&lt;C41),((B12-B49)*D49)+(E48-E42)+((C41-(B12-B4))*D41)))</f>
        <v>0</v>
      </c>
      <c r="P49" s="12" t="b">
        <f>IF(AND(B12&gt;=B49,B12&lt;C49),IF(AND((B12-B4)&gt;=B40,(B12-B4)&lt;C40),((B12-B49)*D49)+E48))</f>
        <v>0</v>
      </c>
      <c r="Q49" s="12">
        <f t="shared" si="1"/>
        <v>0</v>
      </c>
    </row>
    <row r="50" spans="1:17" s="21" customFormat="1">
      <c r="B50" s="55">
        <f t="shared" si="0"/>
        <v>200600</v>
      </c>
      <c r="C50" s="55"/>
      <c r="E50" s="12">
        <v>900</v>
      </c>
      <c r="F50" s="58" t="b">
        <f>IF(B12&gt;=B50,IF((B12-B4)&gt;=B50,0))</f>
        <v>0</v>
      </c>
      <c r="G50" s="12" t="b">
        <f>IF((B12&gt;=B50),IF(AND((B12-B4)&gt;=B49,(B12-B4)&lt;C49),(C49-(B12-B4))*D49))</f>
        <v>0</v>
      </c>
      <c r="H50" s="12" t="b">
        <f>IF((B12&gt;=B50),IF(AND((B12-B4)&gt;=B48,(B12-B4)&lt;C48),E50-E48))</f>
        <v>0</v>
      </c>
      <c r="I50" s="12" t="b">
        <f>IF((B12&gt;=B50),IF(AND((B12-B4)&gt;=B47,(B12-B4)&lt;C47),(E50-E48)+(C47-(B12-B4))*D47))</f>
        <v>0</v>
      </c>
      <c r="J50" s="12" t="b">
        <f>IF((B12&gt;=B50),IF(AND((B12-B4)&gt;=B46,(B12-B4)&lt;C46),E50-E46))</f>
        <v>0</v>
      </c>
      <c r="K50" s="12" t="b">
        <f>IF((B12&gt;=B50),IF(AND((B12-B4)&gt;=B45,(B12-B4)&lt;C45),(E50-E46)+(C45-(B12-B4))*D45))</f>
        <v>0</v>
      </c>
      <c r="L50" s="12" t="b">
        <f>IF((B12&gt;=B50),IF(AND((B12-B4)&gt;=B44,(B12-B4)&lt;C44),E50-E44))</f>
        <v>0</v>
      </c>
      <c r="M50" s="12" t="b">
        <f>IF((B12&gt;=B50),IF(AND((B12-B4)&gt;=B43,(B12-B4)&lt;C43),(E50-E44)+(C43-(B12-B4))*D43))</f>
        <v>0</v>
      </c>
      <c r="N50" s="12" t="b">
        <f>IF((B12&gt;=B50),IF(AND((B12-B4)&gt;=B42,(B12-B4)&lt;C42),E50-E42))</f>
        <v>0</v>
      </c>
      <c r="O50" s="12" t="b">
        <f>IF((B12&gt;=B50),IF(AND((B12-B4)&gt;=B41,(B12-B4)&lt;C41),(E50-E42)+(C41-(B12-B4))*D41))</f>
        <v>0</v>
      </c>
      <c r="P50" s="12" t="b">
        <f>IF((B12&gt;=B50),IF(AND((B12-B4)&gt;=B40,(B12-B4)&lt;C40),E50-E40))</f>
        <v>0</v>
      </c>
      <c r="Q50" s="58">
        <f t="shared" si="1"/>
        <v>0</v>
      </c>
    </row>
    <row r="51" spans="1:17" s="21" customFormat="1">
      <c r="B51" s="55"/>
      <c r="C51" s="55"/>
      <c r="E51" s="12"/>
      <c r="F51" s="56"/>
      <c r="G51" s="55"/>
      <c r="H51" s="20"/>
      <c r="Q51" s="56">
        <f>SUM(Q40:Q50)</f>
        <v>87</v>
      </c>
    </row>
    <row r="52" spans="1:17">
      <c r="B52" s="37"/>
      <c r="C52" s="4"/>
      <c r="E52" s="13"/>
      <c r="F52" s="18"/>
      <c r="G52" s="4"/>
    </row>
    <row r="53" spans="1:17">
      <c r="B53" s="37"/>
      <c r="C53" s="4"/>
      <c r="E53" s="13"/>
      <c r="F53" s="18"/>
      <c r="G53" s="4"/>
    </row>
    <row r="54" spans="1:17">
      <c r="A54" s="3" t="s">
        <v>120</v>
      </c>
      <c r="B54" s="4"/>
      <c r="C54" s="4"/>
      <c r="F54" s="13"/>
      <c r="G54" s="45"/>
      <c r="I54" s="16"/>
      <c r="J54" s="10" t="s">
        <v>116</v>
      </c>
    </row>
    <row r="55" spans="1:17">
      <c r="A55" s="3"/>
      <c r="B55" s="4" t="s">
        <v>116</v>
      </c>
      <c r="C55" s="4" t="s">
        <v>128</v>
      </c>
      <c r="F55" s="3" t="s">
        <v>121</v>
      </c>
      <c r="G55" s="45"/>
      <c r="I55" s="80" t="s">
        <v>76</v>
      </c>
      <c r="J55" s="68" t="s">
        <v>75</v>
      </c>
      <c r="K55" s="68" t="s">
        <v>77</v>
      </c>
    </row>
    <row r="56" spans="1:17" ht="15">
      <c r="A56" s="3"/>
      <c r="B56" t="s">
        <v>31</v>
      </c>
      <c r="C56" t="s">
        <v>32</v>
      </c>
      <c r="F56">
        <v>0</v>
      </c>
      <c r="G56" s="5">
        <f>C29</f>
        <v>41536</v>
      </c>
      <c r="H56" s="7">
        <f>D29</f>
        <v>5.0500000000000003E-2</v>
      </c>
      <c r="I56" s="13">
        <v>0</v>
      </c>
      <c r="J56" s="13">
        <f>IF(AND($B$12&gt;=F56,$B$12&lt;G56),($B$12-F56)*H56,0)</f>
        <v>0</v>
      </c>
      <c r="K56" s="18">
        <f>(IF(J56=0,0,I56+J56))</f>
        <v>0</v>
      </c>
    </row>
    <row r="57" spans="1:17" ht="15">
      <c r="A57" s="29" t="s">
        <v>20</v>
      </c>
      <c r="B57" s="4">
        <v>456</v>
      </c>
      <c r="C57" s="4">
        <v>456</v>
      </c>
      <c r="F57" s="5">
        <f>G56</f>
        <v>41536</v>
      </c>
      <c r="G57" s="5">
        <f t="shared" ref="G57:G59" si="2">C30</f>
        <v>83075</v>
      </c>
      <c r="H57" s="7">
        <f t="shared" ref="H57:H60" si="3">D30</f>
        <v>9.1499999999999998E-2</v>
      </c>
      <c r="I57" s="12">
        <f>(G56-F56)*H56</f>
        <v>2097.5680000000002</v>
      </c>
      <c r="J57" s="13">
        <f>IF(AND($B$12&gt;=F57,$B$12&lt;G57),($B$12-F57)*H57,0)</f>
        <v>618.90599999999995</v>
      </c>
      <c r="K57" s="18">
        <f>(IF(J57=0,0,I57+J57))</f>
        <v>2716.4740000000002</v>
      </c>
    </row>
    <row r="58" spans="1:17" ht="15">
      <c r="A58" t="s">
        <v>117</v>
      </c>
      <c r="B58" s="82">
        <f>K63</f>
        <v>2210.9185000000002</v>
      </c>
      <c r="C58" s="82">
        <f>K75</f>
        <v>1428.5945000000002</v>
      </c>
      <c r="F58" s="28">
        <f>G57</f>
        <v>83075</v>
      </c>
      <c r="G58" s="5">
        <f t="shared" si="2"/>
        <v>150000</v>
      </c>
      <c r="H58" s="7">
        <f t="shared" si="3"/>
        <v>0.1116</v>
      </c>
      <c r="I58" s="12">
        <f>((G57-F57)*H57)+I57</f>
        <v>5898.3865000000005</v>
      </c>
      <c r="J58" s="13">
        <f t="shared" ref="J58:J59" si="4">IF(AND($B$12&gt;=F58,$B$12&lt;G58),($B$12-F58)*H58,0)</f>
        <v>0</v>
      </c>
      <c r="K58" s="18">
        <f>(IF(J58=0,0,I58+J58))</f>
        <v>0</v>
      </c>
    </row>
    <row r="59" spans="1:17" ht="15">
      <c r="A59" s="29" t="s">
        <v>118</v>
      </c>
      <c r="B59" s="13">
        <f>IF((B57-B58)&lt;0,0,B57-B58)</f>
        <v>0</v>
      </c>
      <c r="C59" s="13">
        <f>IF((C57-C58)&lt;0,0,C57-C58)</f>
        <v>0</v>
      </c>
      <c r="F59" s="5">
        <f>G58</f>
        <v>150000</v>
      </c>
      <c r="G59" s="5">
        <f t="shared" si="2"/>
        <v>220000</v>
      </c>
      <c r="H59" s="7">
        <f t="shared" si="3"/>
        <v>0.1216</v>
      </c>
      <c r="I59" s="12">
        <f t="shared" ref="I59:I60" si="5">((G58-F58)*H58)+I58</f>
        <v>13367.2165</v>
      </c>
      <c r="J59" s="13">
        <f t="shared" si="4"/>
        <v>0</v>
      </c>
      <c r="K59" s="18">
        <f>(IF(J59=0,0,I59+J59))</f>
        <v>0</v>
      </c>
    </row>
    <row r="60" spans="1:17" ht="15">
      <c r="A60" s="3"/>
      <c r="B60" s="4"/>
      <c r="C60" s="4"/>
      <c r="F60" s="5">
        <f>G59</f>
        <v>220000</v>
      </c>
      <c r="H60" s="7">
        <f t="shared" si="3"/>
        <v>0.13159999999999999</v>
      </c>
      <c r="I60" s="12">
        <f t="shared" si="5"/>
        <v>21879.216500000002</v>
      </c>
      <c r="J60" s="13">
        <f>IF($B$12&gt;=F60,($B$12-F60)*H60,0)</f>
        <v>0</v>
      </c>
      <c r="K60" s="35">
        <f>(IF(J60=0,0,I60+J60))</f>
        <v>0</v>
      </c>
    </row>
    <row r="61" spans="1:17">
      <c r="A61" t="s">
        <v>117</v>
      </c>
      <c r="B61" s="4">
        <f>K63</f>
        <v>2210.9185000000002</v>
      </c>
      <c r="C61" s="4">
        <f>K75</f>
        <v>1428.5945000000002</v>
      </c>
      <c r="F61" s="13"/>
      <c r="G61" s="45"/>
      <c r="I61" s="13"/>
      <c r="J61" s="13"/>
      <c r="K61" s="13">
        <f>SUM(K56:K60)</f>
        <v>2716.4740000000002</v>
      </c>
    </row>
    <row r="62" spans="1:17">
      <c r="B62" s="4"/>
      <c r="C62" s="4"/>
      <c r="F62" s="13"/>
      <c r="G62" s="45"/>
      <c r="H62" s="70" t="s">
        <v>39</v>
      </c>
      <c r="I62" s="13">
        <f>B35</f>
        <v>10011</v>
      </c>
      <c r="J62" s="16">
        <f>D29</f>
        <v>5.0500000000000003E-2</v>
      </c>
      <c r="K62" s="43">
        <f>IF($B$12&lt;I62,$B$12*J62,I62*J62)</f>
        <v>505.55550000000005</v>
      </c>
    </row>
    <row r="63" spans="1:17">
      <c r="A63" t="s">
        <v>122</v>
      </c>
      <c r="B63" s="4">
        <f>MIN(B59,B61)</f>
        <v>0</v>
      </c>
      <c r="C63" s="4">
        <f>MIN(C59,C61)</f>
        <v>0</v>
      </c>
      <c r="F63" s="13"/>
      <c r="G63" s="45"/>
      <c r="H63" s="4"/>
      <c r="I63" s="4"/>
      <c r="J63" s="16"/>
      <c r="K63" s="13">
        <f>IF((K61-K62)&lt;=0,0,K61-K62)</f>
        <v>2210.9185000000002</v>
      </c>
    </row>
    <row r="64" spans="1:17">
      <c r="A64" s="3"/>
      <c r="B64" s="4"/>
      <c r="C64" s="4"/>
      <c r="F64" s="13"/>
      <c r="G64" s="45"/>
      <c r="I64" s="13"/>
      <c r="J64" s="13"/>
      <c r="K64" s="13"/>
    </row>
    <row r="65" spans="1:11">
      <c r="A65" s="29" t="s">
        <v>120</v>
      </c>
      <c r="B65" s="88">
        <f>C63-B63</f>
        <v>0</v>
      </c>
      <c r="C65" s="4"/>
      <c r="D65" s="4"/>
      <c r="F65" s="13"/>
      <c r="G65" s="45"/>
      <c r="I65" s="13"/>
      <c r="J65" s="13"/>
      <c r="K65" s="13"/>
    </row>
    <row r="66" spans="1:11">
      <c r="F66" s="13"/>
      <c r="G66" s="45"/>
      <c r="I66" s="16"/>
      <c r="J66" s="10" t="s">
        <v>128</v>
      </c>
    </row>
    <row r="67" spans="1:11">
      <c r="F67" s="3" t="s">
        <v>121</v>
      </c>
      <c r="G67" s="45"/>
      <c r="I67" s="80" t="s">
        <v>76</v>
      </c>
      <c r="J67" s="68" t="s">
        <v>75</v>
      </c>
      <c r="K67" s="68" t="s">
        <v>77</v>
      </c>
    </row>
    <row r="68" spans="1:11" ht="15">
      <c r="F68">
        <v>0</v>
      </c>
      <c r="G68" s="5">
        <f>C29</f>
        <v>41536</v>
      </c>
      <c r="H68" s="7">
        <f>D29</f>
        <v>5.0500000000000003E-2</v>
      </c>
      <c r="I68" s="13">
        <v>0</v>
      </c>
      <c r="J68" s="13">
        <f>IF(AND(($B$12-$B$4)&gt;=F68,($B$12-$B$4)&lt;G68),($B$12-$B$4-F68)*H68,0)</f>
        <v>1934.15</v>
      </c>
      <c r="K68" s="18">
        <f t="shared" ref="K68:K72" si="6">(IF(J68=0,0,I68+J68))</f>
        <v>1934.15</v>
      </c>
    </row>
    <row r="69" spans="1:11" ht="15">
      <c r="D69" s="26"/>
      <c r="F69" s="5">
        <f>G68</f>
        <v>41536</v>
      </c>
      <c r="G69" s="5">
        <f t="shared" ref="G69:G71" si="7">C30</f>
        <v>83075</v>
      </c>
      <c r="H69" s="7">
        <f t="shared" ref="H69:H72" si="8">D30</f>
        <v>9.1499999999999998E-2</v>
      </c>
      <c r="I69" s="12">
        <f>(G68-F68)*H68</f>
        <v>2097.5680000000002</v>
      </c>
      <c r="J69" s="13">
        <f>IF(AND(($B$12-$B$4)&gt;=F69,($B$12-$B$4)&lt;G69),($B$12-$B$4-F69)*H69,0)</f>
        <v>0</v>
      </c>
      <c r="K69" s="18">
        <f t="shared" si="6"/>
        <v>0</v>
      </c>
    </row>
    <row r="70" spans="1:11" ht="15">
      <c r="F70" s="28">
        <f>G69</f>
        <v>83075</v>
      </c>
      <c r="G70" s="5">
        <f t="shared" si="7"/>
        <v>150000</v>
      </c>
      <c r="H70" s="7">
        <f t="shared" si="8"/>
        <v>0.1116</v>
      </c>
      <c r="I70" s="12">
        <f>((G69-F69)*H69)+I69</f>
        <v>5898.3865000000005</v>
      </c>
      <c r="J70" s="13">
        <f>IF(AND(($B$12-$B$4)&gt;=F70,($B$12-$B$4)&lt;G70),($B$12-$B$4-F70)*H70,0)</f>
        <v>0</v>
      </c>
      <c r="K70" s="18">
        <f t="shared" si="6"/>
        <v>0</v>
      </c>
    </row>
    <row r="71" spans="1:11" ht="15">
      <c r="F71" s="5">
        <f>G70</f>
        <v>150000</v>
      </c>
      <c r="G71" s="5">
        <f t="shared" si="7"/>
        <v>220000</v>
      </c>
      <c r="H71" s="7">
        <f t="shared" si="8"/>
        <v>0.1216</v>
      </c>
      <c r="I71" s="12">
        <f t="shared" ref="I71:I72" si="9">((G70-F70)*H70)+I70</f>
        <v>13367.2165</v>
      </c>
      <c r="J71" s="13">
        <f>IF(AND(($B$12-$B$4)&gt;=F71,($B$12-$B$4)&lt;G71),($B$12-$B$4-F71)*H71,0)</f>
        <v>0</v>
      </c>
      <c r="K71" s="18">
        <f t="shared" si="6"/>
        <v>0</v>
      </c>
    </row>
    <row r="72" spans="1:11" ht="15">
      <c r="A72" s="3"/>
      <c r="B72" s="4"/>
      <c r="C72" s="4"/>
      <c r="F72" s="5">
        <f>G71</f>
        <v>220000</v>
      </c>
      <c r="H72" s="7">
        <f t="shared" si="8"/>
        <v>0.13159999999999999</v>
      </c>
      <c r="I72" s="12">
        <f t="shared" si="9"/>
        <v>21879.216500000002</v>
      </c>
      <c r="J72" s="13">
        <f>IF(($B$12-$B$4)&gt;=F72,($B$12-$B$4-F72)*H72,0)</f>
        <v>0</v>
      </c>
      <c r="K72" s="35">
        <f t="shared" si="6"/>
        <v>0</v>
      </c>
    </row>
    <row r="73" spans="1:11">
      <c r="A73" s="3"/>
      <c r="B73" s="4"/>
      <c r="C73" s="4"/>
      <c r="F73" s="13"/>
      <c r="G73" s="45"/>
      <c r="I73" s="16"/>
      <c r="K73" s="18">
        <f>SUM(K68:K72)</f>
        <v>1934.15</v>
      </c>
    </row>
    <row r="74" spans="1:11">
      <c r="A74" s="3"/>
      <c r="B74" s="4"/>
      <c r="C74" s="4"/>
      <c r="F74" s="13"/>
      <c r="G74" s="45"/>
      <c r="H74" s="70" t="s">
        <v>39</v>
      </c>
      <c r="I74" s="13">
        <f>B35</f>
        <v>10011</v>
      </c>
      <c r="J74" s="16">
        <f>D29</f>
        <v>5.0500000000000003E-2</v>
      </c>
      <c r="K74" s="43">
        <f>IF(($B$12+$B$4)&lt;I74,($B$12+$B$4)*J74,I74*J74)</f>
        <v>505.55550000000005</v>
      </c>
    </row>
    <row r="75" spans="1:11">
      <c r="A75" s="3"/>
      <c r="B75" s="4"/>
      <c r="C75" s="4"/>
      <c r="F75" s="13"/>
      <c r="G75" s="45"/>
      <c r="I75" s="16"/>
      <c r="K75" s="13">
        <f>IF((K73-K74)&lt;=0,0,K73-K74)</f>
        <v>1428.5945000000002</v>
      </c>
    </row>
    <row r="76" spans="1:11">
      <c r="B76" s="37"/>
      <c r="C76" s="4"/>
      <c r="E76" s="13"/>
      <c r="F76" s="18"/>
      <c r="G76" s="4"/>
    </row>
    <row r="77" spans="1:11">
      <c r="B77" s="37"/>
      <c r="C77" s="4"/>
      <c r="E77" s="13"/>
      <c r="F77" s="18"/>
      <c r="G77" s="4"/>
    </row>
    <row r="78" spans="1:11">
      <c r="A78" s="2" t="s">
        <v>14</v>
      </c>
    </row>
    <row r="79" spans="1:11">
      <c r="B79" s="11"/>
      <c r="C79" t="s">
        <v>15</v>
      </c>
      <c r="I79" s="18"/>
      <c r="J79" s="4"/>
      <c r="K79" s="13"/>
    </row>
    <row r="81" spans="1:13">
      <c r="A81" t="s">
        <v>16</v>
      </c>
      <c r="B81" s="13">
        <f>IF(AND(B12&gt;=B19,B12&lt;=C19),B4*D19,IF(AND(B12&gt;B20,B12&lt;=C20),IF((B12-B20)&gt;B4,B4*D20,((B12-B20)*D20)+((B4-(B12-B20))*D19)),IF(AND(B12&gt;B21,B12&lt;=C21),IF((B12-B21)&gt;B4,B4*D21,IF((B12-B20)&gt;B4,(((B12-B21)*D21)+((B4-(B12-B21))*D20)),(((B12-B21)*D21))+((B21-B20)*D20)+((B4-(B12-B20))*D19))),IF(AND(B12&gt;B22,B12&lt;=C22),IF((B12-B22)&gt;B4,B4*D22,IF((B12-B21)&gt;B4,((B12-B22)*D22)+((B4-(B12-B22))*D21),IF((B12-B20)&gt;B4,((B12-B22)*D22)+((B22-B21)*D21)+((B4-(B12-B21))*D20),((B12-B22)*D22)+((B22-B21)*D21)+((B21-B20)*D20)+((B4-(B12-B20))*D19)))),IF(B12&gt;B23,IF((B12-B23)&gt;B4,B4*D23,IF((B12-B22)&gt;B4,((B12-B23)*D23)+((B4-(B12-B23))*D22),IF((B12-B21)&gt;B4,((B12-B23)*D23)+((B23-B22)*D22)+((B4-(B12-B22))*D21),IF((B12-B20)&gt;B4,((B12-B23)*D23)+((B23-B22)*D22)+((B22-B21)*D21)+((B4-(B12-B21))*D20),((B12-B23)*D23)+((B23-B22)*D22)+((B22-B21)*D21)+((B21-B20)*D20)+((B4-(B12-B20))*D19))))))))))</f>
        <v>1665.9899999999998</v>
      </c>
      <c r="C81" t="s">
        <v>17</v>
      </c>
      <c r="H81" s="53"/>
      <c r="I81" s="53"/>
      <c r="J81" s="53"/>
      <c r="K81" s="53"/>
      <c r="L81" s="53"/>
    </row>
    <row r="82" spans="1:13">
      <c r="B82" s="37">
        <f>-IF((B12&gt;=B25),IF((B12-B4)&gt;=B25,0,IF(((B12-B4)&lt;B25),((B25-(B12-B4))*D19))),IF(B12&lt;B25,B4*D19))</f>
        <v>0</v>
      </c>
      <c r="C82" t="s">
        <v>38</v>
      </c>
      <c r="H82" s="53"/>
      <c r="I82" s="4"/>
      <c r="J82" s="53"/>
      <c r="K82" s="53"/>
      <c r="L82" s="53"/>
    </row>
    <row r="83" spans="1:13">
      <c r="B83" s="12">
        <f>IF(AND(B12&gt;=B29,B12&lt;=C29),B4*D29,IF(AND(B12&gt;B30,B12&lt;=C30),IF((B12-B30)&gt;B4,B4*D30,((B12-B30)*D30)+((B4-(B12-B30))*D29)),IF(AND(B12&gt;B31,B12&lt;=C31),IF((B12-B31)&gt;B4,B4*D31,IF((B12-B30)&gt;B4,(((B12-B31)*D31)+((B4-(B12-B31))*D30)),(((B12-B31)*D31))+((B31-B30)*D30)+((B4-(B12-B30))*D29))),IF(AND(B12&gt;B32,B12&lt;=C32),IF((B12-B32)&gt;B4,B4*D32,IF((B12-B31)&gt;B4,((B12-B32)*D32)+((B4-(B12-B32))*D31),IF((B12-B30)&gt;B4,((B12-B32)*D32)+((B32-B31)*D31)+((B4-(B12-B31))*D30),((B12-B32)*D32)+((B32-B31)*D31)+((B31-B30)*D30)+((B4-(B12-B30))*D29)))),IF(B12&gt;B33,IF((B12-B33)&gt;B4,B4*D33,IF((B12-B32)&gt;B4,((B12-B33)*D33)+((B4-(B12-B33))*D32),IF((B12-B31)&gt;B4,((B12-B33)*D33)+((B33-B32)*D32)+((B4-(B12-B32))*D31),IF((B12-B30)&gt;B4,((B12-B33)*D33)+((B33-B32)*D32)+((B32-B31)*D31)+((B4-(B12-B31))*D30),((B12-B33)*D33)+((B33-B32)*D32)+((B32-B31)*D31)+((B31-B30)*D30)+((B4-(B12-B30))*D29))))))))))</f>
        <v>782.32399999999996</v>
      </c>
      <c r="C83" t="s">
        <v>18</v>
      </c>
      <c r="H83" s="53"/>
      <c r="I83" s="18"/>
      <c r="J83" s="53"/>
      <c r="K83" s="53"/>
      <c r="L83" s="53"/>
    </row>
    <row r="84" spans="1:13">
      <c r="B84" s="37">
        <f>-IF((B12&gt;=B35),IF((B12-B4)&gt;=B35,0,IF(((B12-B4)&lt;B35),((B35-(B12-B4))*D29))),IF(B12&lt;B35,B4*D29))</f>
        <v>0</v>
      </c>
      <c r="C84" t="s">
        <v>40</v>
      </c>
      <c r="H84" s="53"/>
      <c r="I84" s="53"/>
      <c r="J84" s="53"/>
      <c r="K84" s="53"/>
      <c r="L84" s="53"/>
    </row>
    <row r="85" spans="1:13">
      <c r="B85" s="12"/>
      <c r="D85" t="s">
        <v>19</v>
      </c>
      <c r="E85" t="s">
        <v>20</v>
      </c>
      <c r="H85" s="53"/>
      <c r="I85" s="53"/>
      <c r="J85" s="53"/>
      <c r="K85" s="53"/>
      <c r="L85" s="53"/>
    </row>
    <row r="86" spans="1:13">
      <c r="B86" s="12" t="b">
        <f>IF(AND(B12&gt;E86,B12&lt;=C30),IF((B12-E86)&gt;B4,B4*D30*D86,(B12-E86)*D30*D86),IF(AND(B12&gt;B31,B12&lt;=C31),IF((B12-B31)&gt;B4,B4*D31*D86,IF((B12-E86)&gt;B4,((B12-B31)*D31*D86)+((B4-(B12-B31))*D30*D86),((B12-B31)*D31*D86)+((B31-E86))*D30*D86)),IF(AND(B12&gt;B32,B12&lt;=C32),IF((B12-B32)&gt;B4,B4*D32*D86,IF((B12-B31)&gt;B4,((B12-B32)*D32*D86)+((B4-(B12-B32))*D31*D86),IF((B12-E86)&gt;B4,((B12-B32)*D32*D86)+((B32-B31)*D31*D86)+((B4-(B12-B31))*D30*D86),((B12-B32)*D32*D86)+((B32-B31)*D31*D86)+((B31-E86))*D30*D86))),IF((B12&gt;B33),IF((B12-B33)&gt;B4,B4*D33*D86,IF((B12-B32)&gt;B4,((B12-B33)*D33*D86)+((B4-(B12-B33))*D32*D86),IF((B12-B31)&gt;B4,((B12-B33)*D33*D86)+((B33-B32)*D32*D86)+((B4-(B12-B32))*D31*D86),IF((B12-E86)&gt;B4,((B12-B33)*D33*D86)+((B33-B32)*D32*D86)+((B32-B31)*D31*D86)+((B4-(B12-B31))*D30*D86),((B12-B33)*D33*D86)+((B33-B32)*D32*D86)+((B32-B31)*D31*D86)+((B31-E86))*D30*D86))))))))</f>
        <v>0</v>
      </c>
      <c r="C86" t="s">
        <v>21</v>
      </c>
      <c r="D86" s="8">
        <v>0.2</v>
      </c>
      <c r="E86" s="13">
        <v>73145</v>
      </c>
      <c r="G86" s="53"/>
      <c r="H86" s="53"/>
      <c r="I86" s="53"/>
      <c r="J86" s="53"/>
      <c r="K86" s="53"/>
      <c r="L86" s="53"/>
    </row>
    <row r="87" spans="1:13">
      <c r="B87" s="12" t="b">
        <f>IF(AND(B12&gt;E87,B12&lt;=C31),IF((B12-E87)&gt;B4,B4*D31*D87,(B12-E87)*D31*D87),IF(AND(B12&gt;B32,B12&lt;=C32),IF((B12-B32)&gt;B4,B4*D32*D87,IF((B12-E87)&gt;B4,((B12-B32)*D32*D87)+((B4-(B12-B32))*D31*D87),((B12-B32)*D32*D87)+((B32-E87)*D31*D87))),IF((B12&gt;B33),IF((B12-B33)&gt;B4,B4*D33*D87,IF((B12-B32)&gt;B4,((B12-B33)*D33*D87)+(B4-(B12-B33)*D32*D87),IF((B12-E87)&gt;B4,((B12-B33)*D33*D87)+((B33-B32)*D32*D87)+((B4-(B12-B32))*D31*D87),((B12-B33)*D33*D87)+((B33-B32)*D32*D87)+((B32-E87)*D31*D87)))))))</f>
        <v>0</v>
      </c>
      <c r="C87" t="s">
        <v>21</v>
      </c>
      <c r="D87" s="8">
        <v>0.36</v>
      </c>
      <c r="E87" s="13">
        <v>86176</v>
      </c>
      <c r="G87" s="53"/>
      <c r="H87" s="53"/>
      <c r="I87" s="53"/>
      <c r="J87" s="53"/>
      <c r="K87" s="53"/>
      <c r="L87" s="53"/>
    </row>
    <row r="88" spans="1:13">
      <c r="B88" s="54">
        <f>B65</f>
        <v>0</v>
      </c>
      <c r="C88" t="s">
        <v>41</v>
      </c>
      <c r="D88" s="8"/>
      <c r="E88" s="13">
        <v>456</v>
      </c>
      <c r="F88" s="48"/>
      <c r="G88" s="48"/>
      <c r="H88" s="48"/>
      <c r="I88" s="49"/>
      <c r="J88" s="49"/>
      <c r="K88" s="50"/>
      <c r="L88" s="50"/>
      <c r="M88" s="49"/>
    </row>
    <row r="89" spans="1:13">
      <c r="B89" s="59">
        <f>Q51</f>
        <v>87</v>
      </c>
      <c r="C89" t="s">
        <v>43</v>
      </c>
      <c r="D89" s="8"/>
      <c r="E89" s="13"/>
      <c r="F89" s="48"/>
      <c r="G89" s="49"/>
      <c r="H89" s="53"/>
      <c r="I89" s="48"/>
      <c r="J89" s="51"/>
      <c r="K89" s="50"/>
      <c r="L89" s="50"/>
      <c r="M89" s="49"/>
    </row>
    <row r="90" spans="1:13">
      <c r="A90" t="s">
        <v>22</v>
      </c>
      <c r="B90" s="14">
        <f>SUM(B81:B89)</f>
        <v>2535.3139999999999</v>
      </c>
      <c r="G90" s="53"/>
      <c r="H90" s="53"/>
      <c r="I90" s="53"/>
      <c r="J90" s="53"/>
      <c r="K90" s="53"/>
      <c r="L90" s="53"/>
    </row>
    <row r="91" spans="1:13">
      <c r="G91" s="53"/>
      <c r="H91" s="53"/>
      <c r="I91" s="53"/>
      <c r="J91" s="53"/>
      <c r="K91" s="53"/>
      <c r="L91" s="53"/>
    </row>
    <row r="92" spans="1:13">
      <c r="G92" s="53"/>
      <c r="H92" s="53"/>
      <c r="I92" s="53"/>
      <c r="J92" s="53"/>
      <c r="K92" s="53"/>
      <c r="L92" s="53"/>
    </row>
    <row r="93" spans="1:13">
      <c r="A93" s="19" t="s">
        <v>49</v>
      </c>
      <c r="B93" s="13"/>
      <c r="F93" s="49"/>
      <c r="G93" s="49"/>
      <c r="H93" s="48"/>
      <c r="I93" s="48"/>
      <c r="J93" s="51"/>
      <c r="K93" s="49"/>
      <c r="L93" s="49"/>
      <c r="M93" s="49"/>
    </row>
    <row r="94" spans="1:13">
      <c r="A94" t="s">
        <v>129</v>
      </c>
      <c r="B94" s="37">
        <f>SUM(B81:B82)</f>
        <v>1665.9899999999998</v>
      </c>
      <c r="F94" s="49"/>
      <c r="G94" s="49"/>
      <c r="H94" s="48"/>
      <c r="I94" s="49"/>
      <c r="J94" s="49"/>
      <c r="K94" s="49"/>
      <c r="L94" s="49"/>
      <c r="M94" s="49"/>
    </row>
    <row r="95" spans="1:13">
      <c r="A95" t="s">
        <v>130</v>
      </c>
      <c r="B95" s="38">
        <f>SUM(B83:B89)</f>
        <v>869.32399999999996</v>
      </c>
      <c r="F95" s="49"/>
      <c r="G95" s="49"/>
      <c r="H95" s="48"/>
      <c r="I95" s="51"/>
      <c r="J95" s="51"/>
      <c r="K95" s="49"/>
      <c r="L95" s="49"/>
      <c r="M95" s="49"/>
    </row>
    <row r="96" spans="1:13">
      <c r="B96" s="37">
        <f>SUM(B94:B95)</f>
        <v>2535.3139999999999</v>
      </c>
      <c r="F96" s="49"/>
      <c r="G96" s="49"/>
      <c r="H96" s="48"/>
      <c r="I96" s="49"/>
      <c r="J96" s="49"/>
      <c r="K96" s="49"/>
      <c r="L96" s="49"/>
      <c r="M96" s="49"/>
    </row>
    <row r="97" spans="1:13">
      <c r="B97" s="13"/>
      <c r="F97" s="49"/>
      <c r="G97" s="49"/>
      <c r="H97" s="48"/>
      <c r="I97" s="48"/>
      <c r="J97" s="51"/>
      <c r="K97" s="49"/>
      <c r="L97" s="49"/>
      <c r="M97" s="49"/>
    </row>
    <row r="98" spans="1:13">
      <c r="B98" s="15"/>
    </row>
    <row r="109" spans="1:13">
      <c r="A109" s="3"/>
    </row>
  </sheetData>
  <dataValidations disablePrompts="1"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A50" zoomScale="85" zoomScaleNormal="85" zoomScalePageLayoutView="85" workbookViewId="0">
      <selection activeCell="B5" sqref="B5"/>
    </sheetView>
  </sheetViews>
  <sheetFormatPr baseColWidth="10" defaultColWidth="8.83203125" defaultRowHeight="14" x14ac:dyDescent="0"/>
  <cols>
    <col min="1" max="1" width="30.6640625" customWidth="1"/>
    <col min="2" max="3" width="11.6640625" customWidth="1"/>
    <col min="4" max="4" width="9" bestFit="1" customWidth="1"/>
    <col min="5" max="5" width="10.5" bestFit="1" customWidth="1"/>
    <col min="6" max="7" width="10.5" customWidth="1"/>
    <col min="8" max="8" width="16.83203125" style="13" customWidth="1"/>
    <col min="9" max="9" width="14" customWidth="1"/>
    <col min="10" max="10" width="12.83203125" bestFit="1" customWidth="1"/>
    <col min="11" max="11" width="12" bestFit="1" customWidth="1"/>
    <col min="12" max="12" width="10.1640625" bestFit="1" customWidth="1"/>
    <col min="13" max="13" width="12.33203125" bestFit="1" customWidth="1"/>
    <col min="17" max="17" width="9.5" bestFit="1" customWidth="1"/>
  </cols>
  <sheetData>
    <row r="1" spans="1:9">
      <c r="B1" s="1"/>
      <c r="C1" t="s">
        <v>0</v>
      </c>
    </row>
    <row r="2" spans="1:9">
      <c r="A2" s="2" t="s">
        <v>2</v>
      </c>
    </row>
    <row r="3" spans="1:9">
      <c r="A3" s="3" t="s">
        <v>23</v>
      </c>
    </row>
    <row r="4" spans="1:9">
      <c r="A4" t="s">
        <v>23</v>
      </c>
      <c r="B4" s="1">
        <v>10000</v>
      </c>
    </row>
    <row r="7" spans="1:9">
      <c r="A7" s="2" t="s">
        <v>5</v>
      </c>
      <c r="I7" s="8"/>
    </row>
    <row r="8" spans="1:9">
      <c r="A8" t="s">
        <v>6</v>
      </c>
      <c r="B8" s="1" t="s">
        <v>1</v>
      </c>
    </row>
    <row r="12" spans="1:9">
      <c r="A12" t="s">
        <v>7</v>
      </c>
      <c r="B12" s="1">
        <v>48300</v>
      </c>
    </row>
    <row r="15" spans="1:9">
      <c r="A15" s="2" t="s">
        <v>8</v>
      </c>
    </row>
    <row r="16" spans="1:9">
      <c r="A16" s="3" t="s">
        <v>9</v>
      </c>
    </row>
    <row r="17" spans="1:14">
      <c r="B17" s="27" t="s">
        <v>25</v>
      </c>
      <c r="C17" s="21"/>
      <c r="D17" s="21"/>
      <c r="E17" s="21"/>
      <c r="F17" s="21"/>
      <c r="G17" s="21"/>
      <c r="H17" s="91"/>
    </row>
    <row r="18" spans="1:14" ht="15">
      <c r="A18" t="s">
        <v>10</v>
      </c>
      <c r="B18" s="55">
        <v>0</v>
      </c>
      <c r="C18" s="28">
        <v>45282</v>
      </c>
      <c r="D18" s="78">
        <v>0.15</v>
      </c>
      <c r="E18" s="21"/>
      <c r="F18" s="55"/>
      <c r="G18" s="28"/>
      <c r="H18" s="78"/>
      <c r="I18" s="5"/>
      <c r="J18" s="6"/>
      <c r="K18" s="6"/>
      <c r="L18" s="4"/>
      <c r="M18" s="5"/>
      <c r="N18" s="6"/>
    </row>
    <row r="19" spans="1:14" ht="15">
      <c r="A19" t="s">
        <v>11</v>
      </c>
      <c r="B19" s="28">
        <f>C18</f>
        <v>45282</v>
      </c>
      <c r="C19" s="28">
        <v>90563</v>
      </c>
      <c r="D19" s="79">
        <v>0.20499999999999999</v>
      </c>
      <c r="E19" s="21"/>
      <c r="F19" s="28"/>
      <c r="G19" s="28"/>
      <c r="H19" s="79"/>
      <c r="I19" s="5"/>
      <c r="J19" s="7"/>
      <c r="K19" s="7"/>
      <c r="L19" s="5"/>
      <c r="M19" s="5"/>
      <c r="N19" s="7"/>
    </row>
    <row r="20" spans="1:14" ht="15">
      <c r="A20" t="s">
        <v>11</v>
      </c>
      <c r="B20" s="28">
        <f>C19</f>
        <v>90563</v>
      </c>
      <c r="C20" s="28">
        <v>140388</v>
      </c>
      <c r="D20" s="79">
        <v>0.26</v>
      </c>
      <c r="E20" s="21"/>
      <c r="F20" s="28"/>
      <c r="G20" s="28"/>
      <c r="H20" s="79"/>
      <c r="I20" s="5"/>
      <c r="J20" s="7"/>
      <c r="K20" s="7"/>
      <c r="L20" s="5"/>
      <c r="M20" s="5"/>
      <c r="N20" s="7"/>
    </row>
    <row r="21" spans="1:14" ht="15">
      <c r="A21" t="s">
        <v>11</v>
      </c>
      <c r="B21" s="28">
        <f>C20</f>
        <v>140388</v>
      </c>
      <c r="C21" s="28">
        <v>200000</v>
      </c>
      <c r="D21" s="79">
        <v>0.28999999999999998</v>
      </c>
      <c r="E21" s="21"/>
      <c r="F21" s="28"/>
      <c r="G21" s="28"/>
      <c r="H21" s="79"/>
      <c r="I21" s="23"/>
      <c r="J21" s="7"/>
      <c r="K21" s="7"/>
      <c r="L21" s="5"/>
      <c r="M21" s="5"/>
      <c r="N21" s="7"/>
    </row>
    <row r="22" spans="1:14" ht="15">
      <c r="B22" s="28">
        <f>C21</f>
        <v>200000</v>
      </c>
      <c r="C22" s="21"/>
      <c r="D22" s="79">
        <v>0.33</v>
      </c>
      <c r="E22" s="21"/>
      <c r="F22" s="28"/>
      <c r="G22" s="21"/>
      <c r="H22" s="79"/>
      <c r="I22" s="4"/>
      <c r="J22" s="7"/>
      <c r="K22" s="7"/>
      <c r="L22" s="5"/>
      <c r="N22" s="7"/>
    </row>
    <row r="23" spans="1:14">
      <c r="B23" s="21"/>
      <c r="C23" s="21"/>
      <c r="D23" s="12"/>
      <c r="E23" s="21"/>
      <c r="F23" s="21"/>
      <c r="G23" s="21"/>
      <c r="H23" s="12"/>
    </row>
    <row r="24" spans="1:14" ht="15">
      <c r="A24" t="s">
        <v>48</v>
      </c>
      <c r="B24" s="28">
        <v>11474</v>
      </c>
      <c r="C24" s="55"/>
      <c r="D24" s="12"/>
      <c r="E24" s="21"/>
      <c r="F24" s="28"/>
      <c r="G24" s="55"/>
      <c r="H24" s="12"/>
    </row>
    <row r="25" spans="1:14">
      <c r="B25" s="21"/>
      <c r="C25" s="21"/>
      <c r="D25" s="21"/>
      <c r="E25" s="21"/>
      <c r="F25" s="21"/>
      <c r="G25" s="21"/>
      <c r="H25" s="12"/>
      <c r="J25" s="9"/>
    </row>
    <row r="26" spans="1:14">
      <c r="A26" s="3" t="s">
        <v>12</v>
      </c>
      <c r="B26" s="21"/>
      <c r="C26" s="21"/>
      <c r="D26" s="21"/>
      <c r="E26" s="21"/>
      <c r="F26" s="21"/>
      <c r="G26" s="21"/>
      <c r="H26" s="12"/>
    </row>
    <row r="27" spans="1:14">
      <c r="A27" s="10" t="s">
        <v>13</v>
      </c>
      <c r="B27" s="27" t="s">
        <v>25</v>
      </c>
      <c r="C27" s="21"/>
      <c r="D27" s="21"/>
      <c r="E27" s="21"/>
      <c r="F27" s="21"/>
      <c r="G27" s="21"/>
      <c r="H27" s="47"/>
      <c r="I27" s="25"/>
      <c r="J27" s="10"/>
      <c r="K27" s="25"/>
    </row>
    <row r="28" spans="1:14" ht="15">
      <c r="A28" t="s">
        <v>10</v>
      </c>
      <c r="B28" s="21">
        <v>0</v>
      </c>
      <c r="C28" s="28">
        <v>41536</v>
      </c>
      <c r="D28" s="79">
        <v>5.0500000000000003E-2</v>
      </c>
      <c r="E28" s="21"/>
      <c r="F28" s="21"/>
      <c r="G28" s="28"/>
      <c r="H28" s="79"/>
      <c r="I28" s="5"/>
      <c r="J28" s="7"/>
    </row>
    <row r="29" spans="1:14" ht="15">
      <c r="A29" t="s">
        <v>11</v>
      </c>
      <c r="B29" s="28">
        <f>C28</f>
        <v>41536</v>
      </c>
      <c r="C29" s="28">
        <v>83075</v>
      </c>
      <c r="D29" s="79">
        <v>9.1499999999999998E-2</v>
      </c>
      <c r="E29" s="21"/>
      <c r="F29" s="28"/>
      <c r="G29" s="28"/>
      <c r="H29" s="79"/>
      <c r="I29" s="5"/>
      <c r="J29" s="24"/>
      <c r="K29" s="18"/>
      <c r="L29" s="15"/>
    </row>
    <row r="30" spans="1:14" ht="15">
      <c r="A30" t="s">
        <v>11</v>
      </c>
      <c r="B30" s="28">
        <f>C29</f>
        <v>83075</v>
      </c>
      <c r="C30" s="28">
        <v>150000</v>
      </c>
      <c r="D30" s="79">
        <v>0.1116</v>
      </c>
      <c r="E30" s="21"/>
      <c r="F30" s="28"/>
      <c r="G30" s="28"/>
      <c r="H30" s="79"/>
      <c r="I30" s="4"/>
      <c r="J30" s="24"/>
      <c r="K30" s="4"/>
      <c r="L30" s="13"/>
      <c r="N30" s="18"/>
    </row>
    <row r="31" spans="1:14" ht="15">
      <c r="A31" t="s">
        <v>11</v>
      </c>
      <c r="B31" s="28">
        <f>C30</f>
        <v>150000</v>
      </c>
      <c r="C31" s="28">
        <v>220000</v>
      </c>
      <c r="D31" s="79">
        <v>0.1216</v>
      </c>
      <c r="E31" s="21"/>
      <c r="F31" s="28"/>
      <c r="G31" s="28"/>
      <c r="H31" s="79"/>
      <c r="I31" s="4"/>
      <c r="J31" s="24"/>
      <c r="K31" s="4"/>
      <c r="L31" s="13"/>
      <c r="N31" s="4"/>
    </row>
    <row r="32" spans="1:14" ht="15">
      <c r="B32" s="28">
        <f>C31</f>
        <v>220000</v>
      </c>
      <c r="C32" s="21"/>
      <c r="D32" s="79">
        <v>0.13159999999999999</v>
      </c>
      <c r="E32" s="21"/>
      <c r="F32" s="28"/>
      <c r="G32" s="21"/>
      <c r="H32" s="79"/>
      <c r="I32" s="4"/>
      <c r="J32" s="24"/>
      <c r="K32" s="4"/>
      <c r="L32" s="13"/>
    </row>
    <row r="33" spans="1:17">
      <c r="B33" s="21"/>
      <c r="C33" s="21"/>
      <c r="D33" s="21"/>
      <c r="E33" s="21"/>
      <c r="F33" s="21"/>
      <c r="G33" s="21"/>
      <c r="H33" s="47"/>
      <c r="I33" s="4"/>
      <c r="J33" s="26"/>
      <c r="K33" s="16"/>
      <c r="L33" s="26"/>
    </row>
    <row r="34" spans="1:17" ht="15">
      <c r="A34" t="s">
        <v>40</v>
      </c>
      <c r="B34" s="28">
        <v>10011</v>
      </c>
      <c r="C34" s="28">
        <f>B34</f>
        <v>10011</v>
      </c>
      <c r="D34" s="21"/>
      <c r="E34" s="21"/>
      <c r="F34" s="28"/>
      <c r="G34" s="28"/>
      <c r="H34" s="47"/>
      <c r="I34" s="4"/>
      <c r="J34" s="26"/>
      <c r="K34" s="16"/>
      <c r="L34" s="26"/>
    </row>
    <row r="35" spans="1:17" ht="15">
      <c r="A35" t="s">
        <v>42</v>
      </c>
      <c r="B35" s="92">
        <f>E91/0.0505</f>
        <v>9029.7029702970285</v>
      </c>
      <c r="C35" s="92">
        <f>B35/2</f>
        <v>4514.8514851485143</v>
      </c>
      <c r="D35" s="55"/>
      <c r="E35" s="21"/>
      <c r="F35" s="93"/>
      <c r="G35" s="93"/>
      <c r="H35" s="47"/>
      <c r="I35" s="4"/>
      <c r="J35" s="26"/>
      <c r="K35" s="16"/>
      <c r="L35" s="26"/>
    </row>
    <row r="36" spans="1:17">
      <c r="B36" s="55">
        <f>SUM(B34:B35)</f>
        <v>19040.702970297029</v>
      </c>
      <c r="C36" s="55">
        <f>SUM(C34:C35)</f>
        <v>14525.851485148514</v>
      </c>
      <c r="D36" s="21"/>
      <c r="E36" s="21"/>
      <c r="F36" s="55"/>
      <c r="G36" s="55"/>
      <c r="H36" s="12"/>
      <c r="I36" s="18"/>
      <c r="J36" s="4"/>
      <c r="K36" s="16"/>
    </row>
    <row r="37" spans="1:17">
      <c r="B37" s="4"/>
      <c r="C37" s="4"/>
      <c r="D37" t="s">
        <v>46</v>
      </c>
      <c r="E37" s="13"/>
      <c r="F37" s="45"/>
      <c r="H37" s="16"/>
    </row>
    <row r="38" spans="1:17">
      <c r="A38" s="3" t="s">
        <v>43</v>
      </c>
      <c r="B38" s="4"/>
      <c r="C38" s="4"/>
      <c r="E38" s="13" t="s">
        <v>44</v>
      </c>
      <c r="F38" s="18"/>
      <c r="G38" s="4"/>
      <c r="H38" s="22"/>
      <c r="Q38" t="s">
        <v>45</v>
      </c>
    </row>
    <row r="39" spans="1:17">
      <c r="B39" s="4">
        <v>0</v>
      </c>
      <c r="C39" s="4">
        <v>20000</v>
      </c>
      <c r="D39" s="8">
        <v>0</v>
      </c>
      <c r="E39" s="13">
        <v>0</v>
      </c>
      <c r="F39" s="13" t="b">
        <f>IF(AND((B12&gt;B39),(B12&lt;=C39)),IF((B12+B4)&gt;B49,(E49-E39)))</f>
        <v>0</v>
      </c>
      <c r="G39" s="13" t="b">
        <f>IF(AND((B12&gt;B39),(B12&lt;=C39)),IF(AND((B12+B4)&gt;B48,(B12+B4)&lt;=C48),(B12+B4-B48)*D48+(E47-E39)))</f>
        <v>0</v>
      </c>
      <c r="H39" s="13" t="b">
        <f>IF(AND((B12&gt;B39),(B12&lt;=C39)),IF(AND((B12+B4)&gt;B47,(B12+B4)&lt;=C47),(E47-E39)))</f>
        <v>0</v>
      </c>
      <c r="I39" s="13" t="b">
        <f>IF(AND((B12&gt;B39),(B12&lt;=C39)),IF(AND((B12+B4)&gt;B46,(B12+B4)&lt;=C46),(B12+B4-B46)*D46+(E45-E39)))</f>
        <v>0</v>
      </c>
      <c r="J39" s="13" t="b">
        <f>IF(AND((B12&gt;B39),(B12&lt;=C39)),IF(AND((B12+B4)&gt;B45,(B12+B4)&lt;=C45),(E45-E39)))</f>
        <v>0</v>
      </c>
      <c r="K39" s="13" t="b">
        <f>IF(AND((B12&gt;B39),(B12&lt;=C39)),IF(AND((B12+B4)&gt;B44,(B12+B4)&lt;=C44),(B12+B4-B44)*D44+(E43-E39)))</f>
        <v>0</v>
      </c>
      <c r="L39" s="13" t="b">
        <f>IF(AND((B12&gt;B39),(B12&lt;=C39)),IF(AND((B12+B4)&gt;B43,(B12+B4)&lt;=C43),(E43-E39)))</f>
        <v>0</v>
      </c>
      <c r="M39" s="13" t="b">
        <f>IF(AND((B12&gt;B39),(B12&lt;=C39)),IF((AND((B12+B4)&gt;B42,(B12+B4)&lt;=C42)),((B12+B4-B42)*D42)+(E41-E39)))</f>
        <v>0</v>
      </c>
      <c r="N39" s="13" t="b">
        <f>IF(AND((B12&gt;B39),(B12&lt;=C39)),IF(AND((B12+B4)&gt;B41,(B12+B4)&lt;=C41),(E41-E39)))</f>
        <v>0</v>
      </c>
      <c r="O39" s="13" t="b">
        <f>IF(AND((B12&gt;B39),(B12&lt;=C39)),IF(AND((B12+B4)&gt;B40,(B12+B4)&lt;=C40),(B12+B4-B40)*D40))</f>
        <v>0</v>
      </c>
      <c r="P39" s="13" t="b">
        <f>IF(AND((B12&gt;B39),(B12&lt;=C39)),IF(AND((B12+B4)&gt;B39,(B12+B4)&lt;=C39),0))</f>
        <v>0</v>
      </c>
      <c r="Q39" s="13">
        <f>SUM(F39:P39)</f>
        <v>0</v>
      </c>
    </row>
    <row r="40" spans="1:17">
      <c r="B40" s="4">
        <f t="shared" ref="B40:B49" si="0">C39</f>
        <v>20000</v>
      </c>
      <c r="C40" s="4">
        <v>25000</v>
      </c>
      <c r="D40" s="8">
        <v>0.06</v>
      </c>
      <c r="E40" s="13">
        <v>0</v>
      </c>
      <c r="F40" s="13" t="b">
        <f>IF(AND((B12&gt;B40),(B12&lt;=C40)),IF((B12+B4)&gt;B49,(E49-E41)+(C40-B12)*D40))</f>
        <v>0</v>
      </c>
      <c r="G40" s="13" t="b">
        <f>IF(AND((B12&gt;B40),(B12&lt;=C40)),IF(AND((B12+B4)&gt;B48,(B12+B4)&lt;=C48),((B12+B4-B48)*D48)+(E47-E41)+(C40-B12)*D40))</f>
        <v>0</v>
      </c>
      <c r="H40" s="13" t="b">
        <f>IF(AND((B12&gt;B40),(B12&lt;=C40)),IF(AND((B12+B4)&gt;B47,(B12+B4)&lt;=C47),(E47-E41)+(C40-B12)*D40))</f>
        <v>0</v>
      </c>
      <c r="I40" s="13" t="b">
        <f>IF(AND((B12&gt;B40),(B12&lt;=C40)),IF(AND((B12+B4)&gt;B46,(B12+B4)&lt;=C46),((B12+B4-B46)*D46)+(E45-E41)+(C40-B12)*D40))</f>
        <v>0</v>
      </c>
      <c r="J40" s="13" t="b">
        <f>IF(AND((B12&gt;B40),(B12&lt;=C40)),IF(AND((B12+B4)&gt;B45,(B12+B4)&lt;=C45),(E45-E41)+(C40-B12)*D40))</f>
        <v>0</v>
      </c>
      <c r="K40" s="13" t="b">
        <f>IF(AND((B12&gt;B40),(B12&lt;=C40)),IF(AND((B12+B4)&gt;B44,(B12+B4)&lt;=C44),((B12+B4-B44)*D44)+(E43-E41)+(C40-B12)*D40))</f>
        <v>0</v>
      </c>
      <c r="L40" s="13" t="b">
        <f>IF(AND((B12&gt;B40),(B12&lt;=C40)),IF(AND((B12+B4)&gt;B43,(B12+B4)&lt;=C43),(E43-E41)+(C40-B12)*D40))</f>
        <v>0</v>
      </c>
      <c r="M40" s="13" t="b">
        <f>IF(AND((B12&gt;B40),(B12&lt;=C40)),IF(AND((B12+B4)&gt;B42,(B12+B4)&lt;=C42),((B12+B4-B42)*D42)+((C40-B12)*D40)))</f>
        <v>0</v>
      </c>
      <c r="N40" s="13" t="b">
        <f>IF(AND((B12&gt;B40),(B12&lt;=C40)),IF(AND((B12+B4)&gt;B41,(B12+B4)&lt;=C41),(C40-B12)*D40))</f>
        <v>0</v>
      </c>
      <c r="O40" s="13" t="b">
        <f>IF(AND((B12&gt;B40),(B12&lt;=C40)),IF(AND((B12+B4)&gt;B40,(B12+B4)&lt;=C40),B4*D40))</f>
        <v>0</v>
      </c>
      <c r="P40" s="13"/>
      <c r="Q40" s="13">
        <f t="shared" ref="Q40:Q49" si="1">SUM(F40:P40)</f>
        <v>0</v>
      </c>
    </row>
    <row r="41" spans="1:17">
      <c r="B41" s="4">
        <f t="shared" si="0"/>
        <v>25000</v>
      </c>
      <c r="C41" s="4">
        <v>36000</v>
      </c>
      <c r="E41" s="13">
        <v>300</v>
      </c>
      <c r="F41" s="12" t="b">
        <f>IF(AND((B12&gt;B41),(B12&lt;=C41)),IF((B12+B4)&gt;B49,(E49-E41)))</f>
        <v>0</v>
      </c>
      <c r="G41" s="13" t="b">
        <f>IF(AND((B12&gt;B41),(B12&lt;=C41)),IF(AND((B12+B4)&gt;B48,(B12+B4)&lt;=C48),(B12+B4-B48)*D48+(E47-E41)))</f>
        <v>0</v>
      </c>
      <c r="H41" s="13" t="b">
        <f>IF(AND((B12&gt;B41),(B12&lt;=C41)),IF(AND((B12+B4)&gt;B47,(B12+B4)&lt;=C47),(E47-E41)))</f>
        <v>0</v>
      </c>
      <c r="I41" s="13" t="b">
        <f>IF(AND((B12&gt;B41),(B12&lt;=C41)),IF(AND((B12+B4)&gt;B46,(B12+B4)&lt;=C46),(B12+B4-B46)*D46+(E45-E41)))</f>
        <v>0</v>
      </c>
      <c r="J41" s="13" t="b">
        <f>IF(AND((B12&gt;B41),(B12&lt;=C41)),IF(AND((B12+B4)&gt;B45,(B12+B4)&lt;=C45),(E45-E41)))</f>
        <v>0</v>
      </c>
      <c r="K41" s="13" t="b">
        <f>IF(AND((B12&gt;B41),(B12&lt;=C41)),IF(AND((B12+B4)&gt;B44,(B12+B4)&lt;=C44),((B12+B4-B44)*D44)+(E43-E41)))</f>
        <v>0</v>
      </c>
      <c r="L41" s="13" t="b">
        <f>IF(AND((B12&gt;B41),(B12&lt;=C41)),IF(AND((B12+B4)&gt;B43,(B12+B4)&lt;=C43),(E43-E41)))</f>
        <v>0</v>
      </c>
      <c r="M41" s="13" t="b">
        <f>IF(AND((B12&gt;B41),(B12&lt;=C41)),IF(AND((B12+B4)&gt;B42,(B12+B4)&lt;=C42),(B12+B4-B42)*D42))</f>
        <v>0</v>
      </c>
      <c r="N41" s="13" t="b">
        <f>IF(AND((B12&gt;B41),(B12&lt;=C41)),IF(AND((B12+B4)&gt;B41,(B12+B4)&lt;=C41),0))</f>
        <v>0</v>
      </c>
      <c r="O41" s="13"/>
      <c r="P41" s="13"/>
      <c r="Q41" s="13">
        <f t="shared" si="1"/>
        <v>0</v>
      </c>
    </row>
    <row r="42" spans="1:17">
      <c r="B42" s="4">
        <f t="shared" si="0"/>
        <v>36000</v>
      </c>
      <c r="C42" s="4">
        <v>38500</v>
      </c>
      <c r="D42" s="8">
        <v>0.06</v>
      </c>
      <c r="E42" s="13">
        <v>0</v>
      </c>
      <c r="F42" s="13" t="b">
        <f>IF(AND((B12&gt;B42),(B12&lt;=C42)),IF((B12+B4)&gt;B49,(E49-E43)+(C42-B12)*D42))</f>
        <v>0</v>
      </c>
      <c r="G42" s="13" t="b">
        <f>IF(AND((B12&gt;B42),(B12&lt;=C42)),IF(AND((B12+B4)&gt;B48,(B12+B4)&lt;=C48),((B12+B4-B48)*D48)+(E47-E43)+(C42-B12)*D42))</f>
        <v>0</v>
      </c>
      <c r="H42" s="13" t="b">
        <f>IF(AND((B12&gt;B42),(B12&lt;=C42)),IF(AND((B12+B4)&gt;B47,(B12+B4)&lt;=C47),(E47-E43)+(C42-B12)*D42))</f>
        <v>0</v>
      </c>
      <c r="I42" s="13" t="b">
        <f>IF(AND((B12&gt;B42),(B12&lt;=C42)),IF(AND((B12+B4)&gt;B46,(B12+B4)&lt;=C46),((B12+B4-B46)*D46)+(E45-E43)+(C42-B12)*D42))</f>
        <v>0</v>
      </c>
      <c r="J42" s="13" t="b">
        <f>IF(AND((B12&gt;B42),(B12&lt;=C42)),IF(AND((B12+B4)&gt;B45,(B12+B4)&lt;=C45),(E45-E43)+(C42-B12)*D42))</f>
        <v>0</v>
      </c>
      <c r="K42" s="13" t="b">
        <f>IF(AND((B12&gt;B42),(B12&lt;=C42)),IF(AND((B12+B4)&gt;B44,(B12+B4)&lt;=C44),((B12+B4-B44)*D44)+((C42-B12)*D42)))</f>
        <v>0</v>
      </c>
      <c r="L42" s="13" t="b">
        <f>IF(AND((B12&gt;B42),(B12&lt;=C42)),IF(AND((B12+B4)&gt;B43,(B12+B4)&lt;=C43),(C42-B12)*D42))</f>
        <v>0</v>
      </c>
      <c r="M42" s="13" t="b">
        <f>IF(AND((B12&gt;B42),(B12&lt;=C42)),IF(AND((B12+B4)&gt;B42,(B12+B4)&lt;=C42),B4*D42))</f>
        <v>0</v>
      </c>
      <c r="N42" s="13"/>
      <c r="O42" s="13"/>
      <c r="P42" s="13"/>
      <c r="Q42" s="13">
        <f t="shared" si="1"/>
        <v>0</v>
      </c>
    </row>
    <row r="43" spans="1:17">
      <c r="B43" s="4">
        <f t="shared" si="0"/>
        <v>38500</v>
      </c>
      <c r="C43" s="4">
        <v>48000</v>
      </c>
      <c r="E43" s="13">
        <v>450</v>
      </c>
      <c r="F43" s="13" t="b">
        <f>IF(AND((B12&gt;B43),(B12&lt;=C43)),IF((B12+B4)&gt;B49,(E49-E43)))</f>
        <v>0</v>
      </c>
      <c r="G43" s="13" t="b">
        <f>IF(AND((B12&gt;B43),(B12&lt;=C43)),IF(AND((B12+B4)&gt;B48,(B12+B4)&lt;=C48),(B12+B4-B48)*D48+(E47-E43)))</f>
        <v>0</v>
      </c>
      <c r="H43" s="13" t="b">
        <f>IF(AND((B12&gt;B43),(B12&lt;=C43)),IF(AND((B12+B4)&gt;B47,(B12+B4)&lt;=C47),(E47-E43)))</f>
        <v>0</v>
      </c>
      <c r="I43" s="13" t="b">
        <f>IF(AND((B12&gt;B43),(B12&lt;=C43)),IF(AND((B12+B4)&gt;B46,(B12+B4)&lt;=C46),((B12+B4-B46)*D46)+(E45-E43)))</f>
        <v>0</v>
      </c>
      <c r="J43" s="13" t="b">
        <f>IF(AND((B12&gt;B43),(B12&lt;=C43)),IF(AND((B12+B4)&gt;B45,(B12+B4)&lt;=C45),(E45-E43)))</f>
        <v>0</v>
      </c>
      <c r="K43" s="13" t="b">
        <f>IF(AND((B12&gt;B43),(B12&lt;=C43)),IF(AND((B12+B4)&gt;B44,(B12+B4)&lt;=C44),(B12+B4-B44)*D44))</f>
        <v>0</v>
      </c>
      <c r="L43" s="13" t="b">
        <f>IF(AND((B12&gt;B43),(B12&lt;=C43)),IF(AND((B12+B4)&gt;B43,(B12+B4)&lt;=C43),0))</f>
        <v>0</v>
      </c>
      <c r="M43" s="13"/>
      <c r="N43" s="13"/>
      <c r="O43" s="13"/>
      <c r="P43" s="13"/>
      <c r="Q43" s="13">
        <f t="shared" si="1"/>
        <v>0</v>
      </c>
    </row>
    <row r="44" spans="1:17">
      <c r="B44" s="4">
        <f t="shared" si="0"/>
        <v>48000</v>
      </c>
      <c r="C44" s="4">
        <v>48600</v>
      </c>
      <c r="D44" s="8">
        <v>0.25</v>
      </c>
      <c r="E44" s="13">
        <v>0</v>
      </c>
      <c r="F44" s="13" t="b">
        <f>IF(AND((B12&gt;B44),(B12&lt;=C44)),IF((B12+B4)&gt;B49,(E49-E45)+(C44-B12)*D44))</f>
        <v>0</v>
      </c>
      <c r="G44" s="13" t="b">
        <f>IF(AND((B12&gt;B44),(B12&lt;=C44)),IF(AND((B12+B4)&gt;B48,(B12+B4)&lt;=C48),((B12+B4-B48)*D48)+(E47-E45)+(C44-B12)*D44))</f>
        <v>0</v>
      </c>
      <c r="H44" s="13" t="b">
        <f>IF(AND((B12&gt;B44),(B12&lt;=C44)),IF(AND((B12+B4)&gt;B47,(B12+B4)&lt;=C47),(E47-E45)+(C44-B12)*D44))</f>
        <v>0</v>
      </c>
      <c r="I44" s="13" t="b">
        <f>IF(AND((B12&gt;B44),(B12&lt;=C44)),IF(AND((B12+B4)&gt;B46,(B12+B4)&lt;=C46),((B12+B4-B46)*D46)+((C44-B12)*D44)))</f>
        <v>0</v>
      </c>
      <c r="J44" s="13">
        <f>IF(AND((B12&gt;B44),(B12&lt;=C44)),IF(AND((B12+B4)&gt;B45,(B12+B4)&lt;=C45),(C44-B12)*D44))</f>
        <v>75</v>
      </c>
      <c r="K44" s="13" t="b">
        <f>IF(AND((B12&gt;B44),(B12&lt;=C44)),IF(AND((B12+B4)&gt;B44,(B12+B4)&lt;=C44),B4*D44))</f>
        <v>0</v>
      </c>
      <c r="L44" s="13"/>
      <c r="M44" s="13"/>
      <c r="N44" s="13"/>
      <c r="O44" s="13"/>
      <c r="P44" s="13"/>
      <c r="Q44" s="13">
        <f t="shared" si="1"/>
        <v>75</v>
      </c>
    </row>
    <row r="45" spans="1:17">
      <c r="B45" s="4">
        <f t="shared" si="0"/>
        <v>48600</v>
      </c>
      <c r="C45" s="4">
        <v>72000</v>
      </c>
      <c r="E45" s="13">
        <v>600</v>
      </c>
      <c r="F45" s="13" t="b">
        <f>IF(AND((B12&gt;B45),(B12&lt;=C45)),IF((B12+B4)&gt;B49,(E49-E45)))</f>
        <v>0</v>
      </c>
      <c r="G45" s="13" t="b">
        <f>IF(AND((B12&gt;B45),(B12&lt;=C45)),IF(AND((B12+B4)&gt;B48,(B12+B4)&lt;=C48),((B12+B4-B48)*D48)+(E47-E45)))</f>
        <v>0</v>
      </c>
      <c r="H45" s="13" t="b">
        <f>IF(AND((B12&gt;B45),(B12&lt;=C45)),IF(AND((B12+B4)&gt;B47,(B12+B4)&lt;=C47),(E47-E45)))</f>
        <v>0</v>
      </c>
      <c r="I45" s="13" t="b">
        <f>IF(AND((B12&gt;B45),(B12&lt;=C45)),IF(AND((B12+B4)&gt;B46,(B12+B4)&lt;=C46),(B12+B4-B46)*D46))</f>
        <v>0</v>
      </c>
      <c r="J45" s="13" t="b">
        <f>IF(AND((B12&gt;B45),(B12&lt;=C45)),IF(AND((B12+B4)&gt;B45,(B12+B4)&lt;=C45),0))</f>
        <v>0</v>
      </c>
      <c r="K45" s="13"/>
      <c r="L45" s="13"/>
      <c r="M45" s="13"/>
      <c r="N45" s="13"/>
      <c r="O45" s="13"/>
      <c r="P45" s="13"/>
      <c r="Q45" s="13">
        <f t="shared" si="1"/>
        <v>0</v>
      </c>
    </row>
    <row r="46" spans="1:17">
      <c r="B46" s="4">
        <f t="shared" si="0"/>
        <v>72000</v>
      </c>
      <c r="C46" s="4">
        <v>72600</v>
      </c>
      <c r="D46" s="8">
        <v>0.25</v>
      </c>
      <c r="E46" s="13">
        <v>0</v>
      </c>
      <c r="F46" s="13" t="b">
        <f>IF(AND((B12&gt;B46),(B12&lt;=C46)),IF((B12+B4)&gt;B49,(E49-E47)+(C46-B12)*D46))</f>
        <v>0</v>
      </c>
      <c r="G46" s="13" t="b">
        <f>IF(AND((B12&gt;B46),(B12&lt;=C46)),IF(AND((B12+B4)&gt;B48,(B12+B4)&lt;=C48),((B12+B4-B48)*D48)+((C46-B12)*D46)))</f>
        <v>0</v>
      </c>
      <c r="H46" s="13" t="b">
        <f>IF(AND((B12&gt;B46),(B12&lt;=C46)),IF(AND((B12+B4)&gt;B47,(B12+B4)&lt;=C47),(C46-B12)*D46))</f>
        <v>0</v>
      </c>
      <c r="I46" s="13" t="b">
        <f>IF(AND((B12&gt;B46),(B12&lt;=C46)),IF(AND((B12+B4)&gt;B46,(B12+B4)&lt;=C46),B4*D46))</f>
        <v>0</v>
      </c>
      <c r="J46" s="13"/>
      <c r="K46" s="13"/>
      <c r="L46" s="13"/>
      <c r="M46" s="13"/>
      <c r="N46" s="13"/>
      <c r="O46" s="13"/>
      <c r="P46" s="13"/>
      <c r="Q46" s="13">
        <f t="shared" si="1"/>
        <v>0</v>
      </c>
    </row>
    <row r="47" spans="1:17">
      <c r="B47" s="4">
        <f t="shared" si="0"/>
        <v>72600</v>
      </c>
      <c r="C47" s="4">
        <v>200000</v>
      </c>
      <c r="E47" s="13">
        <v>750</v>
      </c>
      <c r="F47" s="13" t="b">
        <f>IF(AND((B12&gt;B47),(B12&lt;=C47)),IF((B12+B4)&gt;B49,(E49-E47)))</f>
        <v>0</v>
      </c>
      <c r="G47" s="13" t="b">
        <f>IF(AND((B12&gt;B47),(B12&lt;=C47)),IF(AND((B12+B4)&gt;B48,(B12+B4)&lt;=C48),(B12+B4-B48)*D48))</f>
        <v>0</v>
      </c>
      <c r="H47" s="13" t="b">
        <f>IF(AND((B12&gt;B47),(B12&lt;=C47)),IF(AND((B12+B4)&gt;B47,(B12+B4)&lt;=C47),0))</f>
        <v>0</v>
      </c>
      <c r="I47" s="13"/>
      <c r="J47" s="13"/>
      <c r="K47" s="13"/>
      <c r="L47" s="13"/>
      <c r="M47" s="13"/>
      <c r="N47" s="13"/>
      <c r="O47" s="13"/>
      <c r="P47" s="13"/>
      <c r="Q47" s="13">
        <f t="shared" si="1"/>
        <v>0</v>
      </c>
    </row>
    <row r="48" spans="1:17">
      <c r="B48" s="4">
        <f t="shared" si="0"/>
        <v>200000</v>
      </c>
      <c r="C48" s="4">
        <v>200600</v>
      </c>
      <c r="D48" s="8">
        <v>0.25</v>
      </c>
      <c r="E48" s="13">
        <v>0</v>
      </c>
      <c r="F48" s="13" t="b">
        <f>IF(AND((B12&gt;B48),(B12&lt;=C48)),IF((B12+B4)&gt;B49,(C48-B12)*D48))</f>
        <v>0</v>
      </c>
      <c r="G48" s="13" t="b">
        <f>IF(AND((B12&gt;B48),(B12&lt;=C48)),IF(AND((B12+B4)&gt;B48,(B12+B4)&lt;=C48),B4*D48))</f>
        <v>0</v>
      </c>
      <c r="I48" s="13"/>
      <c r="J48" s="13"/>
      <c r="K48" s="13"/>
      <c r="L48" s="13"/>
      <c r="M48" s="13"/>
      <c r="N48" s="13"/>
      <c r="O48" s="13"/>
      <c r="P48" s="13"/>
      <c r="Q48" s="13">
        <f t="shared" si="1"/>
        <v>0</v>
      </c>
    </row>
    <row r="49" spans="1:17">
      <c r="B49" s="4">
        <f t="shared" si="0"/>
        <v>200600</v>
      </c>
      <c r="C49" s="4"/>
      <c r="E49" s="13">
        <v>900</v>
      </c>
      <c r="F49" s="43" t="b">
        <f>IF((B12&gt;B49),IF((B12+B4)&gt;B49,0))</f>
        <v>0</v>
      </c>
      <c r="G49" s="13"/>
      <c r="I49" s="13"/>
      <c r="J49" s="13"/>
      <c r="K49" s="13"/>
      <c r="L49" s="13"/>
      <c r="M49" s="13"/>
      <c r="N49" s="13"/>
      <c r="O49" s="13"/>
      <c r="P49" s="13"/>
      <c r="Q49" s="43">
        <f t="shared" si="1"/>
        <v>0</v>
      </c>
    </row>
    <row r="50" spans="1:17">
      <c r="B50" s="4"/>
      <c r="C50" s="4"/>
      <c r="E50" s="13"/>
      <c r="F50" s="18"/>
      <c r="G50" s="4"/>
      <c r="H50" s="16"/>
      <c r="Q50" s="18">
        <f>SUM(Q39:Q49)</f>
        <v>75</v>
      </c>
    </row>
    <row r="51" spans="1:17">
      <c r="A51" s="3" t="s">
        <v>47</v>
      </c>
      <c r="B51" s="37">
        <f>-IF(B12&gt;=B36,0,)</f>
        <v>0</v>
      </c>
      <c r="C51" s="4" t="s">
        <v>105</v>
      </c>
      <c r="E51" s="13"/>
      <c r="F51" s="18"/>
      <c r="G51" s="4"/>
      <c r="H51" s="16"/>
      <c r="Q51" s="18"/>
    </row>
    <row r="52" spans="1:17">
      <c r="B52" s="37">
        <f>-IF(AND(B12&gt;=C36,B12&lt;B36),IF((B12+B4)&gt;=B36,-(MIN(((B36-B12)*D28),E91-((B36-B12)*D28))),IF(AND((B12+B4)&gt;=C36,(B12+B4)&lt;B36),(E91-((B12-C36)*D28))-(E91-((B12+B4-C36)*D28)))))</f>
        <v>0</v>
      </c>
      <c r="C52" s="4" t="s">
        <v>104</v>
      </c>
      <c r="E52" s="13"/>
      <c r="F52" s="18"/>
      <c r="G52" s="4"/>
      <c r="H52" s="16"/>
      <c r="Q52" s="18"/>
    </row>
    <row r="53" spans="1:17">
      <c r="B53" s="37">
        <f>-IF(AND(B12&gt;=B34,B12&lt;C36),IF((B12+B4)&gt;=B36,-MIN(((B36-B12)*D28),E91-((B36-B12)*D28)),IF(AND((B12+B4)&gt;=B34,(B12+B4)&lt;C36),MIN((B4*D28),E91-(B4*D28)),IF(AND((B12+B4)&gt;=C36,(B12+B4)&lt;B36),MIN(((B12+B4-B34)*D28)-((B12-B34)*D28),(E91-((B12+B4-B34)*D28)-((B12-B34)*D28)))))))</f>
        <v>0</v>
      </c>
      <c r="C53" s="4" t="s">
        <v>103</v>
      </c>
      <c r="E53" s="13"/>
      <c r="F53" s="18"/>
      <c r="G53" s="4"/>
      <c r="Q53" s="18"/>
    </row>
    <row r="54" spans="1:17">
      <c r="B54" s="38">
        <f>-IF(AND(B12&gt;=B28,B12&lt;B34),IF((B12+B4)&gt;=B36,0,IF(AND((B12+B4)&gt;=B34,(B12+B4)&lt;B36),MIN(((B12+B4-B34)*D28),E91-((B12+B4-B34)*D28)),IF(AND(((B12+B4)&gt;=B28),((B12+B4)&lt;B34)),0))))</f>
        <v>0</v>
      </c>
      <c r="C54" s="4" t="s">
        <v>102</v>
      </c>
      <c r="E54" s="13"/>
      <c r="F54" s="18"/>
      <c r="G54" s="4"/>
      <c r="H54" s="16"/>
      <c r="Q54" s="18"/>
    </row>
    <row r="55" spans="1:17">
      <c r="B55" s="37">
        <f>SUM(B51:B54)</f>
        <v>0</v>
      </c>
      <c r="C55" s="4"/>
      <c r="E55" s="13"/>
      <c r="F55" s="18"/>
      <c r="G55" s="4"/>
      <c r="H55" s="16"/>
      <c r="Q55" s="18"/>
    </row>
    <row r="56" spans="1:17">
      <c r="B56" s="37"/>
      <c r="C56" s="4"/>
      <c r="E56" s="13"/>
      <c r="F56" s="18"/>
      <c r="G56" s="4"/>
      <c r="H56" s="16"/>
      <c r="Q56" s="18"/>
    </row>
    <row r="57" spans="1:17">
      <c r="B57" s="37"/>
      <c r="C57" s="4"/>
      <c r="E57" s="13"/>
      <c r="F57" s="18"/>
      <c r="G57" s="4"/>
      <c r="H57" s="16"/>
      <c r="Q57" s="18"/>
    </row>
    <row r="58" spans="1:17">
      <c r="A58" s="3" t="s">
        <v>120</v>
      </c>
      <c r="B58" s="4"/>
      <c r="C58" s="4"/>
      <c r="F58" s="13"/>
      <c r="G58" s="45"/>
      <c r="H58"/>
      <c r="I58" s="16"/>
      <c r="J58" s="10" t="s">
        <v>116</v>
      </c>
      <c r="Q58" s="18"/>
    </row>
    <row r="59" spans="1:17">
      <c r="A59" s="3"/>
      <c r="B59" s="4" t="s">
        <v>116</v>
      </c>
      <c r="C59" s="4" t="s">
        <v>119</v>
      </c>
      <c r="F59" s="3" t="s">
        <v>121</v>
      </c>
      <c r="G59" s="45"/>
      <c r="H59"/>
      <c r="I59" s="80" t="s">
        <v>76</v>
      </c>
      <c r="J59" s="68" t="s">
        <v>75</v>
      </c>
      <c r="K59" s="68" t="s">
        <v>77</v>
      </c>
      <c r="Q59" s="18"/>
    </row>
    <row r="60" spans="1:17" ht="15">
      <c r="A60" s="3"/>
      <c r="B60" t="s">
        <v>31</v>
      </c>
      <c r="C60" t="s">
        <v>32</v>
      </c>
      <c r="F60">
        <v>0</v>
      </c>
      <c r="G60" s="5">
        <f>C28</f>
        <v>41536</v>
      </c>
      <c r="H60" s="7">
        <f>D28</f>
        <v>5.0500000000000003E-2</v>
      </c>
      <c r="I60" s="13">
        <v>0</v>
      </c>
      <c r="J60" s="13">
        <f>IF(AND($B$12&gt;=F60,$B$12&lt;G60),($B$12-F60)*H60,0)</f>
        <v>0</v>
      </c>
      <c r="K60" s="18">
        <f>(IF(J60=0,0,I60+J60))</f>
        <v>0</v>
      </c>
      <c r="Q60" s="18"/>
    </row>
    <row r="61" spans="1:17" ht="15">
      <c r="A61" s="29" t="s">
        <v>20</v>
      </c>
      <c r="B61" s="4">
        <v>456</v>
      </c>
      <c r="C61" s="4">
        <v>456</v>
      </c>
      <c r="F61" s="5">
        <f>G60</f>
        <v>41536</v>
      </c>
      <c r="G61" s="5">
        <f t="shared" ref="G61:G63" si="2">C29</f>
        <v>83075</v>
      </c>
      <c r="H61" s="7">
        <f t="shared" ref="H61:H64" si="3">D29</f>
        <v>9.1499999999999998E-2</v>
      </c>
      <c r="I61" s="12">
        <f>(G60-F60)*H60</f>
        <v>2097.5680000000002</v>
      </c>
      <c r="J61" s="13">
        <f t="shared" ref="J61:J63" si="4">IF(AND($B$12&gt;=F61,$B$12&lt;G61),($B$12-F61)*H61,0)</f>
        <v>618.90599999999995</v>
      </c>
      <c r="K61" s="18">
        <f>(IF(J61=0,0,I61+J61))</f>
        <v>2716.4740000000002</v>
      </c>
      <c r="Q61" s="18"/>
    </row>
    <row r="62" spans="1:17" ht="15">
      <c r="A62" t="s">
        <v>117</v>
      </c>
      <c r="B62" s="82">
        <f>K67</f>
        <v>2210.9185000000002</v>
      </c>
      <c r="C62" s="82">
        <f>K79</f>
        <v>3125.9185000000002</v>
      </c>
      <c r="F62" s="28">
        <f>G61</f>
        <v>83075</v>
      </c>
      <c r="G62" s="5">
        <f t="shared" si="2"/>
        <v>150000</v>
      </c>
      <c r="H62" s="7">
        <f t="shared" si="3"/>
        <v>0.1116</v>
      </c>
      <c r="I62" s="12">
        <f>((G61-F61)*H61)+I61</f>
        <v>5898.3865000000005</v>
      </c>
      <c r="J62" s="13">
        <f t="shared" si="4"/>
        <v>0</v>
      </c>
      <c r="K62" s="18">
        <f>(IF(J62=0,0,I62+J62))</f>
        <v>0</v>
      </c>
      <c r="Q62" s="18"/>
    </row>
    <row r="63" spans="1:17" ht="15">
      <c r="A63" s="29" t="s">
        <v>118</v>
      </c>
      <c r="B63" s="13">
        <f>IF((B61-B62)&lt;0,0,B61-B62)</f>
        <v>0</v>
      </c>
      <c r="C63" s="13">
        <f>IF((C61-C62)&lt;0,0,C61-C62)</f>
        <v>0</v>
      </c>
      <c r="D63" t="s">
        <v>94</v>
      </c>
      <c r="F63" s="5">
        <f>G62</f>
        <v>150000</v>
      </c>
      <c r="G63" s="5">
        <f t="shared" si="2"/>
        <v>220000</v>
      </c>
      <c r="H63" s="7">
        <f t="shared" si="3"/>
        <v>0.1216</v>
      </c>
      <c r="I63" s="12">
        <f t="shared" ref="I63:I64" si="5">((G62-F62)*H62)+I62</f>
        <v>13367.2165</v>
      </c>
      <c r="J63" s="13">
        <f t="shared" si="4"/>
        <v>0</v>
      </c>
      <c r="K63" s="18">
        <f>(IF(J63=0,0,I63+J63))</f>
        <v>0</v>
      </c>
      <c r="Q63" s="18"/>
    </row>
    <row r="64" spans="1:17" ht="15">
      <c r="F64" s="5">
        <f>G63</f>
        <v>220000</v>
      </c>
      <c r="H64" s="7">
        <f t="shared" si="3"/>
        <v>0.13159999999999999</v>
      </c>
      <c r="I64" s="12">
        <f t="shared" si="5"/>
        <v>21879.216500000002</v>
      </c>
      <c r="J64" s="13">
        <f>IF($B$12&gt;=F64,($B$12-F64)*H64,0)</f>
        <v>0</v>
      </c>
      <c r="K64" s="35">
        <f>(IF(J64=0,0,I64+J64))</f>
        <v>0</v>
      </c>
      <c r="Q64" s="18"/>
    </row>
    <row r="65" spans="1:17">
      <c r="A65" t="s">
        <v>117</v>
      </c>
      <c r="B65" s="4">
        <f>K67</f>
        <v>2210.9185000000002</v>
      </c>
      <c r="C65" s="4">
        <f>K79</f>
        <v>3125.9185000000002</v>
      </c>
      <c r="F65" s="13"/>
      <c r="G65" s="45"/>
      <c r="H65"/>
      <c r="I65" s="13"/>
      <c r="J65" s="13"/>
      <c r="K65" s="13">
        <f>SUM(K60:K64)</f>
        <v>2716.4740000000002</v>
      </c>
      <c r="L65" t="s">
        <v>35</v>
      </c>
      <c r="Q65" s="18"/>
    </row>
    <row r="66" spans="1:17">
      <c r="F66" s="13"/>
      <c r="G66" s="45"/>
      <c r="H66" s="70" t="s">
        <v>39</v>
      </c>
      <c r="I66" s="13">
        <f>B34</f>
        <v>10011</v>
      </c>
      <c r="J66" s="16">
        <f>D28</f>
        <v>5.0500000000000003E-2</v>
      </c>
      <c r="K66" s="43">
        <f>IF($B$12&lt;I66,$B$12*J66,I66*J66)</f>
        <v>505.55550000000005</v>
      </c>
      <c r="L66" t="s">
        <v>36</v>
      </c>
      <c r="Q66" s="18"/>
    </row>
    <row r="67" spans="1:17">
      <c r="A67" t="s">
        <v>122</v>
      </c>
      <c r="B67" s="4">
        <f>MIN(B63,B65)</f>
        <v>0</v>
      </c>
      <c r="C67" s="4">
        <f>MIN(C63,C65)</f>
        <v>0</v>
      </c>
      <c r="D67" t="s">
        <v>131</v>
      </c>
      <c r="F67" s="13"/>
      <c r="G67" s="45"/>
      <c r="H67" s="4"/>
      <c r="I67" s="4"/>
      <c r="J67" s="16"/>
      <c r="K67" s="13">
        <f>IF((K65-K66)&lt;=0,0,K65-K66)</f>
        <v>2210.9185000000002</v>
      </c>
      <c r="L67" t="s">
        <v>36</v>
      </c>
      <c r="Q67" s="18"/>
    </row>
    <row r="68" spans="1:17">
      <c r="A68" s="3"/>
      <c r="B68" s="4"/>
      <c r="C68" s="4"/>
      <c r="F68" s="13"/>
      <c r="G68" s="45"/>
      <c r="H68"/>
      <c r="I68" s="13"/>
      <c r="J68" s="13"/>
      <c r="K68" s="13"/>
      <c r="Q68" s="18"/>
    </row>
    <row r="69" spans="1:17">
      <c r="A69" s="29" t="s">
        <v>120</v>
      </c>
      <c r="B69" s="37">
        <f>C67-B67</f>
        <v>0</v>
      </c>
      <c r="C69" s="4"/>
      <c r="D69" s="4"/>
      <c r="F69" s="13"/>
      <c r="G69" s="45"/>
      <c r="H69"/>
      <c r="I69" s="13"/>
      <c r="J69" s="13"/>
      <c r="K69" s="13"/>
      <c r="Q69" s="18"/>
    </row>
    <row r="70" spans="1:17">
      <c r="A70" s="3"/>
      <c r="B70" s="4"/>
      <c r="C70" s="4"/>
      <c r="F70" s="13"/>
      <c r="G70" s="45"/>
      <c r="H70"/>
      <c r="I70" s="16"/>
      <c r="J70" s="10" t="s">
        <v>119</v>
      </c>
      <c r="Q70" s="18"/>
    </row>
    <row r="71" spans="1:17">
      <c r="F71" s="3" t="s">
        <v>121</v>
      </c>
      <c r="G71" s="45"/>
      <c r="H71"/>
      <c r="I71" s="80" t="s">
        <v>76</v>
      </c>
      <c r="J71" s="68" t="s">
        <v>75</v>
      </c>
      <c r="K71" s="68" t="s">
        <v>77</v>
      </c>
      <c r="Q71" s="18"/>
    </row>
    <row r="72" spans="1:17" ht="15">
      <c r="B72" s="4"/>
      <c r="C72" s="4"/>
      <c r="F72">
        <v>0</v>
      </c>
      <c r="G72" s="5">
        <f>C28</f>
        <v>41536</v>
      </c>
      <c r="H72" s="7">
        <f>D28</f>
        <v>5.0500000000000003E-2</v>
      </c>
      <c r="I72" s="13">
        <v>0</v>
      </c>
      <c r="J72" s="13">
        <f>IF(AND(($B$12+$B$4)&gt;=F72,($B$12+$B$4)&lt;G72),($B$12+$B$4-F72)*H72,0)</f>
        <v>0</v>
      </c>
      <c r="K72" s="18">
        <f>(IF(J72=0,0,I72+J72))</f>
        <v>0</v>
      </c>
      <c r="Q72" s="18"/>
    </row>
    <row r="73" spans="1:17" ht="15">
      <c r="D73" s="26"/>
      <c r="F73" s="5">
        <f>G72</f>
        <v>41536</v>
      </c>
      <c r="G73" s="5">
        <f t="shared" ref="G73:G75" si="6">C29</f>
        <v>83075</v>
      </c>
      <c r="H73" s="7">
        <f t="shared" ref="H73:H76" si="7">D29</f>
        <v>9.1499999999999998E-2</v>
      </c>
      <c r="I73" s="12">
        <f>(G72-F72)*H72</f>
        <v>2097.5680000000002</v>
      </c>
      <c r="J73" s="13">
        <f>IF(AND(($B$12+$B$4)&gt;=F73,($B$12+$B$4)&lt;G73),($B$12+$B$4-F73)*H73,0)</f>
        <v>1533.9059999999999</v>
      </c>
      <c r="K73" s="18">
        <f t="shared" ref="K73:K76" si="8">(IF(J73=0,0,I73+J73))</f>
        <v>3631.4740000000002</v>
      </c>
      <c r="Q73" s="18"/>
    </row>
    <row r="74" spans="1:17" ht="15">
      <c r="F74" s="28">
        <f>G73</f>
        <v>83075</v>
      </c>
      <c r="G74" s="5">
        <f t="shared" si="6"/>
        <v>150000</v>
      </c>
      <c r="H74" s="7">
        <f t="shared" si="7"/>
        <v>0.1116</v>
      </c>
      <c r="I74" s="12">
        <f>((G73-F73)*H73)+I73</f>
        <v>5898.3865000000005</v>
      </c>
      <c r="J74" s="13">
        <f t="shared" ref="J74:J75" si="9">IF(AND(($B$12+$B$4)&gt;=F74,($B$12+$B$4)&lt;G74),($B$12+$B$4-F74)*H74,0)</f>
        <v>0</v>
      </c>
      <c r="K74" s="18">
        <f t="shared" si="8"/>
        <v>0</v>
      </c>
      <c r="Q74" s="18"/>
    </row>
    <row r="75" spans="1:17" ht="15">
      <c r="F75" s="5">
        <f>G74</f>
        <v>150000</v>
      </c>
      <c r="G75" s="5">
        <f t="shared" si="6"/>
        <v>220000</v>
      </c>
      <c r="H75" s="7">
        <f t="shared" si="7"/>
        <v>0.1216</v>
      </c>
      <c r="I75" s="12">
        <f t="shared" ref="I75:I76" si="10">((G74-F74)*H74)+I74</f>
        <v>13367.2165</v>
      </c>
      <c r="J75" s="13">
        <f t="shared" si="9"/>
        <v>0</v>
      </c>
      <c r="K75" s="18">
        <f t="shared" si="8"/>
        <v>0</v>
      </c>
      <c r="Q75" s="18"/>
    </row>
    <row r="76" spans="1:17" ht="15">
      <c r="A76" s="3"/>
      <c r="B76" s="4"/>
      <c r="C76" s="4"/>
      <c r="F76" s="5">
        <f>G75</f>
        <v>220000</v>
      </c>
      <c r="H76" s="7">
        <f t="shared" si="7"/>
        <v>0.13159999999999999</v>
      </c>
      <c r="I76" s="12">
        <f t="shared" si="10"/>
        <v>21879.216500000002</v>
      </c>
      <c r="J76" s="13">
        <f>IF(($B$12+$B$4)&gt;=F76,($B$12+$B$4-F76)*H76,0)</f>
        <v>0</v>
      </c>
      <c r="K76" s="35">
        <f t="shared" si="8"/>
        <v>0</v>
      </c>
      <c r="Q76" s="18"/>
    </row>
    <row r="77" spans="1:17">
      <c r="A77" s="3"/>
      <c r="B77" s="4"/>
      <c r="C77" s="4"/>
      <c r="F77" s="13"/>
      <c r="G77" s="45"/>
      <c r="H77"/>
      <c r="I77" s="16"/>
      <c r="K77" s="18">
        <f>SUM(K72:K76)</f>
        <v>3631.4740000000002</v>
      </c>
      <c r="Q77" s="18"/>
    </row>
    <row r="78" spans="1:17">
      <c r="A78" s="3"/>
      <c r="B78" s="4"/>
      <c r="C78" s="4"/>
      <c r="F78" s="13"/>
      <c r="G78" s="45"/>
      <c r="H78" s="70" t="s">
        <v>39</v>
      </c>
      <c r="I78" s="13">
        <f>B34</f>
        <v>10011</v>
      </c>
      <c r="J78" s="16">
        <f>D28</f>
        <v>5.0500000000000003E-2</v>
      </c>
      <c r="K78" s="43">
        <f>IF(($B$12+$B$4)&lt;I78,($B$12+$B$4)*J78,I78*J78)</f>
        <v>505.55550000000005</v>
      </c>
      <c r="Q78" s="18"/>
    </row>
    <row r="79" spans="1:17">
      <c r="A79" s="3"/>
      <c r="B79" s="4"/>
      <c r="C79" s="4"/>
      <c r="F79" s="13"/>
      <c r="G79" s="45"/>
      <c r="H79"/>
      <c r="I79" s="16"/>
      <c r="K79" s="13">
        <f>IF((K77-K78)&lt;=0,0,K77-K78)</f>
        <v>3125.9185000000002</v>
      </c>
      <c r="Q79" s="18"/>
    </row>
    <row r="80" spans="1:17">
      <c r="B80" s="37"/>
      <c r="C80" s="4"/>
      <c r="E80" s="13"/>
      <c r="Q80" s="18"/>
    </row>
    <row r="81" spans="1:17">
      <c r="A81" s="2" t="s">
        <v>14</v>
      </c>
      <c r="E81" s="36"/>
      <c r="F81" s="21"/>
      <c r="G81" s="4"/>
      <c r="H81" s="4"/>
      <c r="I81" s="16"/>
    </row>
    <row r="82" spans="1:17">
      <c r="B82" s="11"/>
      <c r="C82" t="s">
        <v>15</v>
      </c>
      <c r="H82" s="36"/>
      <c r="J82" s="4"/>
      <c r="K82" s="4"/>
      <c r="L82" s="16"/>
    </row>
    <row r="83" spans="1:17">
      <c r="H83" s="36"/>
      <c r="J83" s="4"/>
      <c r="K83" s="4"/>
      <c r="L83" s="16"/>
    </row>
    <row r="84" spans="1:17">
      <c r="A84" t="s">
        <v>24</v>
      </c>
      <c r="B84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2050</v>
      </c>
      <c r="C84" t="s">
        <v>17</v>
      </c>
      <c r="H84" s="44"/>
      <c r="K84" s="4"/>
      <c r="L84" s="16"/>
    </row>
    <row r="85" spans="1:17">
      <c r="B85" s="37">
        <f>-IF(B12&gt;=B24,0,IF(B12&lt;B24,IF((B12+B4)&gt;B24,(B24-B12)*D18,B4*D18)))</f>
        <v>0</v>
      </c>
      <c r="C85" t="s">
        <v>38</v>
      </c>
      <c r="H85" s="44"/>
      <c r="K85" s="4"/>
      <c r="L85" s="16"/>
    </row>
    <row r="86" spans="1:17">
      <c r="B86" s="12">
        <f>IF(AND((B4+B12)&gt;=B28,(B4+B12)&lt;=C28),B4*D28,IF(AND((B4+B12)&gt;B29,(B4+B12)&lt;=C29),IF((B4+B12-B29)&gt;B4,B4*D29,((B4+B12-B29)*D29)+((B4-(B4+B12-B29))*D28)),IF(AND((B4+B12)&gt;B30,(B4+B12)&lt;=C30),IF((B4+B12-B30)&gt;B4,B4*D30,IF((B4+B12-B29)&gt;B4,(((B4+B12-B30)*D30)+((B4-(B4+B12-B30))*D29)),((B4+B12-B30)*D30)+((C29-B29)*D29)+((B4-(B4+B12-B29))*D28))),IF(AND((B4+B12)&gt;B31,(B4+B12)&lt;=C31),IF((B4+B12-B31)&gt;B4,B4*D31,IF((B4+B12-B30)&gt;B4,(((B4+B12-B31)*D31)+((B4-(B4+B12-B31))*D30)),IF((B4+B12-B29)&gt;B4,(((B4+B12-B31)*D31)+((C30-B30)*D30)+((B4-(B4+B12-B30))*D29)),((B4+B12-B31)*D31)+((C30-B30)*D30)+((C29-B29)*D29)+((B4-(B4+B12-B29))*D28)))),IF((B4+B12)&gt;B32,IF((B4+B12-B32)&gt;B4,B4*D32,IF((B4+B12-B31)&gt;B4,(((B4+B12-B32)*D32)+((B4-(B4+B12-B32))*D31)),IF((B4+B12-B30)&gt;B4,(((B4+B12-B32)*D32)+((C31-B31)*D31)+((B4-(B4+B12-B31))*D30)),IF((B4+B12-B29)&gt;B4,(((B4+B12-B32)*D32)+((C31-B31)*D31)+((C30-B30)*D30)+((B4-(B4+B12-B30))*D29)),((B4+B12-B32)*D32)+((C31-B31)*D31)+((C30-B30)*D30)+((C29-B29)*D29)+((B4-(B4+B12-B29))*D28))))))))))</f>
        <v>915</v>
      </c>
      <c r="C86" t="s">
        <v>18</v>
      </c>
    </row>
    <row r="87" spans="1:17">
      <c r="B87" s="37">
        <f>-IF(B12&gt;=B34,0,IF(B12&lt;B34,IF((B12+B4)&gt;B34,(B34-B12)*D28,B4*D28)))</f>
        <v>0</v>
      </c>
      <c r="C87" t="s">
        <v>40</v>
      </c>
    </row>
    <row r="88" spans="1:17">
      <c r="B88" s="37"/>
      <c r="D88" t="s">
        <v>19</v>
      </c>
      <c r="E88" t="s">
        <v>20</v>
      </c>
    </row>
    <row r="89" spans="1:17">
      <c r="B89" s="12" t="b">
        <f>IF(AND((B4+B12)&gt;=E89,(B4+B12)&lt;=C29),IF((B4+B12-E89)&gt;B4,B4*D29*D89,(B4+B12-E89)*D29*D89),IF(AND((B4+B12)&gt;B30,(B4+B12)&lt;=C30),IF((B4+B12-B30)&gt;B4,B4*D30*D89,IF((B4+B12-E89)&gt;B4,(((B4+B12-B30)*D30*D89)+((B4-(B4+B12-B30))*D29*D89)),((B4+B12-B30)*D30*D89)+((B30-E89)*D29*D89))),IF(AND((B4+B12)&gt;B31,(B4+B12)&lt;=C31),IF((B4+B12-B31)&gt;B4,B4*D31*D89,IF((B4+B12-B30)&gt;B4,(((B4+B12-B31)*D31*D89)+((B4-(B4+B12-B31))*D30*D89)),IF((B4+B12-E89)&gt;B4,(((B4+B12-B31)*D31*D89)+(((C30-B30)*D30*D89))+((B4-(B4+B12-B30))*D29*D89)),(((B4+B12-B31)*D31*D89)+(((C30-B30)*D30*D89))+((C29-E89)*D29*D89))))),IF((B4+B12)&gt;B32,IF((B4+B12-B32)&gt;B4,B4*D32*D89,IF((B4+B12-B31)&gt;B4,(((B4+B12-B32)*D32*D89)+((B4-(B4+B12-B32))*D31*D89)),IF((B4+B12-B30)&gt;B4,(((B4+B12-B32)*D32*D89)+(((C31-B31)*D31*D89))+((B4-(B4+B12-B31))*D30*D89)),IF((B4+B12-E89)&gt;B4,(((B4+B12-B32)*D32*D89)+(((C31-B31)*D31*D89))+(((C30-B30)*D30*D89))+((B4-(B4+B12-B30))*D29*D89)),(((B4+B12-B32)*D32*D89)+(((C31-B31)*D31*D89))+(((C30-B30)*D30*D89))+((C29-E89)*D29*D89))))))))))</f>
        <v>0</v>
      </c>
      <c r="C89" t="s">
        <v>21</v>
      </c>
      <c r="D89" s="8">
        <v>0.2</v>
      </c>
      <c r="E89" s="13">
        <v>73145</v>
      </c>
      <c r="F89" s="13"/>
      <c r="G89" s="13"/>
      <c r="K89" s="4"/>
      <c r="L89" s="4"/>
      <c r="P89" s="18"/>
      <c r="Q89" s="15"/>
    </row>
    <row r="90" spans="1:17">
      <c r="B90" s="12" t="b">
        <f>IF(AND((B4+B12)&gt;=E90,(B4+B12)&lt;=C30),IF((B4+B12-E90)&gt;B4,B4*D30*D90,(B4+B12-E90)*D30*D90),IF(AND((B4+B12)&gt;B31,(B4+B12)&lt;=C31),IF((B4+B12-B31)&gt;B4,B4*D31*D90,IF((B4+B12-E90)&gt;B4,(((B4+B12-B31)*D31*D90)+((B4-(B4+B12-B31))*D30*D90)),((B4+B12-B31)*D31*D90)+((C30-E90)*D30*D90))),IF((B4+B12)&gt;B32,IF((B4+B12-B32)&gt;B4,B4*D32*D90,IF((B4+B12-B31)&gt;B4,(((B4+B12-B32)*D32*D90)+((B4-(B4+B12-B32))*D31*D90)),IF((B4+B12-E90)&gt;B4,(((B4+B12-B32)*D32*D90)+(((C31-B31)*D31*D90))+((B4-(B4+B12-B31))*D30*D90)),((B4+B12-B32)*D32*D90)+((C31-B31)*D31*D90)+((C30-E90)*D30*D90)))))))</f>
        <v>0</v>
      </c>
      <c r="C90" t="s">
        <v>21</v>
      </c>
      <c r="D90" s="8">
        <v>0.36</v>
      </c>
      <c r="E90" s="13">
        <v>86176</v>
      </c>
      <c r="F90" s="13"/>
      <c r="K90" s="4"/>
      <c r="L90" s="4"/>
    </row>
    <row r="91" spans="1:17">
      <c r="B91" s="40">
        <f>-B69</f>
        <v>0</v>
      </c>
      <c r="C91" t="s">
        <v>41</v>
      </c>
      <c r="D91" s="8"/>
      <c r="E91" s="13">
        <v>456</v>
      </c>
      <c r="F91" s="48"/>
      <c r="G91" s="48"/>
      <c r="H91" s="48"/>
      <c r="I91" s="49"/>
      <c r="J91" s="49"/>
      <c r="K91" s="50"/>
      <c r="L91" s="50"/>
      <c r="M91" s="49"/>
    </row>
    <row r="92" spans="1:17">
      <c r="B92" s="38">
        <f>Q50</f>
        <v>75</v>
      </c>
      <c r="C92" t="s">
        <v>43</v>
      </c>
      <c r="D92" s="8"/>
      <c r="E92" s="13"/>
      <c r="F92" s="48"/>
      <c r="G92" s="49"/>
      <c r="H92" s="48"/>
      <c r="I92" s="48"/>
      <c r="J92" s="51"/>
      <c r="K92" s="50"/>
      <c r="L92" s="50"/>
      <c r="M92" s="49"/>
    </row>
    <row r="93" spans="1:17">
      <c r="A93" s="10" t="s">
        <v>26</v>
      </c>
      <c r="B93" s="47">
        <f>SUM(B84:B92)</f>
        <v>3040</v>
      </c>
      <c r="F93" s="49"/>
      <c r="G93" s="49"/>
      <c r="H93" s="48"/>
      <c r="I93" s="49"/>
      <c r="J93" s="49"/>
      <c r="K93" s="51"/>
      <c r="L93" s="50"/>
      <c r="M93" s="49"/>
    </row>
    <row r="94" spans="1:17">
      <c r="E94" s="18"/>
      <c r="F94" s="51"/>
      <c r="G94" s="49"/>
      <c r="H94" s="48"/>
      <c r="I94" s="51"/>
      <c r="J94" s="51"/>
      <c r="K94" s="49"/>
      <c r="L94" s="49"/>
      <c r="M94" s="49"/>
      <c r="Q94" s="15"/>
    </row>
    <row r="95" spans="1:17">
      <c r="B95" s="13"/>
      <c r="F95" s="49"/>
      <c r="G95" s="49"/>
      <c r="H95" s="48"/>
      <c r="I95" s="49"/>
      <c r="J95" s="49"/>
      <c r="K95" s="49"/>
      <c r="L95" s="49"/>
      <c r="M95" s="49"/>
    </row>
    <row r="96" spans="1:17">
      <c r="A96" s="19" t="s">
        <v>49</v>
      </c>
      <c r="B96" s="13"/>
      <c r="F96" s="49"/>
      <c r="G96" s="49"/>
      <c r="H96" s="48"/>
      <c r="I96" s="48"/>
      <c r="J96" s="51"/>
      <c r="K96" s="49"/>
      <c r="L96" s="49"/>
      <c r="M96" s="49"/>
    </row>
    <row r="97" spans="1:13">
      <c r="A97" t="s">
        <v>129</v>
      </c>
      <c r="B97" s="13">
        <f>SUM(B84:B85)</f>
        <v>2050</v>
      </c>
      <c r="F97" s="49"/>
      <c r="G97" s="49"/>
      <c r="H97" s="48"/>
      <c r="I97" s="49"/>
      <c r="J97" s="49"/>
      <c r="K97" s="49"/>
      <c r="L97" s="49"/>
      <c r="M97" s="49"/>
    </row>
    <row r="98" spans="1:13">
      <c r="A98" t="s">
        <v>130</v>
      </c>
      <c r="B98" s="35">
        <f>SUM(B86:B92)</f>
        <v>990</v>
      </c>
      <c r="F98" s="49"/>
      <c r="G98" s="49"/>
      <c r="H98" s="48"/>
      <c r="I98" s="51"/>
      <c r="J98" s="51"/>
      <c r="K98" s="49"/>
      <c r="L98" s="49"/>
      <c r="M98" s="49"/>
    </row>
    <row r="99" spans="1:13">
      <c r="B99" s="13">
        <f>SUM(B97:B98)</f>
        <v>3040</v>
      </c>
      <c r="F99" s="49"/>
      <c r="G99" s="49"/>
      <c r="H99" s="48"/>
      <c r="I99" s="49"/>
      <c r="J99" s="49"/>
      <c r="K99" s="49"/>
      <c r="L99" s="49"/>
      <c r="M99" s="49"/>
    </row>
    <row r="100" spans="1:13">
      <c r="B100" s="13"/>
      <c r="F100" s="49"/>
      <c r="G100" s="49"/>
      <c r="H100" s="48"/>
      <c r="I100" s="48"/>
      <c r="J100" s="51"/>
      <c r="K100" s="49"/>
      <c r="L100" s="49"/>
      <c r="M100" s="49"/>
    </row>
    <row r="101" spans="1:13">
      <c r="B101" s="13"/>
      <c r="F101" s="49"/>
      <c r="G101" s="49"/>
      <c r="H101" s="48"/>
      <c r="I101" s="49"/>
      <c r="J101" s="49"/>
      <c r="K101" s="49"/>
      <c r="L101" s="49"/>
      <c r="M101" s="49"/>
    </row>
    <row r="102" spans="1:13">
      <c r="B102" s="13"/>
      <c r="F102" s="49"/>
      <c r="G102" s="49"/>
      <c r="H102" s="48"/>
      <c r="I102" s="51"/>
      <c r="J102" s="51"/>
      <c r="K102" s="49"/>
      <c r="L102" s="49"/>
      <c r="M102" s="49"/>
    </row>
    <row r="103" spans="1:13">
      <c r="B103" s="13"/>
      <c r="F103" s="49"/>
      <c r="G103" s="49"/>
      <c r="H103" s="48"/>
      <c r="I103" s="49"/>
      <c r="J103" s="49"/>
      <c r="K103" s="49"/>
      <c r="L103" s="49"/>
      <c r="M103" s="49"/>
    </row>
    <row r="104" spans="1:13">
      <c r="B104" s="15"/>
      <c r="F104" s="49"/>
      <c r="G104" s="49"/>
      <c r="H104" s="52"/>
      <c r="I104" s="49"/>
      <c r="J104" s="49"/>
      <c r="K104" s="49"/>
      <c r="L104" s="49"/>
      <c r="M104" s="49"/>
    </row>
    <row r="105" spans="1:13">
      <c r="F105" s="49"/>
      <c r="G105" s="49"/>
      <c r="H105" s="48"/>
      <c r="I105" s="49"/>
      <c r="J105" s="49"/>
      <c r="K105" s="49"/>
      <c r="L105" s="49"/>
      <c r="M105" s="49"/>
    </row>
    <row r="106" spans="1:13">
      <c r="F106" s="49"/>
      <c r="G106" s="49"/>
      <c r="H106" s="48"/>
      <c r="I106" s="50"/>
      <c r="J106" s="50"/>
      <c r="K106" s="49"/>
      <c r="L106" s="49"/>
      <c r="M106" s="49"/>
    </row>
    <row r="107" spans="1:13">
      <c r="F107" s="49"/>
      <c r="G107" s="49"/>
      <c r="H107" s="48"/>
      <c r="I107" s="49"/>
      <c r="J107" s="49"/>
      <c r="K107" s="49"/>
      <c r="L107" s="49"/>
      <c r="M107" s="49"/>
    </row>
    <row r="108" spans="1:13">
      <c r="H108" s="12"/>
    </row>
    <row r="110" spans="1:13">
      <c r="H110" s="41"/>
      <c r="M110" s="22"/>
    </row>
  </sheetData>
  <dataValidations disablePrompts="1" count="1">
    <dataValidation type="list" allowBlank="1" showInputMessage="1" showErrorMessage="1" sqref="B8">
      <formula1>$H$1:$H$13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"/>
  <sheetViews>
    <sheetView tabSelected="1" topLeftCell="A118" zoomScale="85" zoomScaleNormal="85" zoomScalePageLayoutView="85" workbookViewId="0">
      <selection activeCell="B149" sqref="B149"/>
    </sheetView>
  </sheetViews>
  <sheetFormatPr baseColWidth="10" defaultColWidth="8.83203125" defaultRowHeight="14" x14ac:dyDescent="0"/>
  <cols>
    <col min="1" max="1" width="39" customWidth="1"/>
    <col min="2" max="2" width="14.1640625" customWidth="1"/>
    <col min="3" max="3" width="11.6640625" customWidth="1"/>
    <col min="4" max="4" width="11.83203125" customWidth="1"/>
    <col min="5" max="5" width="10.5" bestFit="1" customWidth="1"/>
    <col min="6" max="7" width="10.5" customWidth="1"/>
    <col min="8" max="8" width="16.83203125" style="13" customWidth="1"/>
    <col min="9" max="9" width="11.6640625" bestFit="1" customWidth="1"/>
    <col min="10" max="10" width="12.83203125" bestFit="1" customWidth="1"/>
    <col min="11" max="11" width="12" bestFit="1" customWidth="1"/>
    <col min="12" max="12" width="10.1640625" bestFit="1" customWidth="1"/>
    <col min="13" max="13" width="12.33203125" bestFit="1" customWidth="1"/>
    <col min="17" max="17" width="9.5" bestFit="1" customWidth="1"/>
  </cols>
  <sheetData>
    <row r="1" spans="1:14">
      <c r="B1" s="1"/>
      <c r="C1" t="s">
        <v>0</v>
      </c>
      <c r="E1" t="s">
        <v>28</v>
      </c>
      <c r="F1" t="s">
        <v>34</v>
      </c>
      <c r="I1" s="31" t="s">
        <v>37</v>
      </c>
    </row>
    <row r="2" spans="1:14">
      <c r="A2" s="2" t="s">
        <v>2</v>
      </c>
      <c r="E2" t="s">
        <v>29</v>
      </c>
      <c r="F2" t="s">
        <v>33</v>
      </c>
      <c r="I2" s="31" t="s">
        <v>85</v>
      </c>
    </row>
    <row r="3" spans="1:14">
      <c r="A3" s="3" t="s">
        <v>30</v>
      </c>
      <c r="H3" s="48"/>
      <c r="I3" s="48"/>
      <c r="J3" s="51"/>
      <c r="K3" s="49"/>
      <c r="L3" s="21"/>
      <c r="M3" s="21"/>
      <c r="N3" s="21"/>
    </row>
    <row r="4" spans="1:14">
      <c r="E4" t="s">
        <v>69</v>
      </c>
      <c r="F4" t="s">
        <v>28</v>
      </c>
      <c r="H4" s="49"/>
      <c r="I4" s="48"/>
      <c r="J4" s="48"/>
      <c r="K4" s="51"/>
      <c r="L4" s="21"/>
      <c r="M4" s="21"/>
      <c r="N4" s="21"/>
    </row>
    <row r="5" spans="1:14">
      <c r="A5" t="s">
        <v>30</v>
      </c>
      <c r="B5" s="61">
        <v>8000</v>
      </c>
      <c r="E5" t="s">
        <v>70</v>
      </c>
      <c r="F5" t="s">
        <v>29</v>
      </c>
      <c r="H5" s="21"/>
      <c r="I5" s="37"/>
      <c r="J5" s="37"/>
      <c r="K5" s="37"/>
      <c r="L5" s="21"/>
      <c r="M5" s="21"/>
      <c r="N5" s="21"/>
    </row>
    <row r="6" spans="1:14" ht="28">
      <c r="A6" s="29" t="s">
        <v>52</v>
      </c>
      <c r="B6" s="34" t="s">
        <v>34</v>
      </c>
      <c r="E6" s="31"/>
      <c r="F6" t="s">
        <v>74</v>
      </c>
      <c r="H6" s="21"/>
      <c r="I6" s="12"/>
      <c r="J6" s="37"/>
      <c r="K6" s="37"/>
      <c r="L6" s="21"/>
      <c r="M6" s="21"/>
      <c r="N6" s="21"/>
    </row>
    <row r="7" spans="1:14">
      <c r="A7" s="29" t="s">
        <v>51</v>
      </c>
      <c r="B7" s="34" t="s">
        <v>28</v>
      </c>
      <c r="E7" s="31"/>
      <c r="F7" s="31"/>
      <c r="H7" s="21"/>
      <c r="I7" s="48"/>
      <c r="J7" s="49"/>
      <c r="K7" s="40"/>
      <c r="L7" s="21"/>
      <c r="M7" s="21"/>
      <c r="N7" s="21"/>
    </row>
    <row r="8" spans="1:14">
      <c r="A8" s="29"/>
      <c r="E8" s="31"/>
      <c r="F8" s="31"/>
      <c r="H8" s="21"/>
      <c r="I8" s="48"/>
      <c r="J8" s="48"/>
      <c r="K8" s="48"/>
      <c r="L8" s="21"/>
      <c r="M8" s="21"/>
      <c r="N8" s="21"/>
    </row>
    <row r="9" spans="1:14">
      <c r="A9" s="31" t="s">
        <v>73</v>
      </c>
      <c r="E9" s="31"/>
      <c r="H9" s="21"/>
      <c r="I9" s="48"/>
      <c r="J9" s="49"/>
      <c r="K9" s="49"/>
      <c r="L9" s="21"/>
      <c r="M9" s="21"/>
      <c r="N9" s="21"/>
    </row>
    <row r="10" spans="1:14">
      <c r="A10" s="29" t="s">
        <v>71</v>
      </c>
      <c r="B10" s="1" t="s">
        <v>69</v>
      </c>
      <c r="E10" s="31"/>
      <c r="H10" s="49"/>
      <c r="I10" s="48"/>
      <c r="J10" s="48"/>
      <c r="K10" s="40"/>
      <c r="L10" s="21"/>
      <c r="M10" s="21"/>
      <c r="N10" s="21"/>
    </row>
    <row r="11" spans="1:14">
      <c r="A11" s="29" t="s">
        <v>72</v>
      </c>
      <c r="B11" s="1">
        <v>2000</v>
      </c>
      <c r="C11" s="31" t="s">
        <v>125</v>
      </c>
      <c r="E11" s="31"/>
      <c r="F11" s="31"/>
      <c r="H11" s="21"/>
      <c r="I11" s="40"/>
      <c r="J11" s="40"/>
      <c r="K11" s="40"/>
      <c r="L11" s="21"/>
      <c r="M11" s="21"/>
      <c r="N11" s="21"/>
    </row>
    <row r="12" spans="1:14" s="21" customFormat="1">
      <c r="A12" s="62"/>
      <c r="B12"/>
      <c r="E12" s="63"/>
      <c r="F12" s="63"/>
      <c r="G12" s="64"/>
      <c r="I12" s="40"/>
      <c r="J12" s="40"/>
      <c r="K12" s="40"/>
    </row>
    <row r="13" spans="1:14">
      <c r="A13" s="2" t="s">
        <v>5</v>
      </c>
      <c r="G13" s="13"/>
      <c r="H13" s="49"/>
      <c r="I13" s="40"/>
      <c r="J13" s="40"/>
      <c r="K13" s="40"/>
      <c r="L13" s="21"/>
      <c r="M13" s="21"/>
      <c r="N13" s="21"/>
    </row>
    <row r="14" spans="1:14">
      <c r="A14" t="s">
        <v>6</v>
      </c>
      <c r="B14" s="1" t="s">
        <v>1</v>
      </c>
      <c r="G14" s="18"/>
      <c r="H14" s="49"/>
      <c r="I14" s="40"/>
      <c r="J14" s="40"/>
      <c r="K14" s="40"/>
      <c r="L14" s="21"/>
      <c r="M14" s="21"/>
      <c r="N14" s="21"/>
    </row>
    <row r="15" spans="1:14">
      <c r="H15" s="49"/>
      <c r="I15" s="40"/>
      <c r="J15" s="40"/>
      <c r="K15" s="40"/>
      <c r="L15" s="21"/>
      <c r="M15" s="21"/>
      <c r="N15" s="21"/>
    </row>
    <row r="16" spans="1:14">
      <c r="H16" s="49"/>
      <c r="I16" s="48"/>
      <c r="J16" s="48"/>
      <c r="K16" s="48"/>
      <c r="L16" s="21"/>
      <c r="M16" s="21"/>
      <c r="N16" s="21"/>
    </row>
    <row r="17" spans="1:14">
      <c r="H17" s="49"/>
      <c r="I17" s="48"/>
      <c r="J17" s="37"/>
      <c r="K17" s="49"/>
      <c r="L17" s="21"/>
      <c r="M17" s="21"/>
      <c r="N17" s="21"/>
    </row>
    <row r="18" spans="1:14">
      <c r="A18" t="s">
        <v>7</v>
      </c>
      <c r="B18" s="1">
        <v>10000</v>
      </c>
      <c r="H18" s="49"/>
      <c r="I18" s="48"/>
      <c r="J18" s="37"/>
      <c r="K18" s="50"/>
      <c r="L18" s="21"/>
      <c r="M18" s="21"/>
      <c r="N18" s="21"/>
    </row>
    <row r="19" spans="1:14">
      <c r="A19" s="2" t="s">
        <v>8</v>
      </c>
    </row>
    <row r="20" spans="1:14" ht="15" customHeight="1">
      <c r="A20" s="3" t="s">
        <v>9</v>
      </c>
    </row>
    <row r="21" spans="1:14">
      <c r="B21" s="27" t="s">
        <v>25</v>
      </c>
      <c r="C21" s="21"/>
      <c r="D21" s="21"/>
      <c r="F21" s="27"/>
      <c r="G21" s="21"/>
      <c r="H21" s="21"/>
    </row>
    <row r="22" spans="1:14" ht="15">
      <c r="A22" t="s">
        <v>10</v>
      </c>
      <c r="B22" s="55">
        <v>0</v>
      </c>
      <c r="C22" s="28">
        <v>45282</v>
      </c>
      <c r="D22" s="78">
        <v>0.15</v>
      </c>
      <c r="F22" s="55"/>
      <c r="G22" s="28"/>
      <c r="H22" s="78"/>
      <c r="I22" s="5"/>
      <c r="J22" s="6"/>
      <c r="K22" s="6"/>
      <c r="L22" s="4"/>
      <c r="M22" s="5"/>
      <c r="N22" s="6"/>
    </row>
    <row r="23" spans="1:14" ht="15">
      <c r="A23" t="s">
        <v>11</v>
      </c>
      <c r="B23" s="28">
        <f>C22</f>
        <v>45282</v>
      </c>
      <c r="C23" s="28">
        <v>90563</v>
      </c>
      <c r="D23" s="79">
        <v>0.20499999999999999</v>
      </c>
      <c r="F23" s="28"/>
      <c r="G23" s="28"/>
      <c r="H23" s="79"/>
      <c r="I23" s="5"/>
      <c r="J23" s="7"/>
      <c r="K23" s="7"/>
      <c r="L23" s="5"/>
      <c r="M23" s="5"/>
      <c r="N23" s="7"/>
    </row>
    <row r="24" spans="1:14" ht="15">
      <c r="A24" t="s">
        <v>11</v>
      </c>
      <c r="B24" s="28">
        <f>C23</f>
        <v>90563</v>
      </c>
      <c r="C24" s="28">
        <v>140388</v>
      </c>
      <c r="D24" s="79">
        <v>0.26</v>
      </c>
      <c r="F24" s="28"/>
      <c r="G24" s="28"/>
      <c r="H24" s="79"/>
      <c r="I24" s="5"/>
      <c r="J24" s="7"/>
      <c r="K24" s="7"/>
      <c r="L24" s="5"/>
      <c r="M24" s="5"/>
      <c r="N24" s="7"/>
    </row>
    <row r="25" spans="1:14" ht="15">
      <c r="A25" t="s">
        <v>11</v>
      </c>
      <c r="B25" s="28">
        <f>C24</f>
        <v>140388</v>
      </c>
      <c r="C25" s="28">
        <v>200000</v>
      </c>
      <c r="D25" s="79">
        <v>0.28999999999999998</v>
      </c>
      <c r="F25" s="28"/>
      <c r="G25" s="28"/>
      <c r="H25" s="79"/>
      <c r="I25" s="23"/>
      <c r="J25" s="7"/>
      <c r="K25" s="7"/>
      <c r="L25" s="5"/>
      <c r="M25" s="5"/>
      <c r="N25" s="7"/>
    </row>
    <row r="26" spans="1:14" ht="15">
      <c r="B26" s="28">
        <f>C25</f>
        <v>200000</v>
      </c>
      <c r="C26" s="21"/>
      <c r="D26" s="79">
        <v>0.33</v>
      </c>
      <c r="F26" s="28"/>
      <c r="G26" s="21"/>
      <c r="H26" s="79"/>
      <c r="I26" s="4"/>
      <c r="J26" s="7"/>
      <c r="K26" s="7"/>
      <c r="L26" s="5"/>
      <c r="N26" s="7"/>
    </row>
    <row r="27" spans="1:14">
      <c r="B27" s="21"/>
      <c r="C27" s="21"/>
      <c r="D27" s="12"/>
      <c r="F27" s="21"/>
      <c r="G27" s="21"/>
      <c r="H27" s="21"/>
    </row>
    <row r="28" spans="1:14" ht="15">
      <c r="A28" t="s">
        <v>48</v>
      </c>
      <c r="B28" s="28">
        <v>11474</v>
      </c>
      <c r="C28" s="55"/>
      <c r="D28" s="12"/>
      <c r="F28" s="28"/>
      <c r="G28" s="21"/>
      <c r="H28" s="21"/>
    </row>
    <row r="29" spans="1:14">
      <c r="B29" s="21"/>
      <c r="C29" s="21"/>
      <c r="D29" s="21"/>
      <c r="F29" s="21"/>
      <c r="G29" s="21"/>
      <c r="H29" s="12"/>
      <c r="J29" s="9"/>
    </row>
    <row r="30" spans="1:14">
      <c r="A30" s="3" t="s">
        <v>12</v>
      </c>
      <c r="B30" s="21"/>
      <c r="C30" s="21"/>
      <c r="D30" s="21"/>
      <c r="F30" s="21"/>
      <c r="G30" s="21"/>
      <c r="H30" s="12"/>
    </row>
    <row r="31" spans="1:14">
      <c r="A31" s="10" t="s">
        <v>13</v>
      </c>
      <c r="B31" s="27" t="s">
        <v>25</v>
      </c>
      <c r="C31" s="21"/>
      <c r="D31" s="21"/>
      <c r="F31" s="27"/>
      <c r="G31" s="21"/>
      <c r="H31" s="21"/>
      <c r="I31" s="25"/>
      <c r="J31" s="10"/>
      <c r="K31" s="25"/>
    </row>
    <row r="32" spans="1:14" ht="15">
      <c r="A32" t="s">
        <v>10</v>
      </c>
      <c r="B32" s="21">
        <v>0</v>
      </c>
      <c r="C32" s="28">
        <v>41536</v>
      </c>
      <c r="D32" s="79">
        <v>5.0500000000000003E-2</v>
      </c>
      <c r="F32" s="21"/>
      <c r="G32" s="28"/>
      <c r="H32" s="79"/>
      <c r="I32" s="5"/>
      <c r="J32" s="7"/>
    </row>
    <row r="33" spans="1:17" ht="15">
      <c r="A33" t="s">
        <v>11</v>
      </c>
      <c r="B33" s="28">
        <f>C32</f>
        <v>41536</v>
      </c>
      <c r="C33" s="28">
        <v>83075</v>
      </c>
      <c r="D33" s="79">
        <v>9.1499999999999998E-2</v>
      </c>
      <c r="F33" s="28"/>
      <c r="G33" s="28"/>
      <c r="H33" s="79"/>
      <c r="I33" s="5"/>
      <c r="J33" s="24"/>
      <c r="K33" s="18"/>
      <c r="L33" s="15"/>
    </row>
    <row r="34" spans="1:17" ht="15">
      <c r="A34" t="s">
        <v>11</v>
      </c>
      <c r="B34" s="28">
        <f>C33</f>
        <v>83075</v>
      </c>
      <c r="C34" s="28">
        <v>150000</v>
      </c>
      <c r="D34" s="79">
        <v>0.1116</v>
      </c>
      <c r="F34" s="28"/>
      <c r="G34" s="28"/>
      <c r="H34" s="79"/>
      <c r="I34" s="4"/>
      <c r="J34" s="24"/>
      <c r="K34" s="4"/>
      <c r="L34" s="13"/>
      <c r="N34" s="18"/>
    </row>
    <row r="35" spans="1:17" ht="15">
      <c r="A35" t="s">
        <v>11</v>
      </c>
      <c r="B35" s="28">
        <f>C34</f>
        <v>150000</v>
      </c>
      <c r="C35" s="28">
        <v>220000</v>
      </c>
      <c r="D35" s="79">
        <v>0.1216</v>
      </c>
      <c r="F35" s="28"/>
      <c r="G35" s="28"/>
      <c r="H35" s="79"/>
      <c r="I35" s="4"/>
      <c r="J35" s="24"/>
      <c r="K35" s="4"/>
      <c r="L35" s="13"/>
      <c r="N35" s="4"/>
    </row>
    <row r="36" spans="1:17" ht="15">
      <c r="B36" s="28">
        <f>C35</f>
        <v>220000</v>
      </c>
      <c r="C36" s="21"/>
      <c r="D36" s="79">
        <v>0.13159999999999999</v>
      </c>
      <c r="F36" s="28"/>
      <c r="G36" s="21"/>
      <c r="H36" s="79"/>
      <c r="I36" s="4"/>
      <c r="J36" s="24"/>
      <c r="K36" s="4"/>
      <c r="L36" s="13"/>
    </row>
    <row r="37" spans="1:17">
      <c r="B37" s="21"/>
      <c r="C37" s="21"/>
      <c r="D37" s="21"/>
      <c r="F37" s="21"/>
      <c r="G37" s="21"/>
      <c r="H37" s="21"/>
      <c r="I37" s="4"/>
      <c r="J37" s="26"/>
      <c r="K37" s="16"/>
      <c r="L37" s="26"/>
    </row>
    <row r="38" spans="1:17" ht="15">
      <c r="A38" t="s">
        <v>40</v>
      </c>
      <c r="B38" s="28">
        <v>10011</v>
      </c>
      <c r="C38" s="28">
        <f>B38</f>
        <v>10011</v>
      </c>
      <c r="D38" s="21"/>
      <c r="F38" s="28"/>
      <c r="G38" s="28"/>
      <c r="H38" s="21"/>
      <c r="I38" s="4"/>
      <c r="J38" s="26"/>
      <c r="K38" s="16"/>
      <c r="L38" s="26"/>
    </row>
    <row r="39" spans="1:17" ht="15">
      <c r="A39" t="s">
        <v>42</v>
      </c>
      <c r="B39" s="39">
        <f>E157/0.0505</f>
        <v>9029.7029702970285</v>
      </c>
      <c r="C39" s="39">
        <f>B39/2</f>
        <v>4514.8514851485143</v>
      </c>
      <c r="D39" s="4"/>
      <c r="F39" s="93"/>
      <c r="G39" s="93"/>
      <c r="H39" s="55"/>
      <c r="I39" s="4"/>
      <c r="J39" s="26"/>
      <c r="K39" s="16"/>
      <c r="L39" s="26"/>
    </row>
    <row r="40" spans="1:17">
      <c r="B40" s="4">
        <f>SUM(B38:B39)</f>
        <v>19040.702970297029</v>
      </c>
      <c r="C40" s="4">
        <f>SUM(C38:C39)</f>
        <v>14525.851485148514</v>
      </c>
      <c r="F40" s="55"/>
      <c r="G40" s="55"/>
      <c r="H40" s="21"/>
      <c r="I40" s="18"/>
      <c r="J40" s="4"/>
      <c r="K40" s="16"/>
    </row>
    <row r="41" spans="1:17">
      <c r="B41" s="4"/>
      <c r="C41" s="4"/>
      <c r="D41" t="s">
        <v>46</v>
      </c>
      <c r="E41" s="13"/>
      <c r="F41" s="45"/>
      <c r="H41" s="16"/>
    </row>
    <row r="42" spans="1:17">
      <c r="A42" s="3" t="s">
        <v>43</v>
      </c>
      <c r="B42" s="4"/>
      <c r="C42" s="4"/>
      <c r="E42" s="13" t="s">
        <v>44</v>
      </c>
      <c r="F42" s="18"/>
      <c r="G42" s="4"/>
      <c r="H42" s="22"/>
      <c r="Q42" t="s">
        <v>45</v>
      </c>
    </row>
    <row r="43" spans="1:17">
      <c r="B43" s="4">
        <v>0</v>
      </c>
      <c r="C43" s="4">
        <v>20000</v>
      </c>
      <c r="D43" s="8">
        <v>0</v>
      </c>
      <c r="E43" s="13">
        <v>0</v>
      </c>
      <c r="F43" s="13" t="b">
        <f ca="1">IF(AND((B18&gt;B43),(B18&lt;=C43)),IF((B18+B5+B107)&gt;B53,(E53-E43)))</f>
        <v>0</v>
      </c>
      <c r="G43" s="13" t="b">
        <f ca="1">IF(AND((B18&gt;B43),(B18&lt;=C43)),IF(AND((B18+B5+B107)&gt;B52,(B18+B5+B107)&lt;=C52),(B18+B5+B107-B52)*D52+(E51-E43)))</f>
        <v>0</v>
      </c>
      <c r="H43" s="13" t="b">
        <f ca="1">IF(AND((B18&gt;B43),(B18&lt;=C43)),IF(AND((B18+B5+B107)&gt;B51,(B18+B5+B107)&lt;=C51),(E51-E43)))</f>
        <v>0</v>
      </c>
      <c r="I43" s="13" t="b">
        <f ca="1">IF(AND((B18&gt;B43),(B18&lt;=C43)),IF(AND((B18+B5+B107)&gt;B50,(B18+B5+B107)&lt;=C50),(B18+B5+B107-B50)*D50+(E49-E43)))</f>
        <v>0</v>
      </c>
      <c r="J43" s="13" t="b">
        <f ca="1">IF(AND((B18&gt;B43),(B18&lt;=C43)),IF(AND((B18+B5+B107)&gt;B49,(B18+B5+B107)&lt;=C49),(E49-E43)))</f>
        <v>0</v>
      </c>
      <c r="K43" s="13" t="b">
        <f ca="1">IF(AND((B18&gt;B43),(B18&lt;=C43)),IF(AND((B18+B5+B107)&gt;B48,(B18+B5+B107)&lt;=C48),(B18+B5+B107-B48)*D48+(E47-E43)))</f>
        <v>0</v>
      </c>
      <c r="L43" s="13" t="b">
        <f ca="1">IF(AND((B18&gt;B43),(B18&lt;=C43)),IF(AND((B18+B5+B107)&gt;B47,(B18+B5+B107)&lt;=C47),(E47-E43)))</f>
        <v>0</v>
      </c>
      <c r="M43" s="13" t="b">
        <f ca="1">IF(AND((B18&gt;B43),(B18&lt;=C43)),IF((AND((B18+B5+B107)&gt;B46,(B18+B5+B107)&lt;=C46)),((B18+B5+B107-B46)*D46)+(E45-E43)))</f>
        <v>0</v>
      </c>
      <c r="N43" s="13" t="b">
        <f ca="1">IF(AND((B18&gt;B43),(B18&lt;=C43)),IF(AND((B18+B5+B107)&gt;B45,(B18+B5+B107)&lt;=C45),(E45-E43)))</f>
        <v>0</v>
      </c>
      <c r="O43" s="13" t="b">
        <f ca="1">IF(AND((B18&gt;B43),(B18&lt;=C43)),IF(AND((B18+B5+B107)&gt;B44,(B18+B5+B107)&lt;=C44),(B18+B5+B107-B44)*D44))</f>
        <v>0</v>
      </c>
      <c r="P43" s="13">
        <f ca="1">IF(AND((B18&gt;B43),(B18&lt;=C43)),IF(AND((B18+B5+B107)&gt;B43,(B18+B5+B107)&lt;=C43),0))</f>
        <v>0</v>
      </c>
      <c r="Q43" s="13">
        <f ca="1">SUM(F43:P43)</f>
        <v>0</v>
      </c>
    </row>
    <row r="44" spans="1:17">
      <c r="B44" s="4">
        <f t="shared" ref="B44:B53" si="0">C43</f>
        <v>20000</v>
      </c>
      <c r="C44" s="4">
        <v>25000</v>
      </c>
      <c r="D44" s="8">
        <v>0.06</v>
      </c>
      <c r="E44" s="13">
        <v>0</v>
      </c>
      <c r="F44" s="13" t="b">
        <f>IF(AND((B18&gt;B44),(B18&lt;=C44)),IF((B18+B5+B107)&gt;B53,(E53-E45)+(C44-B18)*D44))</f>
        <v>0</v>
      </c>
      <c r="G44" s="13" t="b">
        <f>IF(AND((B18&gt;B44),(B18&lt;=C44)),IF(AND((B18+B5+B107)&gt;B52,(B18+B5+B107)&lt;=C52),((B18+B5+B107-B52)*D52)+(E51-E45)+(C44-B18)*D44))</f>
        <v>0</v>
      </c>
      <c r="H44" s="13" t="b">
        <f>IF(AND((B18&gt;B44),(B18&lt;=C44)),IF(AND((B18+B5+B107)&gt;B51,(B18+B5+B107)&lt;=C51),(E51-E45)+(C44-B18)*D44))</f>
        <v>0</v>
      </c>
      <c r="I44" s="13" t="b">
        <f>IF(AND((B18&gt;B44),(B18&lt;=C44)),IF(AND((B18+B5+B107)&gt;B50,(B18+B5+B107)&lt;=C50),((B18+B5+B107-B50)*D50)+(E49-E45)+(C44-B18)*D44))</f>
        <v>0</v>
      </c>
      <c r="J44" s="13" t="b">
        <f>IF(AND((B18&gt;B44),(B18&lt;=C44)),IF(AND((B18+B5+B107)&gt;B49,(B18+B5+B107)&lt;=C49),(E49-E45)+(C44-B18)*D44))</f>
        <v>0</v>
      </c>
      <c r="K44" s="13" t="b">
        <f>IF(AND((B18&gt;B44),(B18&lt;=C44)),IF(AND((B18+B5+B107)&gt;B48,(B18+B5+B107)&lt;=C48),((B18+B5+B107-B48)*D48)+(E47-E45)+(C44-B18)*D44))</f>
        <v>0</v>
      </c>
      <c r="L44" s="13" t="b">
        <f>IF(AND((B18&gt;B44),(B18&lt;=C44)),IF(AND((B18+B5+B107)&gt;B47,(B18+B5+B107)&lt;=C47),(E47-E45)+(C44-B18)*D44))</f>
        <v>0</v>
      </c>
      <c r="M44" s="13" t="b">
        <f>IF(AND((B18&gt;B44),(B18&lt;=C44)),IF(AND((B18+B5+B107)&gt;B46,(B18+B5+B107)&lt;=C46),((B18+B5+B107-B46)*D46)+((C44-B18)*D44)))</f>
        <v>0</v>
      </c>
      <c r="N44" s="13" t="b">
        <f>IF(AND((B18&gt;B44),(B18&lt;=C44)),IF(AND((B18+B5+B107)&gt;B45,(B18+B5+B107)&lt;=C45),(C44-B18)*D44))</f>
        <v>0</v>
      </c>
      <c r="O44" s="13" t="b">
        <f>IF(AND((B18&gt;B44),(B18&lt;=C44)),IF(AND((B18+B5+B107)&gt;B44,(B18+B5+B107)&lt;=C44),(B5+B107)*D44))</f>
        <v>0</v>
      </c>
      <c r="P44" s="13"/>
      <c r="Q44" s="13">
        <f t="shared" ref="Q44:Q53" si="1">SUM(F44:P44)</f>
        <v>0</v>
      </c>
    </row>
    <row r="45" spans="1:17">
      <c r="B45" s="4">
        <f t="shared" si="0"/>
        <v>25000</v>
      </c>
      <c r="C45" s="4">
        <v>36000</v>
      </c>
      <c r="E45" s="13">
        <v>300</v>
      </c>
      <c r="F45" s="12" t="b">
        <f>IF(AND((B18&gt;B45),(B18&lt;=C45)),IF((B18+B5+B107)&gt;B53,(E53-E45)))</f>
        <v>0</v>
      </c>
      <c r="G45" s="13" t="b">
        <f>IF(AND((B18&gt;B45),(B18&lt;=C45)),IF(AND((B18+B5+B107)&gt;B52,(B18+B5+B107)&lt;=C52),(B18+B5+B107-B52)*D52+(E51-E45)))</f>
        <v>0</v>
      </c>
      <c r="H45" s="13" t="b">
        <f>IF(AND((B18&gt;B45),(B18&lt;=C45)),IF(AND((B18+B5+B107)&gt;B51,(B18+B5+B107)&lt;=C51),(E51-E45)))</f>
        <v>0</v>
      </c>
      <c r="I45" s="13" t="b">
        <f>IF(AND((B18&gt;B45),(B18&lt;=C45)),IF(AND((B18+B5+B107)&gt;B50,(B18+B5+B107)&lt;=C50),(B18+B5+B107-B50)*D50+(E49-E45)))</f>
        <v>0</v>
      </c>
      <c r="J45" s="13" t="b">
        <f>IF(AND((B18&gt;B45),(B18&lt;=C45)),IF(AND((B18+B5+B107)&gt;B49,(B18+B5+B107)&lt;=C49),(E49-E45)))</f>
        <v>0</v>
      </c>
      <c r="K45" s="13" t="b">
        <f>IF(AND((B18&gt;B45),(B18&lt;=C45)),IF(AND((B18+B5+B107)&gt;B48,(B18+B5+B107)&lt;=C48),((B18+B5+B107-B48)*D48)+(E47-E45)))</f>
        <v>0</v>
      </c>
      <c r="L45" s="13" t="b">
        <f>IF(AND((B18&gt;B45),(B18&lt;=C45)),IF(AND((B18+B5+B107)&gt;B47,(B18+B5+B107)&lt;=C47),(E47-E45)))</f>
        <v>0</v>
      </c>
      <c r="M45" s="13" t="b">
        <f>IF(AND((B18&gt;B45),(B18&lt;=C45)),IF(AND((B18+B5+B107)&gt;B46,(B18+B5+B107)&lt;=C46),(B18+B5+B107-B46)*D46))</f>
        <v>0</v>
      </c>
      <c r="N45" s="13" t="b">
        <f>IF(AND((B18&gt;B45),(B18&lt;=C45)),IF(AND((B18+B5+B107)&gt;B45,(B18+B5+B107)&lt;=C45),0))</f>
        <v>0</v>
      </c>
      <c r="O45" s="13"/>
      <c r="P45" s="13"/>
      <c r="Q45" s="13">
        <f t="shared" si="1"/>
        <v>0</v>
      </c>
    </row>
    <row r="46" spans="1:17">
      <c r="B46" s="4">
        <f t="shared" si="0"/>
        <v>36000</v>
      </c>
      <c r="C46" s="4">
        <v>38500</v>
      </c>
      <c r="D46" s="8">
        <v>0.06</v>
      </c>
      <c r="E46" s="13">
        <v>0</v>
      </c>
      <c r="F46" s="13" t="b">
        <f>IF(AND((B18&gt;B46),(B18&lt;=C46)),IF((B18+B5+B107)&gt;B53,(E53-E47)+(C46-B18)*D46))</f>
        <v>0</v>
      </c>
      <c r="G46" s="13" t="b">
        <f>IF(AND((B18&gt;B46),(B18&lt;=C46)),IF(AND((B18+B5+B107)&gt;B52,(B18+B5+B107)&lt;=C52),((B18+B5+B107-B52)*D52)+(E51-E47)+(C46-B18)*D46))</f>
        <v>0</v>
      </c>
      <c r="H46" s="13" t="b">
        <f>IF(AND((B18&gt;B46),(B18&lt;=C46)),IF(AND((B18+B5+B107)&gt;B51,(B18+B5+B107)&lt;=C51),(E51-E47)+(C46-B18)*D46))</f>
        <v>0</v>
      </c>
      <c r="I46" s="13" t="b">
        <f>IF(AND((B18&gt;B46),(B18&lt;=C46)),IF(AND((B18+B5+B107)&gt;B50,(B18+B5+B107)&lt;=C50),((B18+B5+B107-B50)*D50)+(E49-E47)+(C46-B18)*D46))</f>
        <v>0</v>
      </c>
      <c r="J46" s="13" t="b">
        <f>IF(AND((B18&gt;B46),(B18&lt;=C46)),IF(AND((B18+B5+B107)&gt;B49,(B18+B5+B107)&lt;=C49),(E49-E47)+(C46-B18)*D46))</f>
        <v>0</v>
      </c>
      <c r="K46" s="13" t="b">
        <f>IF(AND((B18&gt;B46),(B18&lt;=C46)),IF(AND((B18+B5+B107)&gt;B48,(B18+B5+B107)&lt;=C48),((B18+B5+B107-B48)*D48)+((C46-B18)*D46)))</f>
        <v>0</v>
      </c>
      <c r="L46" s="13" t="b">
        <f>IF(AND((B18&gt;B46),(B18&lt;=C46)),IF(AND((B18+B5+B107)&gt;B47,(B18+B5+B107)&lt;=C47),(C46-B18)*D46))</f>
        <v>0</v>
      </c>
      <c r="M46" s="13" t="b">
        <f>IF(AND((B18&gt;B46),(B18&lt;=C46)),IF(AND((B18+B5+B107)&gt;B46,(B18+B5+B107)&lt;=C46),(B5+B107)*D46))</f>
        <v>0</v>
      </c>
      <c r="N46" s="13"/>
      <c r="O46" s="13"/>
      <c r="P46" s="13"/>
      <c r="Q46" s="13">
        <f t="shared" si="1"/>
        <v>0</v>
      </c>
    </row>
    <row r="47" spans="1:17">
      <c r="B47" s="4">
        <f t="shared" si="0"/>
        <v>38500</v>
      </c>
      <c r="C47" s="4">
        <v>48000</v>
      </c>
      <c r="E47" s="13">
        <v>450</v>
      </c>
      <c r="F47" s="13" t="b">
        <f>IF(AND((B18&gt;B47),(B18&lt;=C47)),IF((B18+B5+B107)&gt;B53,(E53-E47)))</f>
        <v>0</v>
      </c>
      <c r="G47" s="13" t="b">
        <f>IF(AND((B18&gt;B47),(B18&lt;=C47)),IF(AND((B18+B5+B107)&gt;B52,(B18+B5+B107)&lt;=C52),(B18+B5+B107-B52)*D52+(E51-E47)))</f>
        <v>0</v>
      </c>
      <c r="H47" s="13" t="b">
        <f>IF(AND((B18&gt;B47),(B18&lt;=C47)),IF(AND((B18+B5+B107)&gt;B51,(B18+B5+B107)&lt;=C51),(E51-E47)))</f>
        <v>0</v>
      </c>
      <c r="I47" s="13" t="b">
        <f>IF(AND((B18&gt;B47),(B18&lt;=C47)),IF(AND((B18+B5+B107)&gt;B50,(B18+B5+B107)&lt;=C50),((B18+B5+B107-B50)*D50)+(E49-E47)))</f>
        <v>0</v>
      </c>
      <c r="J47" s="13" t="b">
        <f>IF(AND((B18&gt;B47),(B18&lt;=C47)),IF(AND((B18+B5+B107)&gt;B49,(B18+B5+B107)&lt;=C49),(E49-E47)))</f>
        <v>0</v>
      </c>
      <c r="K47" s="13" t="b">
        <f>IF(AND((B18&gt;B47),(B18&lt;=C47)),IF(AND((B18+B5+B107)&gt;B48,(B18+B5+B107)&lt;=C48),(B18+B5+B107-B48)*D48))</f>
        <v>0</v>
      </c>
      <c r="L47" s="13" t="b">
        <f>IF(AND((B18&gt;B47),(B18&lt;=C47)),IF(AND((B18+B5+B107)&gt;B47,(B18+B5+B107)&lt;=C47),0))</f>
        <v>0</v>
      </c>
      <c r="M47" s="13"/>
      <c r="N47" s="13"/>
      <c r="O47" s="13"/>
      <c r="P47" s="13"/>
      <c r="Q47" s="13">
        <f t="shared" si="1"/>
        <v>0</v>
      </c>
    </row>
    <row r="48" spans="1:17">
      <c r="B48" s="4">
        <f t="shared" si="0"/>
        <v>48000</v>
      </c>
      <c r="C48" s="4">
        <v>48600</v>
      </c>
      <c r="D48" s="8">
        <v>0.25</v>
      </c>
      <c r="E48" s="13">
        <v>0</v>
      </c>
      <c r="F48" s="13" t="b">
        <f>IF(AND((B18&gt;B48),(B18&lt;=C48)),IF((B18+B5+B107)&gt;B53,(E53-E49)+(C48-B18)*D48))</f>
        <v>0</v>
      </c>
      <c r="G48" s="13" t="b">
        <f>IF(AND((B18&gt;B48),(B18&lt;=C48)),IF(AND((B18+B5+B107)&gt;B52,(B18+B5+B107)&lt;=C52),((B18+B5+B107-B52)*D52)+(E51-E49)+(C48-B18)*D48))</f>
        <v>0</v>
      </c>
      <c r="H48" s="13" t="b">
        <f>IF(AND((B18&gt;B48),(B18&lt;=C48)),IF(AND((B18+B5+B107)&gt;B51,(B18+B5+B107)&lt;=C51),(E51-E49)+(C48-B18)*D48))</f>
        <v>0</v>
      </c>
      <c r="I48" s="13" t="b">
        <f>IF(AND((B18&gt;B48),(B18&lt;=C48)),IF(AND((B18+B5+B107)&gt;B50,(B18+B5+B107)&lt;=C50),((B18+B5+B107-B50)*D50)+((C48-B18)*D48)))</f>
        <v>0</v>
      </c>
      <c r="J48" s="13" t="b">
        <f>IF(AND((B18&gt;B48),(B18&lt;=C48)),IF(AND((B18+B5+B107)&gt;B49,(B18+B5+B107)&lt;=C49),(C48-B18)*D48))</f>
        <v>0</v>
      </c>
      <c r="K48" s="13" t="b">
        <f>IF(AND((B18&gt;B48),(B18&lt;=C48)),IF(AND((B18+B5+B107)&gt;B48,(B18+B5+B107)&lt;=C48),(B5+B107)*D48))</f>
        <v>0</v>
      </c>
      <c r="L48" s="13"/>
      <c r="M48" s="13"/>
      <c r="N48" s="13"/>
      <c r="O48" s="13"/>
      <c r="P48" s="13"/>
      <c r="Q48" s="13">
        <f t="shared" si="1"/>
        <v>0</v>
      </c>
    </row>
    <row r="49" spans="1:17">
      <c r="B49" s="4">
        <f t="shared" si="0"/>
        <v>48600</v>
      </c>
      <c r="C49" s="4">
        <v>72000</v>
      </c>
      <c r="E49" s="13">
        <v>600</v>
      </c>
      <c r="F49" s="13" t="b">
        <f>IF(AND((B18&gt;B49),(B18&lt;=C49)),IF((B18+B5+B107)&gt;B53,(E53-E49)))</f>
        <v>0</v>
      </c>
      <c r="G49" s="13" t="b">
        <f>IF(AND((B18&gt;B49),(B18&lt;=C49)),IF(AND((B18+B5+B107)&gt;B52,(B18+B5+B107)&lt;=C52),((B18+B5+B107-B52)*D52)+(E51-E49)))</f>
        <v>0</v>
      </c>
      <c r="H49" s="13" t="b">
        <f>IF(AND((B18&gt;B49),(B18&lt;=C49)),IF(AND((B18+B5+B107)&gt;B51,(B18+B5+B107)&lt;=C51),(E51-E49)))</f>
        <v>0</v>
      </c>
      <c r="I49" s="13" t="b">
        <f>IF(AND((B18&gt;B49),(B18&lt;=C49)),IF(AND((B18+B5+B107)&gt;B50,(B18+B5+B107)&lt;=C50),(B18+B5+B107-B50)*D50))</f>
        <v>0</v>
      </c>
      <c r="J49" s="13" t="b">
        <f>IF(AND((B18&gt;B49),(B18&lt;=C49)),IF(AND((B18+B5+B107)&gt;B49,(B18+B5+B107)&lt;=C49),0))</f>
        <v>0</v>
      </c>
      <c r="K49" s="13"/>
      <c r="L49" s="13"/>
      <c r="M49" s="13"/>
      <c r="N49" s="13"/>
      <c r="O49" s="13"/>
      <c r="P49" s="13"/>
      <c r="Q49" s="13">
        <f t="shared" si="1"/>
        <v>0</v>
      </c>
    </row>
    <row r="50" spans="1:17">
      <c r="B50" s="4">
        <f t="shared" si="0"/>
        <v>72000</v>
      </c>
      <c r="C50" s="4">
        <v>72600</v>
      </c>
      <c r="D50" s="8">
        <v>0.25</v>
      </c>
      <c r="E50" s="13">
        <v>0</v>
      </c>
      <c r="F50" s="13" t="b">
        <f>IF(AND((B18&gt;B50),(B18&lt;=C50)),IF((B18+B5+B107)&gt;B53,(E53-E51)+(C50-B18)*D50))</f>
        <v>0</v>
      </c>
      <c r="G50" s="13" t="b">
        <f>IF(AND((B18&gt;B50),(B18&lt;=C50)),IF(AND((B18+B5+B107)&gt;B52,(B18+B5+B107)&lt;=C52),((B18+B5+B107-B52)*D52)+((C50-B18)*D50)))</f>
        <v>0</v>
      </c>
      <c r="H50" s="13" t="b">
        <f>IF(AND((B18&gt;B50),(B18&lt;=C50)),IF(AND((B18+B5+B107)&gt;B51,(B18+B5+B107)&lt;=C51),(C50-B18)*D50))</f>
        <v>0</v>
      </c>
      <c r="I50" s="13" t="b">
        <f>IF(AND((B18&gt;B50),(B18&lt;=C50)),IF(AND((B18+B5+B107)&gt;B50,(B18+B5+B107)&lt;=C50),(B5+B107)*D50))</f>
        <v>0</v>
      </c>
      <c r="J50" s="13"/>
      <c r="K50" s="13"/>
      <c r="L50" s="13"/>
      <c r="M50" s="13"/>
      <c r="N50" s="13"/>
      <c r="O50" s="13"/>
      <c r="P50" s="13"/>
      <c r="Q50" s="13">
        <f t="shared" si="1"/>
        <v>0</v>
      </c>
    </row>
    <row r="51" spans="1:17">
      <c r="B51" s="4">
        <f t="shared" si="0"/>
        <v>72600</v>
      </c>
      <c r="C51" s="4">
        <v>200000</v>
      </c>
      <c r="E51" s="13">
        <v>750</v>
      </c>
      <c r="F51" s="13" t="b">
        <f>IF(AND((B18&gt;B51),(B18&lt;=C51)),IF((B18+B5+B107)&gt;B53,(E53-E51)))</f>
        <v>0</v>
      </c>
      <c r="G51" s="13" t="b">
        <f>IF(AND((B18&gt;B51),(B18&lt;=C51)),IF(AND((B18+B5+B107)&gt;B52,(B18+B5+B107)&lt;=C52),(B18+B5+B107-B52)*D52))</f>
        <v>0</v>
      </c>
      <c r="H51" s="13" t="b">
        <f>IF(AND((B18&gt;B51),(B18&lt;=C51)),IF(AND((B18+B5+B107)&gt;B51,(B18+B5+B107)&lt;=C51),0))</f>
        <v>0</v>
      </c>
      <c r="I51" s="13"/>
      <c r="J51" s="13"/>
      <c r="K51" s="13"/>
      <c r="L51" s="13"/>
      <c r="M51" s="13"/>
      <c r="N51" s="13"/>
      <c r="O51" s="13"/>
      <c r="P51" s="13"/>
      <c r="Q51" s="13">
        <f t="shared" si="1"/>
        <v>0</v>
      </c>
    </row>
    <row r="52" spans="1:17">
      <c r="B52" s="4">
        <f t="shared" si="0"/>
        <v>200000</v>
      </c>
      <c r="C52" s="4">
        <v>200600</v>
      </c>
      <c r="D52" s="8">
        <v>0.25</v>
      </c>
      <c r="E52" s="13">
        <v>0</v>
      </c>
      <c r="F52" s="13" t="b">
        <f>IF(AND((B18&gt;B52),(B18&lt;=C52)),IF((B18+B5+B107)&gt;B53,(C52-B18)*D52))</f>
        <v>0</v>
      </c>
      <c r="G52" s="13" t="b">
        <f>IF(AND((B18&gt;B52),(B18&lt;=C52)),IF(AND((B18+B5+B107)&gt;B52,(B18+B5+B107)&lt;=C52),(B5+B107)*D52))</f>
        <v>0</v>
      </c>
      <c r="I52" s="13"/>
      <c r="J52" s="13"/>
      <c r="K52" s="13"/>
      <c r="L52" s="13"/>
      <c r="M52" s="13"/>
      <c r="N52" s="13"/>
      <c r="O52" s="13"/>
      <c r="P52" s="13"/>
      <c r="Q52" s="13">
        <f t="shared" si="1"/>
        <v>0</v>
      </c>
    </row>
    <row r="53" spans="1:17">
      <c r="B53" s="4">
        <f t="shared" si="0"/>
        <v>200600</v>
      </c>
      <c r="C53" s="4"/>
      <c r="E53" s="13">
        <v>900</v>
      </c>
      <c r="F53" s="43" t="b">
        <f>IF((B18&gt;B53),IF((B18+B5+B107)&gt;B53,0))</f>
        <v>0</v>
      </c>
      <c r="G53" s="13"/>
      <c r="I53" s="13"/>
      <c r="J53" s="13"/>
      <c r="K53" s="13"/>
      <c r="L53" s="13"/>
      <c r="M53" s="13"/>
      <c r="N53" s="13"/>
      <c r="O53" s="13"/>
      <c r="P53" s="13"/>
      <c r="Q53" s="43">
        <f t="shared" si="1"/>
        <v>0</v>
      </c>
    </row>
    <row r="54" spans="1:17">
      <c r="B54" s="4"/>
      <c r="C54" s="4"/>
      <c r="E54" s="13"/>
      <c r="F54" s="18"/>
      <c r="G54" s="4"/>
      <c r="H54" s="16"/>
      <c r="Q54" s="18">
        <f ca="1">SUM(Q43:Q53)</f>
        <v>0</v>
      </c>
    </row>
    <row r="55" spans="1:17">
      <c r="B55" s="37"/>
      <c r="C55" s="4"/>
      <c r="E55" s="13"/>
      <c r="F55" s="18"/>
      <c r="G55" s="4"/>
      <c r="Q55" s="18"/>
    </row>
    <row r="56" spans="1:17">
      <c r="A56" s="3" t="s">
        <v>120</v>
      </c>
      <c r="B56" s="4"/>
      <c r="C56" s="4"/>
      <c r="F56" s="13"/>
      <c r="G56" s="45"/>
      <c r="H56"/>
      <c r="I56" s="16"/>
      <c r="J56" s="10" t="s">
        <v>116</v>
      </c>
      <c r="Q56" s="18"/>
    </row>
    <row r="57" spans="1:17">
      <c r="A57" s="3"/>
      <c r="B57" s="4" t="s">
        <v>116</v>
      </c>
      <c r="C57" s="4" t="s">
        <v>119</v>
      </c>
      <c r="F57" s="3" t="s">
        <v>121</v>
      </c>
      <c r="G57" s="45"/>
      <c r="H57"/>
      <c r="I57" s="80" t="s">
        <v>76</v>
      </c>
      <c r="J57" s="68" t="s">
        <v>75</v>
      </c>
      <c r="K57" s="68" t="s">
        <v>77</v>
      </c>
      <c r="Q57" s="18"/>
    </row>
    <row r="58" spans="1:17" ht="15">
      <c r="A58" s="3"/>
      <c r="B58" t="s">
        <v>31</v>
      </c>
      <c r="C58" t="s">
        <v>32</v>
      </c>
      <c r="F58">
        <v>0</v>
      </c>
      <c r="G58" s="5">
        <f t="shared" ref="G58:H61" si="2">C32</f>
        <v>41536</v>
      </c>
      <c r="H58" s="7">
        <f t="shared" si="2"/>
        <v>5.0500000000000003E-2</v>
      </c>
      <c r="I58" s="13">
        <v>0</v>
      </c>
      <c r="J58" s="13">
        <f>IF(AND($B$18&gt;=F58,$B$18&lt;G58),($B$18-F58)*H58,0)</f>
        <v>505.00000000000006</v>
      </c>
      <c r="K58" s="18">
        <f>(IF(J58=0,0,I58+J58))</f>
        <v>505.00000000000006</v>
      </c>
      <c r="Q58" s="18"/>
    </row>
    <row r="59" spans="1:17" ht="15">
      <c r="A59" s="29" t="s">
        <v>20</v>
      </c>
      <c r="B59" s="4">
        <v>456</v>
      </c>
      <c r="C59" s="4">
        <v>456</v>
      </c>
      <c r="F59" s="5">
        <f>G58</f>
        <v>41536</v>
      </c>
      <c r="G59" s="5">
        <f t="shared" si="2"/>
        <v>83075</v>
      </c>
      <c r="H59" s="7">
        <f t="shared" si="2"/>
        <v>9.1499999999999998E-2</v>
      </c>
      <c r="I59" s="12">
        <f>(G58-F58)*H58</f>
        <v>2097.5680000000002</v>
      </c>
      <c r="J59" s="13">
        <f>IF(AND($B$18&gt;=F59,$B$18&lt;G59),($B$18-F59)*H59,0)</f>
        <v>0</v>
      </c>
      <c r="K59" s="18">
        <f>(IF(J59=0,0,I59+J59))</f>
        <v>0</v>
      </c>
      <c r="Q59" s="18"/>
    </row>
    <row r="60" spans="1:17" ht="15">
      <c r="A60" t="s">
        <v>117</v>
      </c>
      <c r="B60" s="82">
        <f>K65</f>
        <v>0</v>
      </c>
      <c r="C60" s="82">
        <f ca="1">K79</f>
        <v>5.6843418860808015E-14</v>
      </c>
      <c r="F60" s="28">
        <f>G59</f>
        <v>83075</v>
      </c>
      <c r="G60" s="5">
        <f t="shared" si="2"/>
        <v>150000</v>
      </c>
      <c r="H60" s="7">
        <f t="shared" si="2"/>
        <v>0.1116</v>
      </c>
      <c r="I60" s="12">
        <f>((G59-F59)*H59)+I59</f>
        <v>5898.3865000000005</v>
      </c>
      <c r="J60" s="13">
        <f>IF(AND($B$18&gt;=F60,$B$18&lt;G60),($B$18-F60)*H60,0)</f>
        <v>0</v>
      </c>
      <c r="K60" s="18">
        <f>(IF(J60=0,0,I60+J60))</f>
        <v>0</v>
      </c>
      <c r="Q60" s="18"/>
    </row>
    <row r="61" spans="1:17" ht="15">
      <c r="A61" s="29" t="s">
        <v>118</v>
      </c>
      <c r="B61" s="13">
        <f>IF((B59-B60)&lt;0,0,B59-B60)</f>
        <v>456</v>
      </c>
      <c r="C61" s="13">
        <f ca="1">IF((C59-C60)&lt;0,0,C59-C60)</f>
        <v>455.99999999999994</v>
      </c>
      <c r="F61" s="5">
        <f>G60</f>
        <v>150000</v>
      </c>
      <c r="G61" s="5">
        <f t="shared" si="2"/>
        <v>220000</v>
      </c>
      <c r="H61" s="7">
        <f t="shared" si="2"/>
        <v>0.1216</v>
      </c>
      <c r="I61" s="12">
        <f t="shared" ref="I61:I62" si="3">((G60-F60)*H60)+I60</f>
        <v>13367.2165</v>
      </c>
      <c r="J61" s="13">
        <f>IF(AND($B$18&gt;=F61,$B$18&lt;G61),($B$18-F61)*H61,0)</f>
        <v>0</v>
      </c>
      <c r="K61" s="18">
        <f>(IF(J61=0,0,I61+J61))</f>
        <v>0</v>
      </c>
      <c r="Q61" s="18"/>
    </row>
    <row r="62" spans="1:17" ht="15">
      <c r="F62" s="5">
        <f>G61</f>
        <v>220000</v>
      </c>
      <c r="H62" s="7">
        <f>D36</f>
        <v>0.13159999999999999</v>
      </c>
      <c r="I62" s="12">
        <f t="shared" si="3"/>
        <v>21879.216500000002</v>
      </c>
      <c r="J62" s="13">
        <f>IF($B$18&gt;=F62,($B$18-F62)*H62,0)</f>
        <v>0</v>
      </c>
      <c r="K62" s="35">
        <f>(IF(J62=0,0,I62+J62))</f>
        <v>0</v>
      </c>
      <c r="Q62" s="18"/>
    </row>
    <row r="63" spans="1:17">
      <c r="A63" t="s">
        <v>117</v>
      </c>
      <c r="B63" s="4">
        <f>K65</f>
        <v>0</v>
      </c>
      <c r="C63" s="4">
        <f ca="1">K79</f>
        <v>5.6843418860808015E-14</v>
      </c>
      <c r="F63" s="13"/>
      <c r="G63" s="45"/>
      <c r="H63"/>
      <c r="I63" s="13"/>
      <c r="J63" s="13"/>
      <c r="K63" s="13">
        <f>SUM(K58:K62)</f>
        <v>505.00000000000006</v>
      </c>
      <c r="Q63" s="18"/>
    </row>
    <row r="64" spans="1:17">
      <c r="F64" s="13"/>
      <c r="G64" s="45"/>
      <c r="H64" s="70" t="s">
        <v>39</v>
      </c>
      <c r="I64" s="13">
        <f>B38</f>
        <v>10011</v>
      </c>
      <c r="J64" s="16">
        <f>D32</f>
        <v>5.0500000000000003E-2</v>
      </c>
      <c r="K64" s="43">
        <f>IF($B$18&lt;I64,$B$18*J64,I64*J64)</f>
        <v>505.00000000000006</v>
      </c>
      <c r="Q64" s="18"/>
    </row>
    <row r="65" spans="1:17">
      <c r="A65" t="s">
        <v>122</v>
      </c>
      <c r="B65" s="4">
        <f>MIN(B61,B63)</f>
        <v>0</v>
      </c>
      <c r="C65" s="4">
        <f ca="1">MIN(C61,C63)</f>
        <v>5.6843418860808015E-14</v>
      </c>
      <c r="F65" s="13"/>
      <c r="G65" s="45"/>
      <c r="H65" s="4"/>
      <c r="I65" s="4"/>
      <c r="J65" s="16"/>
      <c r="K65" s="13">
        <f>IF((K63-K64)&lt;=0,0,K63-K64)</f>
        <v>0</v>
      </c>
      <c r="Q65" s="18"/>
    </row>
    <row r="66" spans="1:17">
      <c r="A66" s="3"/>
      <c r="B66" s="4"/>
      <c r="C66" s="4"/>
      <c r="F66" s="13"/>
      <c r="G66" s="45"/>
      <c r="H66"/>
      <c r="I66" s="13"/>
      <c r="J66" s="13"/>
      <c r="K66" s="13"/>
      <c r="Q66" s="18"/>
    </row>
    <row r="67" spans="1:17">
      <c r="A67" s="29" t="s">
        <v>120</v>
      </c>
      <c r="B67" s="37">
        <f ca="1">C65-B65</f>
        <v>5.6843418860808015E-14</v>
      </c>
      <c r="C67" s="4"/>
      <c r="D67" s="4"/>
      <c r="F67" s="13"/>
      <c r="G67" s="45"/>
      <c r="H67"/>
      <c r="I67" s="13"/>
      <c r="J67" s="13"/>
      <c r="K67" s="13"/>
      <c r="Q67" s="18"/>
    </row>
    <row r="68" spans="1:17">
      <c r="A68" s="3"/>
      <c r="B68" s="4"/>
      <c r="C68" s="4"/>
      <c r="F68" s="13"/>
      <c r="G68" s="45"/>
      <c r="H68"/>
      <c r="I68" s="16"/>
      <c r="J68" s="10" t="s">
        <v>123</v>
      </c>
      <c r="Q68" s="18"/>
    </row>
    <row r="69" spans="1:17">
      <c r="F69" s="3" t="s">
        <v>121</v>
      </c>
      <c r="G69" s="45"/>
      <c r="H69"/>
      <c r="I69" s="80" t="s">
        <v>76</v>
      </c>
      <c r="J69" s="68" t="s">
        <v>75</v>
      </c>
      <c r="K69" s="68" t="s">
        <v>77</v>
      </c>
      <c r="Q69" s="18"/>
    </row>
    <row r="70" spans="1:17" ht="15">
      <c r="B70" s="4"/>
      <c r="C70" s="4"/>
      <c r="F70">
        <v>0</v>
      </c>
      <c r="G70" s="5">
        <f t="shared" ref="G70:H73" si="4">C32</f>
        <v>41536</v>
      </c>
      <c r="H70" s="7">
        <f t="shared" si="4"/>
        <v>5.0500000000000003E-2</v>
      </c>
      <c r="I70" s="13">
        <v>0</v>
      </c>
      <c r="J70" s="13">
        <f ca="1">IF(AND(($B$18+$B$5+$B$107)&gt;=F70,($B$18+$B$5+$B$107)&lt;G70),($B$18+$B$5+$B$107-F70)*H70,0)</f>
        <v>909.00000000000011</v>
      </c>
      <c r="K70" s="18">
        <f t="shared" ref="K70:K74" ca="1" si="5">(IF(J70=0,0,I70+J70))</f>
        <v>909.00000000000011</v>
      </c>
      <c r="Q70" s="18"/>
    </row>
    <row r="71" spans="1:17" ht="15">
      <c r="D71" s="26"/>
      <c r="F71" s="5">
        <f>G70</f>
        <v>41536</v>
      </c>
      <c r="G71" s="5">
        <f t="shared" si="4"/>
        <v>83075</v>
      </c>
      <c r="H71" s="7">
        <f t="shared" si="4"/>
        <v>9.1499999999999998E-2</v>
      </c>
      <c r="I71" s="12">
        <f>(G70-F70)*H70</f>
        <v>2097.5680000000002</v>
      </c>
      <c r="J71" s="13">
        <f>IF(AND(($B$18+$B$5)&gt;=F71,($B$18+$B$5)&lt;G71),($B$18+$B$5-F71)*H71,0)</f>
        <v>0</v>
      </c>
      <c r="K71" s="18">
        <f t="shared" si="5"/>
        <v>0</v>
      </c>
      <c r="Q71" s="18"/>
    </row>
    <row r="72" spans="1:17" ht="15">
      <c r="F72" s="28">
        <f>G71</f>
        <v>83075</v>
      </c>
      <c r="G72" s="5">
        <f t="shared" si="4"/>
        <v>150000</v>
      </c>
      <c r="H72" s="7">
        <f t="shared" si="4"/>
        <v>0.1116</v>
      </c>
      <c r="I72" s="12">
        <f>((G71-F71)*H71)+I71</f>
        <v>5898.3865000000005</v>
      </c>
      <c r="J72" s="13">
        <f>IF(AND(($B$18+$B$5)&gt;=F72,($B$18+$B$5)&lt;G72),($B$18+$B$5-F72)*H72,0)</f>
        <v>0</v>
      </c>
      <c r="K72" s="18">
        <f t="shared" si="5"/>
        <v>0</v>
      </c>
      <c r="Q72" s="18"/>
    </row>
    <row r="73" spans="1:17" ht="15">
      <c r="F73" s="5">
        <f>G72</f>
        <v>150000</v>
      </c>
      <c r="G73" s="5">
        <f t="shared" si="4"/>
        <v>220000</v>
      </c>
      <c r="H73" s="7">
        <f t="shared" si="4"/>
        <v>0.1216</v>
      </c>
      <c r="I73" s="12">
        <f t="shared" ref="I73:I74" si="6">((G72-F72)*H72)+I72</f>
        <v>13367.2165</v>
      </c>
      <c r="J73" s="13">
        <f>IF(AND(($B$18+$B$5)&gt;=F73,($B$18+$B$5)&lt;G73),($B$18+$B$5-F73)*H73,0)</f>
        <v>0</v>
      </c>
      <c r="K73" s="18">
        <f t="shared" si="5"/>
        <v>0</v>
      </c>
      <c r="Q73" s="18"/>
    </row>
    <row r="74" spans="1:17" ht="15">
      <c r="A74" s="3"/>
      <c r="B74" s="4"/>
      <c r="C74" s="4"/>
      <c r="F74" s="5">
        <f>G73</f>
        <v>220000</v>
      </c>
      <c r="H74" s="7">
        <f>D36</f>
        <v>0.13159999999999999</v>
      </c>
      <c r="I74" s="12">
        <f t="shared" si="6"/>
        <v>21879.216500000002</v>
      </c>
      <c r="J74" s="13">
        <f>IF(($B$18+$B$5)&gt;=F74,($B$18+$B$5-F74)*H74,0)</f>
        <v>0</v>
      </c>
      <c r="K74" s="35">
        <f t="shared" si="5"/>
        <v>0</v>
      </c>
      <c r="Q74" s="18"/>
    </row>
    <row r="75" spans="1:17">
      <c r="A75" s="3"/>
      <c r="B75" s="4"/>
      <c r="C75" s="4"/>
      <c r="F75" s="13"/>
      <c r="G75" s="45"/>
      <c r="H75"/>
      <c r="I75" s="16"/>
      <c r="K75" s="18">
        <f ca="1">SUM(K70:K74)</f>
        <v>909.00000000000011</v>
      </c>
      <c r="Q75" s="18"/>
    </row>
    <row r="76" spans="1:17">
      <c r="A76" s="3"/>
      <c r="B76" s="4"/>
      <c r="C76" s="4"/>
      <c r="F76" s="13"/>
      <c r="G76" s="45"/>
      <c r="H76" s="70" t="s">
        <v>39</v>
      </c>
      <c r="I76" s="13">
        <f>B38</f>
        <v>10011</v>
      </c>
      <c r="J76" s="16">
        <f>D32</f>
        <v>5.0500000000000003E-2</v>
      </c>
      <c r="K76" s="43">
        <f>IF(($B$18+$B$5)&lt;I76,($B$18+$B$5)*J76,I76*J76)</f>
        <v>505.55550000000005</v>
      </c>
      <c r="Q76" s="18"/>
    </row>
    <row r="77" spans="1:17">
      <c r="A77" s="3"/>
      <c r="B77" s="4"/>
      <c r="C77" s="4"/>
      <c r="F77" s="13"/>
      <c r="G77" s="45"/>
      <c r="H77"/>
      <c r="I77" s="16"/>
      <c r="K77" s="13">
        <f ca="1">IF((K75-K76)&lt;=0,0,K75-K76)</f>
        <v>403.44450000000006</v>
      </c>
      <c r="Q77" s="18"/>
    </row>
    <row r="78" spans="1:17">
      <c r="B78" s="37"/>
      <c r="C78" s="4"/>
      <c r="E78" s="13"/>
      <c r="F78" s="18"/>
      <c r="G78" s="4"/>
      <c r="H78" s="70" t="s">
        <v>124</v>
      </c>
      <c r="K78" s="89">
        <f ca="1">-B152</f>
        <v>403.44450000000001</v>
      </c>
      <c r="Q78" s="18"/>
    </row>
    <row r="79" spans="1:17">
      <c r="B79" s="37"/>
      <c r="C79" s="4"/>
      <c r="E79" s="13"/>
      <c r="F79" s="18"/>
      <c r="G79" s="4"/>
      <c r="K79" s="13">
        <f ca="1">IF((K77-K78)&lt;=0,0,K77-K78)</f>
        <v>5.6843418860808015E-14</v>
      </c>
      <c r="Q79" s="18"/>
    </row>
    <row r="80" spans="1:17">
      <c r="B80" s="37"/>
      <c r="C80" s="4"/>
      <c r="E80" s="13"/>
      <c r="F80" s="18"/>
      <c r="G80" s="4"/>
      <c r="K80" s="13"/>
      <c r="Q80" s="18"/>
    </row>
    <row r="81" spans="1:17">
      <c r="A81" s="3" t="s">
        <v>61</v>
      </c>
      <c r="B81" s="37"/>
      <c r="C81" s="4"/>
      <c r="E81" s="13"/>
      <c r="F81" s="18"/>
      <c r="G81" s="4"/>
      <c r="Q81" s="18"/>
    </row>
    <row r="82" spans="1:17">
      <c r="B82" s="37"/>
      <c r="C82" s="4"/>
      <c r="E82" s="13"/>
      <c r="F82" s="18"/>
      <c r="G82" s="4"/>
      <c r="Q82" s="18"/>
    </row>
    <row r="83" spans="1:17">
      <c r="A83" s="29" t="s">
        <v>54</v>
      </c>
      <c r="B83" s="33">
        <v>0.38</v>
      </c>
      <c r="E83" s="31"/>
      <c r="F83" s="31"/>
      <c r="H83"/>
    </row>
    <row r="84" spans="1:17">
      <c r="A84" s="29" t="s">
        <v>55</v>
      </c>
      <c r="B84" s="33">
        <v>0.17</v>
      </c>
      <c r="E84" s="31"/>
      <c r="F84" s="31"/>
      <c r="H84"/>
    </row>
    <row r="85" spans="1:17">
      <c r="A85" s="29" t="s">
        <v>53</v>
      </c>
      <c r="B85" s="13">
        <f>IF(AND(B6="canadian corporation",B7="yes"),B5*B83,0)</f>
        <v>3040</v>
      </c>
      <c r="E85" s="31"/>
      <c r="F85" s="31"/>
      <c r="H85"/>
    </row>
    <row r="86" spans="1:17">
      <c r="A86" s="29" t="s">
        <v>56</v>
      </c>
      <c r="B86" s="13">
        <f>IF(AND(B6="canadian corporation",B7="no"),B5*B84,0)</f>
        <v>0</v>
      </c>
      <c r="E86" s="31"/>
      <c r="F86" s="31"/>
      <c r="H86"/>
    </row>
    <row r="87" spans="1:17">
      <c r="A87" s="29" t="s">
        <v>57</v>
      </c>
      <c r="B87" s="43">
        <f>IF(B6="non-canadian corporation",B5,0)</f>
        <v>0</v>
      </c>
      <c r="E87" s="31"/>
      <c r="F87" s="31"/>
      <c r="H87"/>
    </row>
    <row r="88" spans="1:17">
      <c r="B88" s="18">
        <f>SUM(B85:B87)</f>
        <v>3040</v>
      </c>
      <c r="C88" s="21"/>
      <c r="D88" s="21"/>
    </row>
    <row r="89" spans="1:17">
      <c r="B89" s="18"/>
      <c r="C89" s="21"/>
      <c r="D89" s="21"/>
    </row>
    <row r="90" spans="1:17">
      <c r="A90" s="19" t="s">
        <v>50</v>
      </c>
      <c r="B90" s="37"/>
      <c r="C90" s="55"/>
      <c r="D90" s="21"/>
      <c r="E90" s="13"/>
      <c r="F90" s="18"/>
      <c r="G90" s="4"/>
      <c r="H90" s="16"/>
      <c r="Q90" s="18"/>
    </row>
    <row r="91" spans="1:17">
      <c r="A91" t="s">
        <v>58</v>
      </c>
      <c r="B91" s="37">
        <f>IF(B85&gt;0,B5*C91,0)</f>
        <v>1201.5999999999999</v>
      </c>
      <c r="C91" s="94">
        <v>0.1502</v>
      </c>
      <c r="D91" s="94"/>
      <c r="E91" s="13"/>
      <c r="F91" s="18"/>
      <c r="G91" s="4"/>
      <c r="H91" s="16"/>
      <c r="Q91" s="18"/>
    </row>
    <row r="92" spans="1:17">
      <c r="A92" t="s">
        <v>59</v>
      </c>
      <c r="B92" s="38">
        <f>IF(B86&gt;0,B5*C92,0)</f>
        <v>0</v>
      </c>
      <c r="C92" s="94">
        <v>0.105217</v>
      </c>
      <c r="D92" s="94"/>
      <c r="E92" s="13"/>
      <c r="F92" s="18"/>
      <c r="G92" s="4"/>
      <c r="H92" s="16"/>
      <c r="Q92" s="18"/>
    </row>
    <row r="93" spans="1:17">
      <c r="B93" s="37">
        <f>SUM(B91:B92)</f>
        <v>1201.5999999999999</v>
      </c>
      <c r="C93" s="55"/>
      <c r="D93" s="55"/>
      <c r="E93" s="13"/>
      <c r="F93" s="18"/>
      <c r="G93" s="4"/>
      <c r="H93" s="16"/>
      <c r="Q93" s="18"/>
    </row>
    <row r="94" spans="1:17">
      <c r="B94" s="37"/>
      <c r="C94" s="55"/>
      <c r="D94" s="55"/>
      <c r="E94" s="13"/>
      <c r="F94" s="18"/>
      <c r="G94" s="4"/>
      <c r="H94" s="16"/>
      <c r="Q94" s="18"/>
    </row>
    <row r="95" spans="1:17">
      <c r="A95" s="19" t="s">
        <v>63</v>
      </c>
      <c r="B95" s="37"/>
      <c r="C95" s="55"/>
      <c r="D95" s="55"/>
      <c r="E95" s="13"/>
      <c r="F95" s="18"/>
      <c r="G95" s="4"/>
      <c r="H95" s="16"/>
      <c r="Q95" s="18"/>
    </row>
    <row r="96" spans="1:17">
      <c r="A96" t="s">
        <v>58</v>
      </c>
      <c r="B96" s="37">
        <f>IF(B85&gt;0,B5*C96,0)</f>
        <v>800</v>
      </c>
      <c r="C96" s="94">
        <v>0.1</v>
      </c>
      <c r="D96" s="94"/>
      <c r="Q96" s="18"/>
    </row>
    <row r="97" spans="1:17">
      <c r="A97" t="s">
        <v>59</v>
      </c>
      <c r="B97" s="38">
        <f>IF(B86&gt;0,B5*C97,0)</f>
        <v>0</v>
      </c>
      <c r="C97" s="95">
        <v>4.2862999999999998E-2</v>
      </c>
      <c r="D97" s="95"/>
      <c r="Q97" s="18"/>
    </row>
    <row r="98" spans="1:17" ht="20" customHeight="1">
      <c r="B98" s="37">
        <f>SUM(B96:B97)</f>
        <v>800</v>
      </c>
      <c r="C98" s="21"/>
      <c r="D98" s="21"/>
      <c r="Q98" s="18"/>
    </row>
    <row r="99" spans="1:17">
      <c r="B99" s="37"/>
      <c r="C99" s="4"/>
      <c r="Q99" s="18"/>
    </row>
    <row r="100" spans="1:17">
      <c r="A100" s="3" t="s">
        <v>64</v>
      </c>
      <c r="B100" s="37"/>
      <c r="C100" s="4"/>
      <c r="Q100" s="18"/>
    </row>
    <row r="101" spans="1:17">
      <c r="B101" s="37"/>
      <c r="C101" s="4"/>
      <c r="Q101" s="18"/>
    </row>
    <row r="102" spans="1:17">
      <c r="A102" s="19" t="s">
        <v>65</v>
      </c>
      <c r="B102" s="37"/>
      <c r="C102" s="4"/>
      <c r="H102" s="12"/>
      <c r="Q102" s="18"/>
    </row>
    <row r="103" spans="1:17">
      <c r="A103" t="s">
        <v>86</v>
      </c>
      <c r="B103" s="37">
        <f>$B$5</f>
        <v>8000</v>
      </c>
      <c r="C103" s="66" t="s">
        <v>35</v>
      </c>
      <c r="D103" s="19" t="s">
        <v>66</v>
      </c>
      <c r="E103" s="13"/>
      <c r="F103" s="18"/>
      <c r="G103" s="4"/>
      <c r="H103" s="80" t="s">
        <v>76</v>
      </c>
      <c r="I103" s="68" t="s">
        <v>75</v>
      </c>
      <c r="J103" s="68" t="s">
        <v>77</v>
      </c>
      <c r="Q103" s="18"/>
    </row>
    <row r="104" spans="1:17" ht="15">
      <c r="A104" t="s">
        <v>87</v>
      </c>
      <c r="B104" s="37">
        <f>IF($B$10="US",-IF(($B$11/$B$5)&gt;15%,$B$11-($B$5*15%),0),0)</f>
        <v>-800</v>
      </c>
      <c r="C104" s="66" t="s">
        <v>36</v>
      </c>
      <c r="D104" t="s">
        <v>10</v>
      </c>
      <c r="E104" s="4">
        <v>0</v>
      </c>
      <c r="F104" s="5">
        <f t="shared" ref="F104:G107" si="7">C22</f>
        <v>45282</v>
      </c>
      <c r="G104" s="6">
        <f t="shared" si="7"/>
        <v>0.15</v>
      </c>
      <c r="H104" s="12">
        <v>0</v>
      </c>
      <c r="I104" s="13">
        <f ca="1">IF(AND(($B$18+$B$5+$B$107)&gt;=E104,($B$18+$B$5+$B$107)&lt;F104),($B$18+$B$5+$B$107-E104)*G104,0)</f>
        <v>2700</v>
      </c>
      <c r="J104" s="18">
        <f ca="1">(IF(I104=0,0,H104+I104))</f>
        <v>2700</v>
      </c>
      <c r="Q104" s="18"/>
    </row>
    <row r="105" spans="1:17" ht="15">
      <c r="A105" t="s">
        <v>88</v>
      </c>
      <c r="B105" s="37">
        <f>IF(B6="Canadian Corporation",0,IF($B$10="non-US",-IF(($B$11/$B$5)&gt;15%,$B$11-($B$5*15%),0),0))</f>
        <v>0</v>
      </c>
      <c r="C105" s="4"/>
      <c r="D105" t="s">
        <v>11</v>
      </c>
      <c r="E105" s="5">
        <f>F104</f>
        <v>45282</v>
      </c>
      <c r="F105" s="5">
        <f t="shared" si="7"/>
        <v>90563</v>
      </c>
      <c r="G105" s="6">
        <f t="shared" si="7"/>
        <v>0.20499999999999999</v>
      </c>
      <c r="H105" s="12">
        <f>(F104-E104)*G104</f>
        <v>6792.3</v>
      </c>
      <c r="I105" s="13">
        <f ca="1">IF(AND(($B$18+$B$5+$B$107)&gt;=E105,($B$18+$B$5+$B$107)&lt;F105),($B$18+$B$5+$B$107-E105)*G105,0)</f>
        <v>0</v>
      </c>
      <c r="J105" s="18">
        <f t="shared" ref="J105:J108" ca="1" si="8">(IF(I105=0,0,H105+I105))</f>
        <v>0</v>
      </c>
      <c r="Q105" s="18"/>
    </row>
    <row r="106" spans="1:17" ht="15">
      <c r="A106" t="s">
        <v>93</v>
      </c>
      <c r="B106" s="38">
        <f ca="1">-B141</f>
        <v>0</v>
      </c>
      <c r="C106" s="4"/>
      <c r="D106" t="s">
        <v>11</v>
      </c>
      <c r="E106" s="5">
        <f>F105</f>
        <v>90563</v>
      </c>
      <c r="F106" s="5">
        <f t="shared" si="7"/>
        <v>140388</v>
      </c>
      <c r="G106" s="6">
        <f t="shared" si="7"/>
        <v>0.26</v>
      </c>
      <c r="H106" s="12">
        <f>((F105-E105)*G105)+H105</f>
        <v>16074.904999999999</v>
      </c>
      <c r="I106" s="13">
        <f ca="1">IF(AND(($B$18+$B$5+$B$107)&gt;=E106,($B$18+$B$5+$B$107)&lt;F106),($B$18+$B$5+$B$107-E106)*G106,0)</f>
        <v>0</v>
      </c>
      <c r="J106" s="18">
        <f t="shared" ca="1" si="8"/>
        <v>0</v>
      </c>
      <c r="Q106" s="18"/>
    </row>
    <row r="107" spans="1:17" ht="15">
      <c r="A107" t="s">
        <v>95</v>
      </c>
      <c r="B107" s="38">
        <f ca="1">SUM(B105:B106)</f>
        <v>0</v>
      </c>
      <c r="C107" s="66" t="s">
        <v>94</v>
      </c>
      <c r="D107" t="s">
        <v>11</v>
      </c>
      <c r="E107" s="5">
        <f>F106</f>
        <v>140388</v>
      </c>
      <c r="F107" s="5">
        <f t="shared" si="7"/>
        <v>200000</v>
      </c>
      <c r="G107" s="6">
        <f t="shared" si="7"/>
        <v>0.28999999999999998</v>
      </c>
      <c r="H107" s="12">
        <f>((F106-E106)*G106)+H106</f>
        <v>29029.404999999999</v>
      </c>
      <c r="I107" s="13">
        <f ca="1">IF(AND(($B$18+$B$5+$B$107)&gt;=E107,($B$18+$B$5+$B$107)&lt;F107),($B$18+$B$5+$B$107-E107)*G107,0)</f>
        <v>0</v>
      </c>
      <c r="J107" s="18">
        <f t="shared" ca="1" si="8"/>
        <v>0</v>
      </c>
      <c r="Q107" s="18"/>
    </row>
    <row r="108" spans="1:17" ht="15">
      <c r="A108" t="s">
        <v>67</v>
      </c>
      <c r="B108" s="37">
        <f ca="1">B103+B104+B107</f>
        <v>7200</v>
      </c>
      <c r="C108" s="66" t="s">
        <v>96</v>
      </c>
      <c r="E108" s="5">
        <f>F107</f>
        <v>200000</v>
      </c>
      <c r="G108" s="6">
        <f>D26</f>
        <v>0.33</v>
      </c>
      <c r="H108" s="12">
        <f>((F107-E107)*G107)+H107</f>
        <v>46316.884999999995</v>
      </c>
      <c r="I108" s="13">
        <f ca="1">IF(($B$18+$B$5+$B$107)&gt;=E108,($B$18+$B$5+$B$107-E108)*G108,0)</f>
        <v>0</v>
      </c>
      <c r="J108" s="35">
        <f t="shared" ca="1" si="8"/>
        <v>0</v>
      </c>
      <c r="Q108" s="18"/>
    </row>
    <row r="109" spans="1:17">
      <c r="B109" s="37"/>
      <c r="C109" s="4"/>
      <c r="E109" s="13"/>
      <c r="F109" s="18"/>
      <c r="G109" s="4"/>
      <c r="H109" s="16"/>
      <c r="J109" s="13">
        <f ca="1">SUM(J104:J108)</f>
        <v>2700</v>
      </c>
      <c r="Q109" s="18"/>
    </row>
    <row r="110" spans="1:17">
      <c r="A110" t="s">
        <v>7</v>
      </c>
      <c r="B110" s="40">
        <f>$B$5+$B$18</f>
        <v>18000</v>
      </c>
      <c r="C110" s="66" t="s">
        <v>35</v>
      </c>
      <c r="G110" s="70" t="s">
        <v>39</v>
      </c>
      <c r="H110" s="13">
        <f>B28</f>
        <v>11474</v>
      </c>
      <c r="I110" s="8">
        <v>0.15</v>
      </c>
      <c r="J110" s="43">
        <f ca="1">IF(($B$5+$B$18+B107)&lt;H110,($B$5+$B$18+B107)*I110,H110*I110)</f>
        <v>1721.1</v>
      </c>
      <c r="Q110" s="18"/>
    </row>
    <row r="111" spans="1:17">
      <c r="A111" t="s">
        <v>88</v>
      </c>
      <c r="B111" s="40">
        <f>IF($B$10="non-US",-IF(($B$11/$B$5)&gt;15%,$B$11-($B$5*15%),0),0)</f>
        <v>0</v>
      </c>
      <c r="C111" s="4"/>
      <c r="G111" s="70"/>
      <c r="I111" s="8"/>
      <c r="J111" s="13">
        <f ca="1">J109-J110</f>
        <v>978.90000000000009</v>
      </c>
      <c r="Q111" s="18"/>
    </row>
    <row r="112" spans="1:17">
      <c r="A112" t="s">
        <v>93</v>
      </c>
      <c r="B112" s="38">
        <f ca="1">B106</f>
        <v>0</v>
      </c>
      <c r="C112" s="4"/>
      <c r="G112" s="70"/>
      <c r="I112" s="8"/>
      <c r="J112" s="36"/>
      <c r="Q112" s="18"/>
    </row>
    <row r="113" spans="1:17">
      <c r="A113" t="s">
        <v>95</v>
      </c>
      <c r="B113" s="38">
        <f ca="1">SUM(B111:B112)</f>
        <v>0</v>
      </c>
      <c r="C113" s="66" t="s">
        <v>36</v>
      </c>
      <c r="E113" s="13"/>
      <c r="F113" s="18"/>
      <c r="Q113" s="18"/>
    </row>
    <row r="114" spans="1:17">
      <c r="A114" t="s">
        <v>89</v>
      </c>
      <c r="B114" s="37">
        <f ca="1">B110+B113</f>
        <v>18000</v>
      </c>
      <c r="C114" s="66" t="s">
        <v>97</v>
      </c>
      <c r="Q114" s="18"/>
    </row>
    <row r="115" spans="1:17">
      <c r="B115" s="37"/>
      <c r="C115" s="4"/>
      <c r="Q115" s="18"/>
    </row>
    <row r="116" spans="1:17">
      <c r="A116" t="s">
        <v>68</v>
      </c>
      <c r="B116" s="65">
        <f ca="1">B108/B114</f>
        <v>0.4</v>
      </c>
      <c r="C116" s="4"/>
      <c r="Q116" s="18"/>
    </row>
    <row r="117" spans="1:17">
      <c r="B117" s="37"/>
      <c r="C117" s="4"/>
      <c r="Q117" s="18"/>
    </row>
    <row r="118" spans="1:17">
      <c r="A118" t="s">
        <v>66</v>
      </c>
      <c r="B118" s="37">
        <f ca="1">J111</f>
        <v>978.90000000000009</v>
      </c>
      <c r="C118" s="4"/>
      <c r="Q118" s="18"/>
    </row>
    <row r="119" spans="1:17">
      <c r="B119" s="37"/>
      <c r="C119" s="4"/>
      <c r="E119" s="75"/>
      <c r="F119" s="40"/>
      <c r="G119" s="4"/>
      <c r="H119" s="67"/>
      <c r="I119" s="21"/>
      <c r="J119" s="68"/>
      <c r="Q119" s="18"/>
    </row>
    <row r="120" spans="1:17" ht="15">
      <c r="A120" t="s">
        <v>78</v>
      </c>
      <c r="B120" s="37">
        <f ca="1">B118*B116</f>
        <v>391.56000000000006</v>
      </c>
      <c r="C120" s="66" t="s">
        <v>35</v>
      </c>
      <c r="E120" s="4"/>
      <c r="G120" s="6"/>
      <c r="H120" s="40"/>
      <c r="I120" s="21"/>
      <c r="J120" s="40"/>
      <c r="Q120" s="18"/>
    </row>
    <row r="121" spans="1:17" ht="15">
      <c r="A121" t="s">
        <v>79</v>
      </c>
      <c r="B121" s="37">
        <f>IF(B6="Canadian Corporation",0,MIN($B$11,$B$5*15%))</f>
        <v>0</v>
      </c>
      <c r="C121" s="66" t="s">
        <v>36</v>
      </c>
      <c r="E121" s="5"/>
      <c r="G121" s="7"/>
      <c r="H121" s="40"/>
      <c r="I121" s="21"/>
      <c r="J121" s="40"/>
      <c r="Q121" s="18"/>
    </row>
    <row r="122" spans="1:17" ht="15">
      <c r="B122" s="37"/>
      <c r="C122" s="4"/>
      <c r="E122" s="5"/>
      <c r="G122" s="7"/>
      <c r="H122" s="40"/>
      <c r="I122" s="21"/>
      <c r="J122" s="40"/>
      <c r="Q122" s="18"/>
    </row>
    <row r="123" spans="1:17" ht="15">
      <c r="A123" t="s">
        <v>80</v>
      </c>
      <c r="B123" s="69">
        <f ca="1">MIN(B120,B121)</f>
        <v>0</v>
      </c>
      <c r="C123" s="66" t="s">
        <v>99</v>
      </c>
      <c r="E123" s="5"/>
      <c r="G123" s="7"/>
      <c r="H123" s="40"/>
      <c r="I123" s="21"/>
      <c r="J123" s="40"/>
      <c r="Q123" s="18"/>
    </row>
    <row r="124" spans="1:17" ht="15">
      <c r="B124" s="69"/>
      <c r="C124" s="4"/>
      <c r="E124" s="5"/>
      <c r="F124" s="5"/>
      <c r="G124" s="7"/>
      <c r="H124" s="40"/>
      <c r="I124" s="40"/>
      <c r="J124" s="40"/>
      <c r="Q124" s="18"/>
    </row>
    <row r="125" spans="1:17" ht="15">
      <c r="B125" s="69"/>
      <c r="C125" s="4"/>
      <c r="E125" s="13"/>
      <c r="F125" s="5"/>
      <c r="G125" s="4"/>
      <c r="H125" s="16"/>
      <c r="J125" s="40"/>
      <c r="Q125" s="18"/>
    </row>
    <row r="126" spans="1:17">
      <c r="A126" s="19" t="s">
        <v>81</v>
      </c>
      <c r="B126" s="37"/>
      <c r="C126" s="4"/>
      <c r="H126" s="12"/>
      <c r="L126" s="19"/>
      <c r="Q126" s="18"/>
    </row>
    <row r="127" spans="1:17">
      <c r="A127" t="s">
        <v>67</v>
      </c>
      <c r="B127" s="37">
        <f ca="1">B108</f>
        <v>7200</v>
      </c>
      <c r="C127" s="4"/>
      <c r="D127" s="19" t="s">
        <v>82</v>
      </c>
      <c r="E127" s="13"/>
      <c r="F127" s="18"/>
      <c r="G127" s="4"/>
      <c r="H127" s="80" t="s">
        <v>76</v>
      </c>
      <c r="I127" s="68" t="s">
        <v>75</v>
      </c>
      <c r="J127" s="68" t="s">
        <v>77</v>
      </c>
      <c r="K127" s="18"/>
      <c r="Q127" s="18"/>
    </row>
    <row r="128" spans="1:17" ht="15">
      <c r="A128" t="s">
        <v>27</v>
      </c>
      <c r="B128" s="40">
        <f ca="1">B114</f>
        <v>18000</v>
      </c>
      <c r="C128" s="4"/>
      <c r="D128" t="s">
        <v>10</v>
      </c>
      <c r="E128">
        <v>0</v>
      </c>
      <c r="F128" s="5">
        <f t="shared" ref="F128:G131" si="9">C32</f>
        <v>41536</v>
      </c>
      <c r="G128" s="7">
        <f t="shared" si="9"/>
        <v>5.0500000000000003E-2</v>
      </c>
      <c r="H128" s="12">
        <v>0</v>
      </c>
      <c r="I128" s="13">
        <f ca="1">IF(AND(($B$18+$B$5+$B$107)&gt;=E128,($B$18+$B$5+$B$107)&lt;F128),($B$18+$B$5+$B$107-E128)*G128,0)</f>
        <v>909.00000000000011</v>
      </c>
      <c r="J128" s="18">
        <f ca="1">(IF(I128=0,0,H128+I128))</f>
        <v>909.00000000000011</v>
      </c>
      <c r="Q128" s="18"/>
    </row>
    <row r="129" spans="1:17" ht="15">
      <c r="A129" t="s">
        <v>68</v>
      </c>
      <c r="B129" s="65">
        <f ca="1">B127/B128</f>
        <v>0.4</v>
      </c>
      <c r="C129" s="4"/>
      <c r="D129" t="s">
        <v>11</v>
      </c>
      <c r="E129" s="5">
        <f>F128</f>
        <v>41536</v>
      </c>
      <c r="F129" s="5">
        <f t="shared" si="9"/>
        <v>83075</v>
      </c>
      <c r="G129" s="7">
        <f t="shared" si="9"/>
        <v>9.1499999999999998E-2</v>
      </c>
      <c r="H129" s="12">
        <f>(F128-E128)*G128</f>
        <v>2097.5680000000002</v>
      </c>
      <c r="I129" s="13">
        <f ca="1">IF(AND(($B$18+$B$5+$B$107)&gt;=E129,($B$18+$B$5+$B$107)&lt;F129),($B$18+$B$5+$B$107-E129)*G129,0)</f>
        <v>0</v>
      </c>
      <c r="J129" s="18">
        <f t="shared" ref="J129:J132" ca="1" si="10">(IF(I129=0,0,H129+I129))</f>
        <v>0</v>
      </c>
      <c r="Q129" s="18"/>
    </row>
    <row r="130" spans="1:17" ht="15">
      <c r="B130" s="37"/>
      <c r="C130" s="4"/>
      <c r="D130" t="s">
        <v>11</v>
      </c>
      <c r="E130" s="28">
        <f>F129</f>
        <v>83075</v>
      </c>
      <c r="F130" s="5">
        <f t="shared" si="9"/>
        <v>150000</v>
      </c>
      <c r="G130" s="7">
        <f t="shared" si="9"/>
        <v>0.1116</v>
      </c>
      <c r="H130" s="12">
        <f>((F129-E129)*G129)+H129</f>
        <v>5898.3865000000005</v>
      </c>
      <c r="I130" s="13">
        <f ca="1">IF(AND(($B$18+$B$5+$B$107)&gt;=E130,($B$18+$B$5+$B$107)&lt;F130),($B$18+$B$5+$B$107-E130)*G130,0)</f>
        <v>0</v>
      </c>
      <c r="J130" s="18">
        <f t="shared" ca="1" si="10"/>
        <v>0</v>
      </c>
      <c r="Q130" s="18"/>
    </row>
    <row r="131" spans="1:17" ht="15">
      <c r="A131" t="s">
        <v>82</v>
      </c>
      <c r="B131" s="37">
        <f ca="1">J140</f>
        <v>350.88900000000012</v>
      </c>
      <c r="C131" s="4"/>
      <c r="D131" t="s">
        <v>11</v>
      </c>
      <c r="E131" s="5">
        <v>150000</v>
      </c>
      <c r="F131" s="5">
        <f t="shared" si="9"/>
        <v>220000</v>
      </c>
      <c r="G131" s="7">
        <f t="shared" si="9"/>
        <v>0.1216</v>
      </c>
      <c r="H131" s="12">
        <f>((F130-E130)*G130)+H130</f>
        <v>13367.2165</v>
      </c>
      <c r="I131" s="13">
        <f ca="1">IF(AND(($B$18+$B$5+$B$107)&gt;=E131,($B$18+$B$5+$B$107)&lt;F131),($B$18+$B$5+$B$107-E131)*G131,0)</f>
        <v>0</v>
      </c>
      <c r="J131" s="18">
        <f ca="1">(IF(I131=0,0,H131+I131))</f>
        <v>0</v>
      </c>
      <c r="Q131" s="18"/>
    </row>
    <row r="132" spans="1:17" ht="15">
      <c r="B132" s="37"/>
      <c r="C132" s="4"/>
      <c r="E132" s="5">
        <v>220000</v>
      </c>
      <c r="G132" s="7">
        <f>D36</f>
        <v>0.13159999999999999</v>
      </c>
      <c r="H132" s="12">
        <f>((F131-E131)*G131)+H131</f>
        <v>21879.216500000002</v>
      </c>
      <c r="I132" s="13">
        <f ca="1">IF(($B$18+$B$5+$B$107)&gt;=E132,($B$18+$B$5+$B$107-E132)*G132,0)</f>
        <v>0</v>
      </c>
      <c r="J132" s="35">
        <f t="shared" ca="1" si="10"/>
        <v>0</v>
      </c>
      <c r="Q132" s="18"/>
    </row>
    <row r="133" spans="1:17">
      <c r="A133" t="s">
        <v>78</v>
      </c>
      <c r="B133" s="37">
        <f ca="1">B131*B129</f>
        <v>140.35560000000007</v>
      </c>
      <c r="C133" s="66" t="s">
        <v>35</v>
      </c>
      <c r="E133" s="13"/>
      <c r="F133" s="18"/>
      <c r="G133" s="4"/>
      <c r="H133" s="20"/>
      <c r="J133" s="18">
        <f ca="1">SUM(J128:J132)</f>
        <v>909.00000000000011</v>
      </c>
      <c r="Q133" s="18"/>
    </row>
    <row r="134" spans="1:17">
      <c r="B134" s="37"/>
      <c r="C134" s="66"/>
      <c r="E134" s="13"/>
      <c r="F134" s="18"/>
      <c r="G134" s="70" t="s">
        <v>39</v>
      </c>
      <c r="H134" s="13">
        <f>B38</f>
        <v>10011</v>
      </c>
      <c r="I134" s="16">
        <v>5.0500000000000003E-2</v>
      </c>
      <c r="J134" s="43">
        <f>IF(($B$5+$B$18)&lt;H134,($B$5+$B$18)*I134,H134*I134)</f>
        <v>505.55550000000005</v>
      </c>
      <c r="Q134" s="18"/>
    </row>
    <row r="135" spans="1:17">
      <c r="A135" t="s">
        <v>79</v>
      </c>
      <c r="B135" s="37">
        <f>B121</f>
        <v>0</v>
      </c>
      <c r="E135" s="36"/>
      <c r="F135" s="21"/>
      <c r="G135" s="4"/>
      <c r="H135" s="4"/>
      <c r="I135" s="16"/>
      <c r="J135" s="13">
        <f ca="1">J133-J134</f>
        <v>403.44450000000006</v>
      </c>
    </row>
    <row r="136" spans="1:17">
      <c r="A136" t="s">
        <v>90</v>
      </c>
      <c r="B136" s="38">
        <f ca="1">-B123</f>
        <v>0</v>
      </c>
      <c r="C136" s="66"/>
      <c r="F136" t="s">
        <v>83</v>
      </c>
      <c r="G136" s="18">
        <f ca="1">$J$135</f>
        <v>403.44450000000006</v>
      </c>
      <c r="H136" s="56">
        <v>4484</v>
      </c>
      <c r="I136" s="71">
        <v>0.2</v>
      </c>
      <c r="J136" s="73">
        <f ca="1">IF((G136-H136)&lt;=0,0,(G136-H136)*I136)</f>
        <v>0</v>
      </c>
    </row>
    <row r="137" spans="1:17">
      <c r="B137" s="37">
        <f ca="1">SUM(B135:B136)</f>
        <v>0</v>
      </c>
      <c r="C137" s="66" t="s">
        <v>36</v>
      </c>
      <c r="G137" s="18">
        <f ca="1">$J$135</f>
        <v>403.44450000000006</v>
      </c>
      <c r="H137" s="56">
        <v>5739</v>
      </c>
      <c r="I137" s="71">
        <v>0.36</v>
      </c>
      <c r="J137" s="74">
        <f ca="1">IF((G137-H137)&lt;=0,0,(G137-H137)*I137)</f>
        <v>0</v>
      </c>
    </row>
    <row r="138" spans="1:17">
      <c r="B138" s="37"/>
      <c r="C138" s="4"/>
      <c r="H138" s="18"/>
      <c r="I138" s="71"/>
      <c r="J138" s="18">
        <f ca="1">SUM(J135:J137)</f>
        <v>403.44450000000006</v>
      </c>
      <c r="K138" s="4"/>
      <c r="L138" s="16"/>
    </row>
    <row r="139" spans="1:17">
      <c r="A139" t="s">
        <v>84</v>
      </c>
      <c r="B139" s="69">
        <f ca="1">MIN(B133,B137)</f>
        <v>0</v>
      </c>
      <c r="C139" s="66" t="s">
        <v>99</v>
      </c>
      <c r="F139" s="40"/>
      <c r="G139" s="72" t="s">
        <v>41</v>
      </c>
      <c r="H139" s="18">
        <v>456</v>
      </c>
      <c r="I139" s="18">
        <f ca="1">J138</f>
        <v>403.44450000000006</v>
      </c>
      <c r="J139" s="35">
        <f ca="1">IF((H139-I139)&lt;0,0,MIN((H139-I139),I139))</f>
        <v>52.555499999999938</v>
      </c>
      <c r="K139" s="4"/>
      <c r="L139" s="16"/>
    </row>
    <row r="140" spans="1:17">
      <c r="B140" s="37"/>
      <c r="C140" s="4"/>
      <c r="G140" s="18"/>
      <c r="H140" s="18"/>
      <c r="I140" s="71"/>
      <c r="J140" s="13">
        <f ca="1">J138-J139</f>
        <v>350.88900000000012</v>
      </c>
      <c r="K140" s="4"/>
      <c r="L140" s="16"/>
    </row>
    <row r="141" spans="1:17">
      <c r="A141" t="s">
        <v>98</v>
      </c>
      <c r="B141" s="69">
        <f ca="1">B121-B123-B139</f>
        <v>0</v>
      </c>
      <c r="C141" s="66" t="s">
        <v>100</v>
      </c>
      <c r="G141" s="18"/>
      <c r="H141" s="18"/>
      <c r="I141" s="71"/>
      <c r="J141" s="18"/>
      <c r="K141" s="4"/>
      <c r="L141" s="16"/>
    </row>
    <row r="142" spans="1:17">
      <c r="B142" s="37"/>
      <c r="C142" s="4"/>
      <c r="G142" s="18"/>
      <c r="H142" s="18"/>
      <c r="I142" s="71"/>
      <c r="J142" s="18"/>
      <c r="K142" s="4"/>
      <c r="L142" s="16"/>
    </row>
    <row r="143" spans="1:17">
      <c r="A143" s="2" t="s">
        <v>14</v>
      </c>
      <c r="G143" s="18"/>
      <c r="H143" s="18"/>
      <c r="I143" s="71"/>
      <c r="J143" s="18"/>
      <c r="K143" s="4"/>
      <c r="L143" s="16"/>
    </row>
    <row r="144" spans="1:17">
      <c r="B144" s="11"/>
      <c r="C144" t="s">
        <v>15</v>
      </c>
      <c r="G144" s="18"/>
      <c r="H144" s="18"/>
      <c r="I144" s="71"/>
      <c r="J144" s="18"/>
      <c r="K144" s="4"/>
      <c r="L144" s="16"/>
    </row>
    <row r="145" spans="1:17">
      <c r="B145" s="37"/>
      <c r="C145" s="4"/>
      <c r="H145" s="18"/>
      <c r="I145" s="71"/>
      <c r="J145" s="18"/>
      <c r="K145" s="4"/>
      <c r="L145" s="16"/>
    </row>
    <row r="146" spans="1:17">
      <c r="A146" t="s">
        <v>24</v>
      </c>
      <c r="B146" s="37">
        <f ca="1">IF(AND((B5+B107+B18)&gt;=B22,(B5+B107+B18)&lt;=C22),(B5+B107)*D22,IF(AND((B5+B107+B18)&gt;B23,(B5+B107+B18)&lt;=C23),IF((B5+B107+B18-B23)&gt;(B5+B107),(B5+B107)*D23,((B5+B107+B18-B23)*D23)+((B5+B107-(B5+B107+B18-B23))*D22)),IF(AND((B5+B107+B18)&gt;B24,(B5+B107+B18)&lt;=C24),IF((B5+B107+B18-B24)&gt;(B5+B107),(B5+B107)*D24,IF((B5+B107+B18-B23)&gt;(B5+B107),(((B5+B107+B18-B24)*D24)+((B5+B107-(B5+B107+B18-B24))*D23)),((B5+B107+B18-B24)*D24)+((C23-B23)*D23)+((B5+B107-(B5+B107+B18-B23))*D22))),IF(AND((B5+B107+B18)&gt;B25,(B5+B107+B18)&lt;=C25),IF((B5+B107+B18-B25)&gt;(B5+B107),(B5+B107)*D25,IF((B5+B107+B18-B24)&gt;(B5+B107),((B5+B107+B18-B25)*D25)+(((B5+B107-(B5+B107+B18-B25))*D24)),IF((B5+B107+B18-B23)&gt;(B5+B107),(((B5+B107+B18-B25)*D25)+((C24-B24)*D24)+((B5+B107-(B5+B107+B18-B24))*D23)),((B5+B107+B18-B25)*D25)+((C24-B24)*D24)+((C23-B23)*D23)+((B5+B107-(B5+B107+B18-B23))*D22)))),IF((B5+B107+B18)&gt;B26,IF((B5+B107+B18-B26)&gt;(B5+B107),(B5+B107)*D26,IF((B5+B107+B18-B25)&gt;(B5+B107),(((B5+B107+B18-B26)*D26)+((B5+B107-(B5+B107+B18-B26))*D25)),IF((B5+B107+B18-B24)&gt;(B5+B107),(((B5+B107+B18-B26)*D26)+((C25-B25)*D25)+((B5+B107-(B5+B107+B18-B25))*D24)),IF((B5+B107+B18-B23)&gt;(B5+B107),(((B5+B107+B18-B26)*D26)+((C25-B25)*D25)+((C24-B24)*D24)+((B5+B107-(B5+B107+B18-B24))*D23)),((B5+B107+B18-B26)*D26)+((C25-B25)*D25)+((C24-B24)*D24)+((C23-B23)*D23)+((B5+B107-(B5+B107+B18-B23))*D22))))))))))</f>
        <v>1200</v>
      </c>
      <c r="C146" t="s">
        <v>17</v>
      </c>
      <c r="G146" s="77"/>
      <c r="K146" s="55"/>
      <c r="L146" s="12"/>
      <c r="M146" s="21"/>
    </row>
    <row r="147" spans="1:17">
      <c r="B147" s="37">
        <f ca="1">-IF(B18&gt;=B28,0,IF(B18&lt;B28,IF((B18+B5+B107)&gt;B28,(B28-B18)*D22,((B5+B107)*D22))))</f>
        <v>-221.1</v>
      </c>
      <c r="C147" t="s">
        <v>38</v>
      </c>
      <c r="G147" s="77"/>
      <c r="K147" s="55"/>
      <c r="L147" s="20"/>
      <c r="M147" s="21"/>
    </row>
    <row r="148" spans="1:17">
      <c r="B148" s="37">
        <f ca="1">-MIN(B93,SUM(B146:B147))</f>
        <v>-978.9</v>
      </c>
      <c r="C148" t="s">
        <v>60</v>
      </c>
      <c r="G148" s="77"/>
      <c r="K148" s="55"/>
      <c r="L148" s="20"/>
      <c r="M148" s="21"/>
    </row>
    <row r="149" spans="1:17">
      <c r="B149" s="37">
        <f>IF($B$6="Non-Canadian Corporation",-MIN(B123,SUM(B146:B148)),0)</f>
        <v>0</v>
      </c>
      <c r="C149" t="s">
        <v>91</v>
      </c>
      <c r="G149" s="77"/>
      <c r="K149" s="55"/>
      <c r="L149" s="20"/>
      <c r="M149" s="21"/>
    </row>
    <row r="150" spans="1:17">
      <c r="B150" s="37">
        <f ca="1">IF(AND((B5+B107+B18)&gt;=B32,(B5+B107+B18)&lt;=C32),(B5+B107)*D32,IF(AND((B5+B107+B18)&gt;B33,(B5+B107+B18)&lt;=C33),IF((B5+B107+B18-B33)&gt;(B5+B107),(B5+B107)*D33,((B5+B107+B18-B33)*D33)+((B5+B107-(B5+B107+B18-B33))*D32)),IF(AND((B5+B107+B18)&gt;B34,(B5+B107+B18)&lt;=C34),IF((B5+B107+B18-B34)&gt;(B5+B107),(B5+B107)*D34,IF((B5+B107+B18-B33)&gt;(B5+B107),(((B5+B107+B18-B34)*D34)+((B5+B107-(B5+B107+B18-B34))*D33)),((B5+B107+B18-B34)*D34)+((C33-B33)*D33)+((B5+B107-(B5+B107+B18-B33))*D32))),IF(AND((B5+B107+B18)&gt;B35,(B5+B107+B18)&lt;=C35),IF((B5+B107+B18-B35)&gt;(B5+B107),(B5+B107)*D35,IF((B5+B107+B18-B34)&gt;(B5+B107),(((B5+B107+B18-B35)*D35)+((B5+B107-(B5+B107+B18-B35))*D34)),IF((B5+B107+B18-B33)&gt;(B5+B107),(((B5+B107+B18-B35)*D35)+((C34-B34)*D34)+((B5+B107-(B5+B107+B18-B34))*D33)),((B5+B107+B18-B35)*D35)+((C34-B34)*D34)+((C33-B33)*D33)+((B5+B107-(B5+B107+B18-B33))*D32)))),IF((B5+B107+B18)&gt;B36,IF((B5+B107+B18-B36)&gt;(B5+B107),(B5+B107)*D36,IF((B5+B107+B18-B35)&gt;(B5+B107),(((B5+B107+B18-B36)*D36)+((B5+B107-(B5+B107+B18-B36))*D35)),IF((B5+B107+B18-B34)&gt;(B5+B107),(((B5+B107+B18-B36)*D36)+((C35-B35)*D35)+((B5+B107-(B5+B107+B18-B35))*D34)),IF((B5+B107+B18-B33)&gt;(B5+B107),(((B5+B107+B18-B36)*D36)+((C35-B35)*D35)+((C34-B34)*D34)+((B5+B107-(B5+B107+B18-B34))*D33)),((B5+B107+B18-B36)*D36)+((C35-B35)*D35)+((C34-B34)*D34)+((C33-B33)*D33)+((B5+B107-(B5+B107+B18-B33))*D32))))))))))</f>
        <v>404</v>
      </c>
      <c r="C150" t="s">
        <v>18</v>
      </c>
      <c r="G150" s="77"/>
      <c r="K150" s="21"/>
      <c r="L150" s="21"/>
      <c r="M150" s="21"/>
    </row>
    <row r="151" spans="1:17">
      <c r="B151" s="37">
        <f ca="1">-IF(B18&gt;=B38,0,IF(B18&lt;B38,IF((B18+B5+B107)&gt;B38,(B38-B18)*D32,((B5+B107)*D32))))</f>
        <v>-0.55549999999999999</v>
      </c>
      <c r="C151" t="s">
        <v>40</v>
      </c>
      <c r="G151" s="30"/>
      <c r="K151" s="4"/>
      <c r="L151" s="13"/>
    </row>
    <row r="152" spans="1:17">
      <c r="B152" s="37">
        <f ca="1">-MIN(B98,SUM(B150:B151))</f>
        <v>-403.44450000000001</v>
      </c>
      <c r="C152" t="s">
        <v>62</v>
      </c>
      <c r="G152" s="30"/>
    </row>
    <row r="153" spans="1:17">
      <c r="B153" s="37">
        <f ca="1">-MIN(B139,SUM(B150,B151,B152,B157))</f>
        <v>5.6843418860808015E-14</v>
      </c>
      <c r="C153" t="s">
        <v>92</v>
      </c>
      <c r="G153" s="30"/>
      <c r="L153" s="13"/>
    </row>
    <row r="154" spans="1:17">
      <c r="B154" s="37"/>
      <c r="D154" t="s">
        <v>19</v>
      </c>
      <c r="E154" s="21" t="s">
        <v>101</v>
      </c>
      <c r="F154" s="21"/>
      <c r="G154" s="18"/>
    </row>
    <row r="155" spans="1:17">
      <c r="B155" s="12" t="b">
        <f ca="1">IF(AND((B5+B107+B18)&gt;=E155,(B5+B107+B18)&lt;=C33),IF((B5+B107+B18-E155)&gt;(B5+B107),(B5+B107)*D33*D155,(B5+B107+B18-E155)*D33*D155),IF(AND((B5+B107+B18)&gt;B34,(B5+B107+B18)&lt;=C34),IF((B5+B107+B18-B34)&gt;(B5+B107),(B5+B107)*D34*D155,IF((B5+B107+B18-E155)&gt;(B5+B107),(((B5+B107+B18-B34)*D34*D155)+(((B5+B107)-(B5+B107+B18-B34))*D33*D155)),((B5+B107+B18-B34)*D34*D155)+((B34-E155)*D33*D155))),IF(AND(B5+B107+B18&gt;B35,(B5+B107+B18)&lt;=C35),IF((B5+B107+B18-B35)&gt;(B5+B107),(B5+B107)*D35*D155,IF((B5+B107+B18-B34)&gt;(B5+B107),(((B5+B107+B18-B35)*D35*D155)+(((B5+B107)-(B5+B107+B18-B35))*D34*D155)),IF((B5+B107+B18-E155)&gt;(B5+B107),(((B5+B107+B18-B35)*D35*D155)+(((C34-B34)*D34*D155))+(((B5+B107)-(B5+B107+B18-B34))*D33*D155)),(((B5+B107+B18-B35)*D35*D155)+(((C34-B34)*D34*D155))+((C33-E155)*D33*D155))))),IF((B5+B107+B18)&gt;B36,IF((B5+B107+B18-B36)&gt;(B5+B107),(B5+B107)*D36*D155,IF((B5+B107+B18-B35)&gt;(B5+B107),(((B5+B107+B18-B36)*D36*D155)+(((B5+B107)-(B5+B107+B18-B36))*D35*D155)),IF((B5+B107+B18-B34)&gt;(B5+B107),(((B5+B107+B18-B36)*D36*D155)+(((C35-B35)*D35*D155))+(((B5+B107)-(B5+B107+B18-B35))*D34*D155)),IF((B5+B107+B18-E155)&gt;(B5+B107),(((B5+B107+B18-B36)*D36*D155)+(((C35-B35)*D35*D155))+(((C34-B34)*D34*D155))+(((B5+B107)-(B5+B107+B18-B34))*D33*D155)),(((B5+B107+B18-B36)*D36*D155)+(((C35-B35)*D35*D155))+(((C34-B34)*D34*D155))+((C33-E155)*D33*D155))))))))))</f>
        <v>0</v>
      </c>
      <c r="C155" t="s">
        <v>21</v>
      </c>
      <c r="D155" s="8">
        <v>0.2</v>
      </c>
      <c r="E155" s="12">
        <v>73145</v>
      </c>
      <c r="F155" s="12"/>
      <c r="G155" s="13"/>
      <c r="K155" s="4"/>
      <c r="L155" s="4"/>
      <c r="P155" s="18"/>
      <c r="Q155" s="15"/>
    </row>
    <row r="156" spans="1:17">
      <c r="B156" s="12" t="b">
        <f ca="1">IF(AND((B5+B107+B18)&gt;=E156,(B5+B107+B18)&lt;=C34),IF((B5+B107+B18-E156)&gt;(B5+B107),(B5+B107)*D34*D156,(B5+B107+B18-E156)*D34*D156),IF(AND((B5+B107+B18)&gt;B35,(B5+B107+B18)&lt;=C35),IF((B5+B107+B18-B35)&gt;(B5+B107),(B5+B107)*D35*D156,IF((B5+B107+B18-E156)&gt;(B5+B107),(((B5+B107+B18-B35)*D35*D156)+(((B5+B107)-(B5+B107+B18-B35))*D34*D156)),((B5+B107+B18-B35)*D35*D156)+((C34-E156)*D34*D156))),IF((B5+B107+B18)&gt;B36,IF((B5+B107+B18-B36)&gt;(B5+B107),(B5+B107)*D36*D156,IF((B5+B107+B18-B35)&gt;(B5+B107),(((B5+B107+B18-B36)*D36*D156)+(((B5+B107)-(B5+B107+B18-B36))*D35*D156)),IF((B5+B107+B18-E156)&gt;(B5+B107),(((B5+B107+B18-B36)*D36*D156)+(((C35-B35)*D35*D156))+(((B5+B107)-(B5+B107+B18-B35))*D34*D156)),((B5+B107+B18-B36)*D36*D156)+((C35-B35)*D35*D156)+((C34-E156)*D34*D156)))))))</f>
        <v>0</v>
      </c>
      <c r="C156" t="s">
        <v>21</v>
      </c>
      <c r="D156" s="8">
        <v>0.36</v>
      </c>
      <c r="E156" s="12">
        <v>86176</v>
      </c>
      <c r="F156" s="12"/>
      <c r="K156" s="4"/>
      <c r="L156" s="4"/>
    </row>
    <row r="157" spans="1:17">
      <c r="B157" s="40">
        <f ca="1">-B67</f>
        <v>-5.6843418860808015E-14</v>
      </c>
      <c r="C157" t="s">
        <v>41</v>
      </c>
      <c r="D157" s="8"/>
      <c r="E157" s="13">
        <v>456</v>
      </c>
      <c r="F157" s="48"/>
      <c r="K157" s="50"/>
      <c r="L157" s="50"/>
      <c r="M157" s="49"/>
    </row>
    <row r="158" spans="1:17">
      <c r="B158" s="38">
        <f ca="1">Q54</f>
        <v>0</v>
      </c>
      <c r="C158" t="s">
        <v>43</v>
      </c>
      <c r="D158" s="8"/>
      <c r="E158" s="13"/>
      <c r="F158" s="48"/>
      <c r="K158" s="50"/>
      <c r="L158" s="50"/>
      <c r="M158" s="49"/>
    </row>
    <row r="159" spans="1:17">
      <c r="A159" s="10" t="s">
        <v>26</v>
      </c>
      <c r="B159" s="76">
        <f ca="1">SUM(B146:B158)</f>
        <v>0</v>
      </c>
      <c r="F159" s="49"/>
      <c r="I159" s="37"/>
      <c r="K159" s="51"/>
      <c r="L159" s="50"/>
      <c r="M159" s="49"/>
    </row>
    <row r="160" spans="1:17">
      <c r="E160" s="18"/>
      <c r="F160" s="51"/>
      <c r="K160" s="49"/>
      <c r="L160" s="49"/>
      <c r="M160" s="49"/>
      <c r="Q160" s="15"/>
    </row>
    <row r="161" spans="1:14">
      <c r="B161" s="13"/>
      <c r="F161" s="49"/>
      <c r="K161" s="49"/>
      <c r="L161" s="49"/>
      <c r="M161" s="49"/>
    </row>
    <row r="162" spans="1:14">
      <c r="A162" s="19" t="s">
        <v>49</v>
      </c>
      <c r="B162" s="13"/>
      <c r="F162" s="49"/>
      <c r="K162" s="49"/>
      <c r="L162" s="49"/>
      <c r="M162" s="49"/>
    </row>
    <row r="163" spans="1:14">
      <c r="A163" t="s">
        <v>129</v>
      </c>
      <c r="B163" s="37">
        <f ca="1">SUM(B146:B149)</f>
        <v>0</v>
      </c>
      <c r="F163" s="49"/>
      <c r="K163" s="49"/>
      <c r="L163" s="49"/>
      <c r="M163" s="49"/>
    </row>
    <row r="164" spans="1:14">
      <c r="A164" t="s">
        <v>130</v>
      </c>
      <c r="B164" s="38">
        <f ca="1">SUM(B150:B158)</f>
        <v>0</v>
      </c>
      <c r="F164" s="49"/>
      <c r="K164" s="49"/>
      <c r="L164" s="49"/>
      <c r="M164" s="49"/>
    </row>
    <row r="165" spans="1:14">
      <c r="B165" s="13">
        <f ca="1">SUM(B163:B164)</f>
        <v>0</v>
      </c>
      <c r="F165" s="49"/>
      <c r="K165" s="49"/>
      <c r="L165" s="49"/>
      <c r="M165" s="49"/>
    </row>
    <row r="166" spans="1:14">
      <c r="B166" s="13"/>
      <c r="F166" s="49"/>
      <c r="K166" s="49"/>
      <c r="L166" s="49"/>
      <c r="M166" s="49"/>
    </row>
    <row r="167" spans="1:14">
      <c r="B167" s="13"/>
      <c r="F167" s="49"/>
      <c r="K167" s="49"/>
      <c r="L167" s="49"/>
      <c r="M167" s="49"/>
    </row>
    <row r="168" spans="1:14">
      <c r="B168" s="40"/>
      <c r="C168" s="40"/>
      <c r="D168" s="56"/>
      <c r="F168" s="49"/>
      <c r="K168" s="49"/>
      <c r="L168" s="49"/>
      <c r="M168" s="49"/>
    </row>
    <row r="169" spans="1:14">
      <c r="B169" s="40"/>
      <c r="C169" s="40"/>
      <c r="D169" s="56"/>
      <c r="F169" s="49"/>
      <c r="K169" s="49"/>
      <c r="L169" s="49"/>
      <c r="M169" s="49"/>
    </row>
    <row r="170" spans="1:14">
      <c r="B170" s="40"/>
      <c r="C170" s="40"/>
      <c r="D170" s="56"/>
      <c r="F170" s="49"/>
      <c r="K170" s="51"/>
      <c r="L170" s="49"/>
      <c r="M170" s="51"/>
      <c r="N170" s="18"/>
    </row>
    <row r="171" spans="1:14">
      <c r="B171" s="40"/>
      <c r="C171" s="40"/>
      <c r="D171" s="56"/>
      <c r="F171" s="49"/>
      <c r="K171" s="49"/>
      <c r="L171" s="49"/>
      <c r="M171" s="49"/>
    </row>
    <row r="172" spans="1:14">
      <c r="B172" s="40"/>
      <c r="C172" s="40"/>
      <c r="D172" s="56"/>
      <c r="F172" s="49"/>
      <c r="K172" s="49"/>
      <c r="L172" s="49"/>
      <c r="M172" s="49"/>
    </row>
    <row r="173" spans="1:14">
      <c r="B173" s="40"/>
      <c r="C173" s="40"/>
      <c r="D173" s="56"/>
      <c r="F173" s="49"/>
      <c r="G173" s="49"/>
      <c r="H173" s="48"/>
      <c r="I173" s="49"/>
      <c r="J173" s="49"/>
      <c r="K173" s="49"/>
      <c r="L173" s="49"/>
      <c r="M173" s="49"/>
    </row>
    <row r="174" spans="1:14">
      <c r="B174" s="40"/>
      <c r="C174" s="40"/>
      <c r="D174" s="56"/>
      <c r="H174" s="12"/>
    </row>
    <row r="175" spans="1:14">
      <c r="B175" s="40"/>
      <c r="C175" s="40"/>
      <c r="D175" s="56"/>
    </row>
    <row r="176" spans="1:14">
      <c r="B176" s="40"/>
      <c r="C176" s="40"/>
      <c r="D176" s="56"/>
      <c r="H176" s="41"/>
      <c r="M176" s="22"/>
    </row>
    <row r="177" spans="2:4">
      <c r="B177" s="40"/>
      <c r="C177" s="40"/>
      <c r="D177" s="56"/>
    </row>
    <row r="178" spans="2:4">
      <c r="B178" s="40"/>
      <c r="C178" s="40"/>
    </row>
    <row r="179" spans="2:4">
      <c r="B179" s="36"/>
      <c r="C179" s="53"/>
    </row>
    <row r="180" spans="2:4">
      <c r="B180" s="13"/>
    </row>
    <row r="181" spans="2:4">
      <c r="B181" s="13"/>
      <c r="D181" s="18"/>
    </row>
    <row r="216" ht="15" customHeight="1"/>
  </sheetData>
  <dataValidations count="4">
    <dataValidation type="list" allowBlank="1" showInputMessage="1" showErrorMessage="1" sqref="B7">
      <formula1>$E$1:$E$2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10">
      <formula1>$E$4:$E$5</formula1>
    </dataValidation>
    <dataValidation type="list" allowBlank="1" showInputMessage="1" showErrorMessage="1" sqref="B14">
      <formula1>$H$1:$H$18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3" zoomScale="85" zoomScaleNormal="85" zoomScalePageLayoutView="85" workbookViewId="0">
      <selection activeCell="B31" sqref="B31"/>
    </sheetView>
  </sheetViews>
  <sheetFormatPr baseColWidth="10" defaultColWidth="8.83203125" defaultRowHeight="14" x14ac:dyDescent="0"/>
  <cols>
    <col min="1" max="1" width="39" customWidth="1"/>
    <col min="2" max="2" width="14.1640625" customWidth="1"/>
    <col min="3" max="3" width="11.6640625" customWidth="1"/>
    <col min="4" max="4" width="11.83203125" customWidth="1"/>
    <col min="5" max="5" width="10.5" bestFit="1" customWidth="1"/>
    <col min="6" max="7" width="10.5" customWidth="1"/>
    <col min="8" max="8" width="16.83203125" style="13" customWidth="1"/>
    <col min="9" max="9" width="11.6640625" bestFit="1" customWidth="1"/>
    <col min="10" max="10" width="12.83203125" bestFit="1" customWidth="1"/>
    <col min="11" max="11" width="12" bestFit="1" customWidth="1"/>
    <col min="12" max="12" width="10.1640625" bestFit="1" customWidth="1"/>
    <col min="13" max="13" width="12.33203125" bestFit="1" customWidth="1"/>
    <col min="17" max="17" width="9.5" bestFit="1" customWidth="1"/>
  </cols>
  <sheetData>
    <row r="1" spans="1:14">
      <c r="B1" s="1"/>
      <c r="C1" t="s">
        <v>0</v>
      </c>
      <c r="E1" t="s">
        <v>28</v>
      </c>
      <c r="F1" t="s">
        <v>34</v>
      </c>
      <c r="I1" s="31" t="s">
        <v>37</v>
      </c>
    </row>
    <row r="2" spans="1:14">
      <c r="A2" s="2" t="s">
        <v>2</v>
      </c>
      <c r="E2" t="s">
        <v>29</v>
      </c>
      <c r="F2" t="s">
        <v>33</v>
      </c>
      <c r="I2" s="31" t="s">
        <v>85</v>
      </c>
    </row>
    <row r="3" spans="1:14">
      <c r="A3" s="3" t="s">
        <v>106</v>
      </c>
      <c r="H3" s="48"/>
      <c r="I3" s="48"/>
      <c r="J3" s="51"/>
      <c r="K3" s="49"/>
      <c r="L3" s="21"/>
      <c r="M3" s="21"/>
      <c r="N3" s="21"/>
    </row>
    <row r="4" spans="1:14">
      <c r="E4" t="s">
        <v>69</v>
      </c>
      <c r="F4" t="s">
        <v>28</v>
      </c>
      <c r="H4" s="49"/>
      <c r="I4" s="48"/>
      <c r="J4" s="48"/>
      <c r="K4" s="51"/>
      <c r="L4" s="21"/>
      <c r="M4" s="21"/>
      <c r="N4" s="21"/>
    </row>
    <row r="5" spans="1:14">
      <c r="A5" t="s">
        <v>107</v>
      </c>
      <c r="B5" s="61">
        <v>8000</v>
      </c>
      <c r="E5" t="s">
        <v>70</v>
      </c>
      <c r="F5" t="s">
        <v>29</v>
      </c>
      <c r="H5" s="21"/>
      <c r="I5" s="37"/>
      <c r="J5" s="37"/>
      <c r="K5" s="37"/>
      <c r="L5" s="21"/>
      <c r="M5" s="21"/>
      <c r="N5" s="21"/>
    </row>
    <row r="6" spans="1:14">
      <c r="A6" s="29" t="s">
        <v>71</v>
      </c>
      <c r="B6" s="1" t="s">
        <v>69</v>
      </c>
      <c r="E6" s="31"/>
      <c r="H6" s="49"/>
      <c r="I6" s="48"/>
      <c r="J6" s="48"/>
      <c r="K6" s="40"/>
      <c r="L6" s="21"/>
      <c r="M6" s="21"/>
      <c r="N6" s="21"/>
    </row>
    <row r="7" spans="1:14">
      <c r="A7" s="29" t="s">
        <v>72</v>
      </c>
      <c r="B7" s="1">
        <v>2000</v>
      </c>
      <c r="E7" s="31"/>
      <c r="F7" s="31"/>
      <c r="H7" s="21"/>
      <c r="I7" s="40"/>
      <c r="J7" s="40"/>
      <c r="K7" s="40"/>
      <c r="L7" s="21"/>
      <c r="M7" s="21"/>
      <c r="N7" s="21"/>
    </row>
    <row r="8" spans="1:14" s="21" customFormat="1">
      <c r="A8" s="62"/>
      <c r="B8"/>
      <c r="E8" s="63"/>
      <c r="F8" s="63"/>
      <c r="G8" s="64"/>
      <c r="I8" s="40"/>
      <c r="J8" s="40"/>
      <c r="K8" s="40"/>
    </row>
    <row r="9" spans="1:14">
      <c r="A9" s="2" t="s">
        <v>5</v>
      </c>
      <c r="G9" s="13"/>
      <c r="H9" s="49"/>
      <c r="I9" s="40"/>
      <c r="J9" s="40"/>
      <c r="K9" s="40"/>
      <c r="L9" s="21"/>
      <c r="M9" s="21"/>
      <c r="N9" s="21"/>
    </row>
    <row r="10" spans="1:14">
      <c r="A10" t="s">
        <v>6</v>
      </c>
      <c r="B10" s="1" t="s">
        <v>1</v>
      </c>
      <c r="G10" s="18"/>
      <c r="H10" s="49"/>
      <c r="I10" s="40"/>
      <c r="J10" s="40"/>
      <c r="K10" s="40"/>
      <c r="L10" s="21"/>
      <c r="M10" s="21"/>
      <c r="N10" s="21"/>
    </row>
    <row r="11" spans="1:14">
      <c r="H11" s="49"/>
      <c r="I11" s="40"/>
      <c r="J11" s="40"/>
      <c r="K11" s="40"/>
      <c r="L11" s="21"/>
      <c r="M11" s="21"/>
      <c r="N11" s="21"/>
    </row>
    <row r="12" spans="1:14">
      <c r="H12" s="49"/>
      <c r="I12" s="48"/>
      <c r="J12" s="48"/>
      <c r="K12" s="48"/>
      <c r="L12" s="21"/>
      <c r="M12" s="21"/>
      <c r="N12" s="21"/>
    </row>
    <row r="13" spans="1:14">
      <c r="H13" s="49"/>
      <c r="I13" s="48"/>
      <c r="J13" s="37"/>
      <c r="K13" s="49"/>
      <c r="L13" s="21"/>
      <c r="M13" s="21"/>
      <c r="N13" s="21"/>
    </row>
    <row r="14" spans="1:14">
      <c r="A14" t="s">
        <v>7</v>
      </c>
      <c r="B14" s="1">
        <v>9000</v>
      </c>
      <c r="H14" s="49"/>
      <c r="I14" s="48"/>
      <c r="J14" s="37"/>
      <c r="K14" s="50"/>
      <c r="L14" s="21"/>
      <c r="M14" s="21"/>
      <c r="N14" s="21"/>
    </row>
    <row r="15" spans="1:14">
      <c r="A15" s="2" t="s">
        <v>8</v>
      </c>
    </row>
    <row r="16" spans="1:14">
      <c r="A16" s="3" t="s">
        <v>9</v>
      </c>
    </row>
    <row r="17" spans="1:14">
      <c r="B17" s="27" t="s">
        <v>25</v>
      </c>
      <c r="C17" s="21"/>
      <c r="D17" s="21"/>
      <c r="F17" s="27"/>
      <c r="G17" s="21"/>
      <c r="H17" s="21"/>
    </row>
    <row r="18" spans="1:14" ht="15">
      <c r="A18" t="s">
        <v>10</v>
      </c>
      <c r="B18" s="55">
        <v>0</v>
      </c>
      <c r="C18" s="28">
        <v>45282</v>
      </c>
      <c r="D18" s="78">
        <v>0.15</v>
      </c>
      <c r="F18" s="55"/>
      <c r="G18" s="28"/>
      <c r="H18" s="78"/>
      <c r="I18" s="5"/>
      <c r="J18" s="6"/>
      <c r="K18" s="6"/>
      <c r="L18" s="4"/>
      <c r="M18" s="5"/>
      <c r="N18" s="6"/>
    </row>
    <row r="19" spans="1:14" ht="15">
      <c r="A19" t="s">
        <v>11</v>
      </c>
      <c r="B19" s="28">
        <f>C18</f>
        <v>45282</v>
      </c>
      <c r="C19" s="28">
        <v>90563</v>
      </c>
      <c r="D19" s="79">
        <v>0.20499999999999999</v>
      </c>
      <c r="F19" s="28"/>
      <c r="G19" s="28"/>
      <c r="H19" s="79"/>
      <c r="I19" s="5"/>
      <c r="J19" s="7"/>
      <c r="K19" s="7"/>
      <c r="L19" s="5"/>
      <c r="M19" s="5"/>
      <c r="N19" s="7"/>
    </row>
    <row r="20" spans="1:14" ht="15">
      <c r="A20" t="s">
        <v>11</v>
      </c>
      <c r="B20" s="28">
        <f>C19</f>
        <v>90563</v>
      </c>
      <c r="C20" s="28">
        <v>140388</v>
      </c>
      <c r="D20" s="79">
        <v>0.26</v>
      </c>
      <c r="F20" s="28"/>
      <c r="G20" s="28"/>
      <c r="H20" s="79"/>
      <c r="I20" s="5"/>
      <c r="J20" s="7"/>
      <c r="K20" s="7"/>
      <c r="L20" s="5"/>
      <c r="M20" s="5"/>
      <c r="N20" s="7"/>
    </row>
    <row r="21" spans="1:14" ht="15">
      <c r="A21" t="s">
        <v>11</v>
      </c>
      <c r="B21" s="28">
        <f>C20</f>
        <v>140388</v>
      </c>
      <c r="C21" s="28">
        <v>200000</v>
      </c>
      <c r="D21" s="79">
        <v>0.28999999999999998</v>
      </c>
      <c r="F21" s="28"/>
      <c r="G21" s="28"/>
      <c r="H21" s="79"/>
      <c r="I21" s="23"/>
      <c r="J21" s="7"/>
      <c r="K21" s="7"/>
      <c r="L21" s="5"/>
      <c r="M21" s="5"/>
      <c r="N21" s="7"/>
    </row>
    <row r="22" spans="1:14" ht="15">
      <c r="B22" s="28">
        <f>C21</f>
        <v>200000</v>
      </c>
      <c r="C22" s="21"/>
      <c r="D22" s="79">
        <v>0.33</v>
      </c>
      <c r="F22" s="28"/>
      <c r="G22" s="21"/>
      <c r="H22" s="79"/>
      <c r="I22" s="4"/>
      <c r="J22" s="7"/>
      <c r="K22" s="7"/>
      <c r="L22" s="5"/>
      <c r="N22" s="7"/>
    </row>
    <row r="23" spans="1:14">
      <c r="B23" s="21"/>
      <c r="C23" s="21"/>
      <c r="D23" s="12"/>
      <c r="F23" s="21"/>
      <c r="G23" s="21"/>
      <c r="H23" s="12"/>
    </row>
    <row r="24" spans="1:14" ht="15">
      <c r="A24" t="s">
        <v>48</v>
      </c>
      <c r="B24" s="28">
        <v>11474</v>
      </c>
      <c r="C24" s="55"/>
      <c r="D24" s="12"/>
      <c r="F24" s="21"/>
      <c r="G24" s="55"/>
      <c r="H24" s="12"/>
    </row>
    <row r="25" spans="1:14">
      <c r="B25" s="21"/>
      <c r="C25" s="21"/>
      <c r="D25" s="21"/>
      <c r="F25" s="21"/>
      <c r="G25" s="21"/>
      <c r="H25" s="12"/>
      <c r="J25" s="9"/>
    </row>
    <row r="26" spans="1:14">
      <c r="A26" s="3" t="s">
        <v>12</v>
      </c>
      <c r="B26" s="21"/>
      <c r="C26" s="21"/>
      <c r="D26" s="21"/>
      <c r="F26" s="21"/>
      <c r="G26" s="21"/>
      <c r="H26" s="12"/>
    </row>
    <row r="27" spans="1:14">
      <c r="A27" s="10" t="s">
        <v>13</v>
      </c>
      <c r="B27" s="27" t="s">
        <v>25</v>
      </c>
      <c r="C27" s="21"/>
      <c r="D27" s="21"/>
      <c r="F27" s="27"/>
      <c r="G27" s="21"/>
      <c r="H27" s="21"/>
      <c r="I27" s="25"/>
      <c r="J27" s="10"/>
      <c r="K27" s="25"/>
    </row>
    <row r="28" spans="1:14" ht="15">
      <c r="A28" t="s">
        <v>10</v>
      </c>
      <c r="B28" s="21">
        <v>0</v>
      </c>
      <c r="C28" s="28">
        <v>41536</v>
      </c>
      <c r="D28" s="79">
        <v>5.0500000000000003E-2</v>
      </c>
      <c r="F28" s="21"/>
      <c r="G28" s="28"/>
      <c r="H28" s="79"/>
      <c r="I28" s="5"/>
      <c r="J28" s="7"/>
    </row>
    <row r="29" spans="1:14" ht="15">
      <c r="A29" t="s">
        <v>11</v>
      </c>
      <c r="B29" s="28">
        <f>C28</f>
        <v>41536</v>
      </c>
      <c r="C29" s="28">
        <v>83075</v>
      </c>
      <c r="D29" s="79">
        <v>9.1499999999999998E-2</v>
      </c>
      <c r="F29" s="28"/>
      <c r="G29" s="28"/>
      <c r="H29" s="79"/>
      <c r="I29" s="5"/>
      <c r="J29" s="24"/>
      <c r="K29" s="18"/>
      <c r="L29" s="15"/>
    </row>
    <row r="30" spans="1:14" ht="15">
      <c r="A30" t="s">
        <v>11</v>
      </c>
      <c r="B30" s="28">
        <f>C29</f>
        <v>83075</v>
      </c>
      <c r="C30" s="28">
        <v>150000</v>
      </c>
      <c r="D30" s="79">
        <v>0.1116</v>
      </c>
      <c r="F30" s="28"/>
      <c r="G30" s="28"/>
      <c r="H30" s="79"/>
      <c r="I30" s="4"/>
      <c r="J30" s="24"/>
      <c r="K30" s="4"/>
      <c r="L30" s="13"/>
      <c r="N30" s="18"/>
    </row>
    <row r="31" spans="1:14" ht="15">
      <c r="A31" t="s">
        <v>11</v>
      </c>
      <c r="B31" s="28">
        <f>C30</f>
        <v>150000</v>
      </c>
      <c r="C31" s="28">
        <v>220000</v>
      </c>
      <c r="D31" s="79">
        <v>0.1216</v>
      </c>
      <c r="F31" s="28"/>
      <c r="G31" s="28"/>
      <c r="H31" s="79"/>
      <c r="I31" s="4"/>
      <c r="J31" s="24"/>
      <c r="K31" s="4"/>
      <c r="L31" s="13"/>
      <c r="N31" s="4"/>
    </row>
    <row r="32" spans="1:14" ht="15">
      <c r="B32" s="28">
        <f>C31</f>
        <v>220000</v>
      </c>
      <c r="C32" s="21"/>
      <c r="D32" s="79">
        <v>0.13159999999999999</v>
      </c>
      <c r="F32" s="28"/>
      <c r="G32" s="21"/>
      <c r="H32" s="79"/>
      <c r="I32" s="4"/>
      <c r="J32" s="24"/>
      <c r="K32" s="4"/>
      <c r="L32" s="13"/>
    </row>
    <row r="33" spans="1:17">
      <c r="B33" s="21"/>
      <c r="C33" s="21"/>
      <c r="D33" s="21"/>
      <c r="H33" s="42"/>
      <c r="I33" s="4"/>
      <c r="J33" s="26"/>
      <c r="K33" s="16"/>
      <c r="L33" s="26"/>
    </row>
    <row r="34" spans="1:17" ht="15">
      <c r="A34" t="s">
        <v>40</v>
      </c>
      <c r="B34" s="28">
        <v>10011</v>
      </c>
      <c r="C34" s="28">
        <f>B34</f>
        <v>10011</v>
      </c>
      <c r="D34" s="21"/>
      <c r="H34" s="42"/>
      <c r="I34" s="4"/>
      <c r="J34" s="26"/>
      <c r="K34" s="16"/>
      <c r="L34" s="26"/>
    </row>
    <row r="35" spans="1:17" ht="15">
      <c r="A35" t="s">
        <v>42</v>
      </c>
      <c r="B35" s="39">
        <f>E132/0.0505</f>
        <v>9029.7029702970285</v>
      </c>
      <c r="C35" s="39">
        <f>B35/2</f>
        <v>4514.8514851485143</v>
      </c>
      <c r="D35" s="4"/>
      <c r="H35" s="42"/>
      <c r="I35" s="4"/>
      <c r="J35" s="26"/>
      <c r="K35" s="16"/>
      <c r="L35" s="26"/>
    </row>
    <row r="36" spans="1:17">
      <c r="B36" s="4">
        <f>SUM(B34:B35)</f>
        <v>19040.702970297029</v>
      </c>
      <c r="C36" s="4">
        <f>SUM(C34:C35)</f>
        <v>14525.851485148514</v>
      </c>
      <c r="I36" s="18"/>
      <c r="J36" s="4"/>
      <c r="K36" s="16"/>
    </row>
    <row r="37" spans="1:17">
      <c r="B37" s="4"/>
      <c r="C37" s="4"/>
      <c r="D37" t="s">
        <v>46</v>
      </c>
      <c r="E37" s="13"/>
      <c r="F37" s="45"/>
      <c r="H37" s="16"/>
    </row>
    <row r="38" spans="1:17">
      <c r="A38" s="3" t="s">
        <v>43</v>
      </c>
      <c r="B38" s="4"/>
      <c r="C38" s="4"/>
      <c r="E38" s="13" t="s">
        <v>44</v>
      </c>
      <c r="F38" s="18"/>
      <c r="G38" s="4"/>
      <c r="H38" s="22"/>
      <c r="Q38" t="s">
        <v>45</v>
      </c>
    </row>
    <row r="39" spans="1:17">
      <c r="B39" s="4">
        <v>0</v>
      </c>
      <c r="C39" s="4">
        <v>20000</v>
      </c>
      <c r="D39" s="8">
        <v>0</v>
      </c>
      <c r="E39" s="13">
        <v>0</v>
      </c>
      <c r="F39" s="13" t="b">
        <f ca="1">IF(AND((B14&gt;B39),(B14&lt;=C39)),IF((B14+B5+B84)&gt;B49,(E49-E39)))</f>
        <v>0</v>
      </c>
      <c r="G39" s="13" t="b">
        <f ca="1">IF(AND((B14&gt;B39),(B14&lt;=C39)),IF(AND((B14+B5+B84)&gt;B48,(B14+B5+B84)&lt;=C48),(B14+B5+B84-B48)*D48+(E47-E39)))</f>
        <v>0</v>
      </c>
      <c r="H39" s="13" t="b">
        <f ca="1">IF(AND((B14&gt;B39),(B14&lt;=C39)),IF(AND((B14+B5+B84)&gt;B47,(B14+B5+B84)&lt;=C47),(E47-E39)))</f>
        <v>0</v>
      </c>
      <c r="I39" s="13" t="b">
        <f ca="1">IF(AND((B14&gt;B39),(B14&lt;=C39)),IF(AND((B14+B5+B84)&gt;B46,(B14+B5+B84)&lt;=C46),(B14+B5+B84-B46)*D46+(E45-E39)))</f>
        <v>0</v>
      </c>
      <c r="J39" s="13" t="b">
        <f ca="1">IF(AND((B14&gt;B39),(B14&lt;=C39)),IF(AND((B14+B5+B84)&gt;B45,(B14+B5+B84)&lt;=C45),(E45-E39)))</f>
        <v>0</v>
      </c>
      <c r="K39" s="13" t="b">
        <f ca="1">IF(AND((B14&gt;B39),(B14&lt;=C39)),IF(AND((B14+B5+B84)&gt;B44,(B14+B5+B84)&lt;=C44),(B14+B5+B84-B44)*D44+(E43-E39)))</f>
        <v>0</v>
      </c>
      <c r="L39" s="13" t="b">
        <f ca="1">IF(AND((B14&gt;B39),(B14&lt;=C39)),IF(AND((B14+B5+B84)&gt;B43,(B14+B5+B84)&lt;=C43),(E43-E39)))</f>
        <v>0</v>
      </c>
      <c r="M39" s="13" t="b">
        <f ca="1">IF(AND((B14&gt;B39),(B14&lt;=C39)),IF((AND((B14+B5+B84)&gt;B42,(B14+B5+B84)&lt;=C42)),((B14+B5+B84-B42)*D42)+(E41-E39)))</f>
        <v>0</v>
      </c>
      <c r="N39" s="13" t="b">
        <f ca="1">IF(AND((B14&gt;B39),(B14&lt;=C39)),IF(AND((B14+B5+B84)&gt;B41,(B14+B5+B84)&lt;=C41),(E41-E39)))</f>
        <v>0</v>
      </c>
      <c r="O39" s="13" t="b">
        <f ca="1">IF(AND((B14&gt;B39),(B14&lt;=C39)),IF(AND((B14+B5+B84)&gt;B40,(B14+B5+B84)&lt;=C40),(B14+B5+B84-B40)*D40))</f>
        <v>0</v>
      </c>
      <c r="P39" s="13">
        <f ca="1">IF(AND((B14&gt;B39),(B14&lt;=C39)),IF(AND((B14+B5+B84)&gt;B39,(B14+B5+B84)&lt;=C39),0))</f>
        <v>0</v>
      </c>
      <c r="Q39" s="13">
        <f ca="1">SUM(F39:P39)</f>
        <v>0</v>
      </c>
    </row>
    <row r="40" spans="1:17">
      <c r="B40" s="4">
        <f t="shared" ref="B40:B49" si="0">C39</f>
        <v>20000</v>
      </c>
      <c r="C40" s="4">
        <v>25000</v>
      </c>
      <c r="D40" s="8">
        <v>0.06</v>
      </c>
      <c r="E40" s="13">
        <v>0</v>
      </c>
      <c r="F40" s="13" t="b">
        <f>IF(AND((B14&gt;B40),(B14&lt;=C40)),IF((B14+B5+B84)&gt;B49,(E49-E41)+(C40-B14)*D40))</f>
        <v>0</v>
      </c>
      <c r="G40" s="13" t="b">
        <f>IF(AND((B14&gt;B40),(B14&lt;=C40)),IF(AND((B14+B5+B84)&gt;B48,(B14+B5+B84)&lt;=C48),((B14+B5+B84-B48)*D48)+(E47-E41)+(C40-B14)*D40))</f>
        <v>0</v>
      </c>
      <c r="H40" s="13" t="b">
        <f>IF(AND((B14&gt;B40),(B14&lt;=C40)),IF(AND((B14+B5+B84)&gt;B47,(B14+B5+B84)&lt;=C47),(E47-E41)+(C40-B14)*D40))</f>
        <v>0</v>
      </c>
      <c r="I40" s="13" t="b">
        <f>IF(AND((B14&gt;B40),(B14&lt;=C40)),IF(AND((B14+B5+B84)&gt;B46,(B14+B5+B84)&lt;=C46),((B14+B5+B84-B46)*D46)+(E45-E41)+(C40-B14)*D40))</f>
        <v>0</v>
      </c>
      <c r="J40" s="13" t="b">
        <f>IF(AND((B14&gt;B40),(B14&lt;=C40)),IF(AND((B14+B5+B84)&gt;B45,(B14+B5+B84)&lt;=C45),(E45-E41)+(C40-B14)*D40))</f>
        <v>0</v>
      </c>
      <c r="K40" s="13" t="b">
        <f>IF(AND((B14&gt;B40),(B14&lt;=C40)),IF(AND((B14+B5+B84)&gt;B44,(B14+B5+B84)&lt;=C44),((B14+B5+B84-B44)*D44)+(E43-E41)+(C40-B14)*D40))</f>
        <v>0</v>
      </c>
      <c r="L40" s="13" t="b">
        <f>IF(AND((B14&gt;B40),(B14&lt;=C40)),IF(AND((B14+B5+B84)&gt;B43,(B14+B5+B84)&lt;=C43),(E43-E41)+(C40-B14)*D40))</f>
        <v>0</v>
      </c>
      <c r="M40" s="13" t="b">
        <f>IF(AND((B14&gt;B40),(B14&lt;=C40)),IF(AND((B14+B5+B84)&gt;B42,(B14+B5+B84)&lt;=C42),((B14+B5+B84-B42)*D42)+((C40-B14)*D40)))</f>
        <v>0</v>
      </c>
      <c r="N40" s="13" t="b">
        <f>IF(AND((B14&gt;B40),(B14&lt;=C40)),IF(AND((B14+B5+B84)&gt;B41,(B14+B5+B84)&lt;=C41),(C40-B14)*D40))</f>
        <v>0</v>
      </c>
      <c r="O40" s="13" t="b">
        <f>IF(AND((B14&gt;B40),(B14&lt;=C40)),IF(AND((B14+B5+B84)&gt;B40,(B14+B5+B84)&lt;=C40),(B5+B84)*D40))</f>
        <v>0</v>
      </c>
      <c r="P40" s="13"/>
      <c r="Q40" s="13">
        <f t="shared" ref="Q40:Q49" si="1">SUM(F40:P40)</f>
        <v>0</v>
      </c>
    </row>
    <row r="41" spans="1:17">
      <c r="B41" s="4">
        <f t="shared" si="0"/>
        <v>25000</v>
      </c>
      <c r="C41" s="4">
        <v>36000</v>
      </c>
      <c r="E41" s="13">
        <v>300</v>
      </c>
      <c r="F41" s="12" t="b">
        <f>IF(AND((B14&gt;B41),(B14&lt;=C41)),IF((B14+B5+B84)&gt;B49,(E49-E41)))</f>
        <v>0</v>
      </c>
      <c r="G41" s="13" t="b">
        <f>IF(AND((B14&gt;B41),(B14&lt;=C41)),IF(AND((B14+B5+B84)&gt;B48,(B14+B5+B84)&lt;=C48),(B14+B5+B84-B48)*D48+(E47-E41)))</f>
        <v>0</v>
      </c>
      <c r="H41" s="13" t="b">
        <f>IF(AND((B14&gt;B41),(B14&lt;=C41)),IF(AND((B14+B5+B84)&gt;B47,(B14+B5+B84)&lt;=C47),(E47-E41)))</f>
        <v>0</v>
      </c>
      <c r="I41" s="13" t="b">
        <f>IF(AND((B14&gt;B41),(B14&lt;=C41)),IF(AND((B14+B5+B84)&gt;B46,(B14+B5+B84)&lt;=C46),(B14+B5+B84-B46)*D46+(E45-E41)))</f>
        <v>0</v>
      </c>
      <c r="J41" s="13" t="b">
        <f>IF(AND((B14&gt;B41),(B14&lt;=C41)),IF(AND((B14+B5+B84)&gt;B45,(B14+B5+B84)&lt;=C45),(E45-E41)))</f>
        <v>0</v>
      </c>
      <c r="K41" s="13" t="b">
        <f>IF(AND((B14&gt;B41),(B14&lt;=C41)),IF(AND((B14+B5+B84)&gt;B44,(B14+B5+B84)&lt;=C44),((B14+B5+B84-B44)*D44)+(E43-E41)))</f>
        <v>0</v>
      </c>
      <c r="L41" s="13" t="b">
        <f>IF(AND((B14&gt;B41),(B14&lt;=C41)),IF(AND((B14+B5+B84)&gt;B43,(B14+B5+B84)&lt;=C43),(E43-E41)))</f>
        <v>0</v>
      </c>
      <c r="M41" s="13" t="b">
        <f>IF(AND((B14&gt;B41),(B14&lt;=C41)),IF(AND((B14+B5+B84)&gt;B42,(B14+B5+B84)&lt;=C42),(B14+B5+B84-B42)*D42))</f>
        <v>0</v>
      </c>
      <c r="N41" s="13" t="b">
        <f>IF(AND((B14&gt;B41),(B14&lt;=C41)),IF(AND((B14+B5+B84)&gt;B41,(B14+B5+B84)&lt;=C41),0))</f>
        <v>0</v>
      </c>
      <c r="O41" s="13"/>
      <c r="P41" s="13"/>
      <c r="Q41" s="13">
        <f t="shared" si="1"/>
        <v>0</v>
      </c>
    </row>
    <row r="42" spans="1:17">
      <c r="B42" s="4">
        <f t="shared" si="0"/>
        <v>36000</v>
      </c>
      <c r="C42" s="4">
        <v>38500</v>
      </c>
      <c r="D42" s="8">
        <v>0.06</v>
      </c>
      <c r="E42" s="13">
        <v>0</v>
      </c>
      <c r="F42" s="13" t="b">
        <f>IF(AND((B14&gt;B42),(B14&lt;=C42)),IF((B14+B5+B84)&gt;B49,(E49-E43)+(C42-B14)*D42))</f>
        <v>0</v>
      </c>
      <c r="G42" s="13" t="b">
        <f>IF(AND((B14&gt;B42),(B14&lt;=C42)),IF(AND((B14+B5+B84)&gt;B48,(B14+B5+B84)&lt;=C48),((B14+B5+B84-B48)*D48)+(E47-E43)+(C42-B14)*D42))</f>
        <v>0</v>
      </c>
      <c r="H42" s="13" t="b">
        <f>IF(AND((B14&gt;B42),(B14&lt;=C42)),IF(AND((B14+B5+B84)&gt;B47,(B14+B5+B84)&lt;=C47),(E47-E43)+(C42-B14)*D42))</f>
        <v>0</v>
      </c>
      <c r="I42" s="13" t="b">
        <f>IF(AND((B14&gt;B42),(B14&lt;=C42)),IF(AND((B14+B5+B84)&gt;B46,(B14+B5+B84)&lt;=C46),((B14+B5+B84-B46)*D46)+(E45-E43)+(C42-B14)*D42))</f>
        <v>0</v>
      </c>
      <c r="J42" s="13" t="b">
        <f>IF(AND((B14&gt;B42),(B14&lt;=C42)),IF(AND((B14+B5+B84)&gt;B45,(B14+B5+B84)&lt;=C45),(E45-E43)+(C42-B14)*D42))</f>
        <v>0</v>
      </c>
      <c r="K42" s="13" t="b">
        <f>IF(AND((B14&gt;B42),(B14&lt;=C42)),IF(AND((B14+B5+B84)&gt;B44,(B14+B5+B84)&lt;=C44),((B14+B5+B84-B44)*D44)+((C42-B14)*D42)))</f>
        <v>0</v>
      </c>
      <c r="L42" s="13" t="b">
        <f>IF(AND((B14&gt;B42),(B14&lt;=C42)),IF(AND((B14+B5+B84)&gt;B43,(B14+B5+B84)&lt;=C43),(C42-B14)*D42))</f>
        <v>0</v>
      </c>
      <c r="M42" s="13" t="b">
        <f>IF(AND((B14&gt;B42),(B14&lt;=C42)),IF(AND((B14+B5+B84)&gt;B42,(B14+B5+B84)&lt;=C42),(B5+B84)*D42))</f>
        <v>0</v>
      </c>
      <c r="N42" s="13"/>
      <c r="O42" s="13"/>
      <c r="P42" s="13"/>
      <c r="Q42" s="13">
        <f t="shared" si="1"/>
        <v>0</v>
      </c>
    </row>
    <row r="43" spans="1:17">
      <c r="B43" s="4">
        <f t="shared" si="0"/>
        <v>38500</v>
      </c>
      <c r="C43" s="4">
        <v>48000</v>
      </c>
      <c r="E43" s="13">
        <v>450</v>
      </c>
      <c r="F43" s="13" t="b">
        <f>IF(AND((B14&gt;B43),(B14&lt;=C43)),IF((B14+B5+B84)&gt;B49,(E49-E43)))</f>
        <v>0</v>
      </c>
      <c r="G43" s="13" t="b">
        <f>IF(AND((B14&gt;B43),(B14&lt;=C43)),IF(AND((B14+B5+B84)&gt;B48,(B14+B5+B84)&lt;=C48),(B14+B5+B84-B48)*D48+(E47-E43)))</f>
        <v>0</v>
      </c>
      <c r="H43" s="13" t="b">
        <f>IF(AND((B14&gt;B43),(B14&lt;=C43)),IF(AND((B14+B5+B84)&gt;B47,(B14+B5+B84)&lt;=C47),(E47-E43)))</f>
        <v>0</v>
      </c>
      <c r="I43" s="13" t="b">
        <f>IF(AND((B14&gt;B43),(B14&lt;=C43)),IF(AND((B14+B5+B84)&gt;B46,(B14+B5+B84)&lt;=C46),((B14+B5+B84-B46)*D46)+(E45-E43)))</f>
        <v>0</v>
      </c>
      <c r="J43" s="13" t="b">
        <f>IF(AND((B14&gt;B43),(B14&lt;=C43)),IF(AND((B14+B5+B84)&gt;B45,(B14+B5+B84)&lt;=C45),(E45-E43)))</f>
        <v>0</v>
      </c>
      <c r="K43" s="13" t="b">
        <f>IF(AND((B14&gt;B43),(B14&lt;=C43)),IF(AND((B14+B5+B84)&gt;B44,(B14+B5+B84)&lt;=C44),(B14+B5+B84-B44)*D44))</f>
        <v>0</v>
      </c>
      <c r="L43" s="13" t="b">
        <f>IF(AND((B14&gt;B43),(B14&lt;=C43)),IF(AND((B14+B5+B84)&gt;B43,(B14+B5+B84)&lt;=C43),0))</f>
        <v>0</v>
      </c>
      <c r="M43" s="13"/>
      <c r="N43" s="13"/>
      <c r="O43" s="13"/>
      <c r="P43" s="13"/>
      <c r="Q43" s="13">
        <f t="shared" si="1"/>
        <v>0</v>
      </c>
    </row>
    <row r="44" spans="1:17">
      <c r="B44" s="4">
        <f t="shared" si="0"/>
        <v>48000</v>
      </c>
      <c r="C44" s="4">
        <v>48600</v>
      </c>
      <c r="D44" s="8">
        <v>0.25</v>
      </c>
      <c r="E44" s="13">
        <v>0</v>
      </c>
      <c r="F44" s="13" t="b">
        <f>IF(AND((B14&gt;B44),(B14&lt;=C44)),IF((B14+B5+B84)&gt;B49,(E49-E45)+(C44-B14)*D44))</f>
        <v>0</v>
      </c>
      <c r="G44" s="13" t="b">
        <f>IF(AND((B14&gt;B44),(B14&lt;=C44)),IF(AND((B14+B5+B84)&gt;B48,(B14+B5+B84)&lt;=C48),((B14+B5+B84-B48)*D48)+(E47-E45)+(C44-B14)*D44))</f>
        <v>0</v>
      </c>
      <c r="H44" s="13" t="b">
        <f>IF(AND((B14&gt;B44),(B14&lt;=C44)),IF(AND((B14+B5+B84)&gt;B47,(B14+B5+B84)&lt;=C47),(E47-E45)+(C44-B14)*D44))</f>
        <v>0</v>
      </c>
      <c r="I44" s="13" t="b">
        <f>IF(AND((B14&gt;B44),(B14&lt;=C44)),IF(AND((B14+B5+B84)&gt;B46,(B14+B5+B84)&lt;=C46),((B14+B5+B84-B46)*D46)+((C44-B14)*D44)))</f>
        <v>0</v>
      </c>
      <c r="J44" s="13" t="b">
        <f>IF(AND((B14&gt;B44),(B14&lt;=C44)),IF(AND((B14+B5+B84)&gt;B45,(B14+B5+B84)&lt;=C45),(C44-B14)*D44))</f>
        <v>0</v>
      </c>
      <c r="K44" s="13" t="b">
        <f>IF(AND((B14&gt;B44),(B14&lt;=C44)),IF(AND((B14+B5+B84)&gt;B44,(B14+B5+B84)&lt;=C44),(B5+B84)*D44))</f>
        <v>0</v>
      </c>
      <c r="L44" s="13"/>
      <c r="M44" s="13"/>
      <c r="N44" s="13"/>
      <c r="O44" s="13"/>
      <c r="P44" s="13"/>
      <c r="Q44" s="13">
        <f t="shared" si="1"/>
        <v>0</v>
      </c>
    </row>
    <row r="45" spans="1:17">
      <c r="B45" s="4">
        <f t="shared" si="0"/>
        <v>48600</v>
      </c>
      <c r="C45" s="4">
        <v>72000</v>
      </c>
      <c r="E45" s="13">
        <v>600</v>
      </c>
      <c r="F45" s="13" t="b">
        <f>IF(AND((B14&gt;B45),(B14&lt;=C45)),IF((B14+B5+B84)&gt;B49,(E49-E45)))</f>
        <v>0</v>
      </c>
      <c r="G45" s="13" t="b">
        <f>IF(AND((B14&gt;B45),(B14&lt;=C45)),IF(AND((B14+B5+B84)&gt;B48,(B14+B5+B84)&lt;=C48),((B14+B5+B84-B48)*D48)+(E47-E45)))</f>
        <v>0</v>
      </c>
      <c r="H45" s="13" t="b">
        <f>IF(AND((B14&gt;B45),(B14&lt;=C45)),IF(AND((B14+B5+B84)&gt;B47,(B14+B5+B84)&lt;=C47),(E47-E45)))</f>
        <v>0</v>
      </c>
      <c r="I45" s="13" t="b">
        <f>IF(AND((B14&gt;B45),(B14&lt;=C45)),IF(AND((B14+B5+B84)&gt;B46,(B14+B5+B84)&lt;=C46),(B14+B5+B84-B46)*D46))</f>
        <v>0</v>
      </c>
      <c r="J45" s="13" t="b">
        <f>IF(AND((B14&gt;B45),(B14&lt;=C45)),IF(AND((B14+B5+B84)&gt;B45,(B14+B5+B84)&lt;=C45),0))</f>
        <v>0</v>
      </c>
      <c r="K45" s="13"/>
      <c r="L45" s="13"/>
      <c r="M45" s="13"/>
      <c r="N45" s="13"/>
      <c r="O45" s="13"/>
      <c r="P45" s="13"/>
      <c r="Q45" s="13">
        <f t="shared" si="1"/>
        <v>0</v>
      </c>
    </row>
    <row r="46" spans="1:17">
      <c r="B46" s="4">
        <f t="shared" si="0"/>
        <v>72000</v>
      </c>
      <c r="C46" s="4">
        <v>72600</v>
      </c>
      <c r="D46" s="8">
        <v>0.25</v>
      </c>
      <c r="E46" s="13">
        <v>0</v>
      </c>
      <c r="F46" s="13" t="b">
        <f>IF(AND((B14&gt;B46),(B14&lt;=C46)),IF((B14+B5+B84)&gt;B49,(E49-E47)+(C46-B14)*D46))</f>
        <v>0</v>
      </c>
      <c r="G46" s="13" t="b">
        <f>IF(AND((B14&gt;B46),(B14&lt;=C46)),IF(AND((B14+B5+B84)&gt;B48,(B14+B5+B84)&lt;=C48),((B14+B5+B84-B48)*D48)+((C46-B14)*D46)))</f>
        <v>0</v>
      </c>
      <c r="H46" s="13" t="b">
        <f>IF(AND((B14&gt;B46),(B14&lt;=C46)),IF(AND((B14+B5+B84)&gt;B47,(B14+B5+B84)&lt;=C47),(C46-B14)*D46))</f>
        <v>0</v>
      </c>
      <c r="I46" s="13" t="b">
        <f>IF(AND((B14&gt;B46),(B14&lt;=C46)),IF(AND((B14+B5+B84)&gt;B46,(B14+B5+B84)&lt;=C46),(B5+B84)*D46))</f>
        <v>0</v>
      </c>
      <c r="J46" s="13"/>
      <c r="K46" s="13"/>
      <c r="L46" s="13"/>
      <c r="M46" s="13"/>
      <c r="N46" s="13"/>
      <c r="O46" s="13"/>
      <c r="P46" s="13"/>
      <c r="Q46" s="13">
        <f t="shared" si="1"/>
        <v>0</v>
      </c>
    </row>
    <row r="47" spans="1:17">
      <c r="B47" s="4">
        <f t="shared" si="0"/>
        <v>72600</v>
      </c>
      <c r="C47" s="4">
        <v>200000</v>
      </c>
      <c r="E47" s="13">
        <v>750</v>
      </c>
      <c r="F47" s="13" t="b">
        <f>IF(AND((B14&gt;B47),(B14&lt;=C47)),IF((B14+B5+B84)&gt;B49,(E49-E47)))</f>
        <v>0</v>
      </c>
      <c r="G47" s="13" t="b">
        <f>IF(AND((B14&gt;B47),(B14&lt;=C47)),IF(AND((B14+B5+B84)&gt;B48,(B14+B5+B84)&lt;=C48),(B14+B5+B84-B48)*D48))</f>
        <v>0</v>
      </c>
      <c r="H47" s="13" t="b">
        <f>IF(AND((B14&gt;B47),(B14&lt;=C47)),IF(AND((B14+B5+B84)&gt;B47,(B14+B5+B84)&lt;=C47),0))</f>
        <v>0</v>
      </c>
      <c r="I47" s="13"/>
      <c r="J47" s="13"/>
      <c r="K47" s="13"/>
      <c r="L47" s="13"/>
      <c r="M47" s="13"/>
      <c r="N47" s="13"/>
      <c r="O47" s="13"/>
      <c r="P47" s="13"/>
      <c r="Q47" s="13">
        <f t="shared" si="1"/>
        <v>0</v>
      </c>
    </row>
    <row r="48" spans="1:17">
      <c r="B48" s="4">
        <f t="shared" si="0"/>
        <v>200000</v>
      </c>
      <c r="C48" s="4">
        <v>200600</v>
      </c>
      <c r="D48" s="8">
        <v>0.25</v>
      </c>
      <c r="E48" s="13">
        <v>0</v>
      </c>
      <c r="F48" s="13" t="b">
        <f>IF(AND((B14&gt;B48),(B14&lt;=C48)),IF((B14+B5+B84)&gt;B49,(C48-B14)*D48))</f>
        <v>0</v>
      </c>
      <c r="G48" s="13" t="b">
        <f>IF(AND((B14&gt;B48),(B14&lt;=C48)),IF(AND((B14+B5+B84)&gt;B48,(B14+B5+B84)&lt;=C48),(B5+B84)*D48))</f>
        <v>0</v>
      </c>
      <c r="I48" s="13"/>
      <c r="J48" s="13"/>
      <c r="K48" s="13"/>
      <c r="L48" s="13"/>
      <c r="M48" s="13"/>
      <c r="N48" s="13"/>
      <c r="O48" s="13"/>
      <c r="P48" s="13"/>
      <c r="Q48" s="13">
        <f t="shared" si="1"/>
        <v>0</v>
      </c>
    </row>
    <row r="49" spans="1:17">
      <c r="B49" s="4">
        <f t="shared" si="0"/>
        <v>200600</v>
      </c>
      <c r="C49" s="4"/>
      <c r="E49" s="13">
        <v>900</v>
      </c>
      <c r="F49" s="43" t="b">
        <f>IF((B14&gt;B49),IF((B14+B5+B84)&gt;B49,0))</f>
        <v>0</v>
      </c>
      <c r="G49" s="13"/>
      <c r="I49" s="13"/>
      <c r="J49" s="13"/>
      <c r="K49" s="13"/>
      <c r="L49" s="13"/>
      <c r="M49" s="13"/>
      <c r="N49" s="13"/>
      <c r="O49" s="13"/>
      <c r="P49" s="13"/>
      <c r="Q49" s="43">
        <f t="shared" si="1"/>
        <v>0</v>
      </c>
    </row>
    <row r="50" spans="1:17">
      <c r="B50" s="4"/>
      <c r="C50" s="4"/>
      <c r="E50" s="13"/>
      <c r="F50" s="18"/>
      <c r="G50" s="4"/>
      <c r="H50" s="16"/>
      <c r="Q50" s="18">
        <f ca="1">SUM(Q39:Q49)</f>
        <v>0</v>
      </c>
    </row>
    <row r="51" spans="1:17">
      <c r="B51" s="37"/>
      <c r="C51" s="4"/>
      <c r="E51" s="13"/>
      <c r="F51" s="18"/>
      <c r="G51" s="4"/>
      <c r="Q51" s="18"/>
    </row>
    <row r="52" spans="1:17">
      <c r="A52" s="3" t="s">
        <v>120</v>
      </c>
      <c r="B52" s="4"/>
      <c r="C52" s="4"/>
      <c r="F52" s="13"/>
      <c r="G52" s="45"/>
      <c r="H52"/>
      <c r="I52" s="16"/>
      <c r="J52" s="10" t="s">
        <v>116</v>
      </c>
      <c r="Q52" s="18"/>
    </row>
    <row r="53" spans="1:17">
      <c r="A53" s="3"/>
      <c r="B53" s="4" t="s">
        <v>116</v>
      </c>
      <c r="C53" s="4" t="s">
        <v>119</v>
      </c>
      <c r="F53" s="3" t="s">
        <v>121</v>
      </c>
      <c r="G53" s="45"/>
      <c r="H53"/>
      <c r="I53" s="80" t="s">
        <v>76</v>
      </c>
      <c r="J53" s="68" t="s">
        <v>75</v>
      </c>
      <c r="K53" s="68" t="s">
        <v>77</v>
      </c>
      <c r="Q53" s="18"/>
    </row>
    <row r="54" spans="1:17" ht="15">
      <c r="A54" s="3"/>
      <c r="B54" t="s">
        <v>31</v>
      </c>
      <c r="C54" t="s">
        <v>32</v>
      </c>
      <c r="F54">
        <v>0</v>
      </c>
      <c r="G54" s="5">
        <f t="shared" ref="G54:H57" si="2">C28</f>
        <v>41536</v>
      </c>
      <c r="H54" s="7">
        <f t="shared" si="2"/>
        <v>5.0500000000000003E-2</v>
      </c>
      <c r="I54" s="13">
        <v>0</v>
      </c>
      <c r="J54" s="13">
        <f>IF(AND($B$14&gt;=F54,$B$14&lt;G54),($B$14-F54)*H54,0)</f>
        <v>454.50000000000006</v>
      </c>
      <c r="K54" s="18">
        <f>(IF(J54=0,0,I54+J54))</f>
        <v>454.50000000000006</v>
      </c>
      <c r="Q54" s="18"/>
    </row>
    <row r="55" spans="1:17" ht="15">
      <c r="A55" s="29" t="s">
        <v>20</v>
      </c>
      <c r="B55" s="4">
        <v>456</v>
      </c>
      <c r="C55" s="4">
        <v>456</v>
      </c>
      <c r="F55" s="5">
        <f>G54</f>
        <v>41536</v>
      </c>
      <c r="G55" s="5">
        <f t="shared" si="2"/>
        <v>83075</v>
      </c>
      <c r="H55" s="7">
        <f t="shared" si="2"/>
        <v>9.1499999999999998E-2</v>
      </c>
      <c r="I55" s="12">
        <f>(G54-F54)*H54</f>
        <v>2097.5680000000002</v>
      </c>
      <c r="J55" s="13">
        <f>IF(AND($B$14&gt;=F55,$B$14&lt;G55),($B$14-F55)*H55,0)</f>
        <v>0</v>
      </c>
      <c r="K55" s="18">
        <f>(IF(J55=0,0,I55+J55))</f>
        <v>0</v>
      </c>
      <c r="Q55" s="18"/>
    </row>
    <row r="56" spans="1:17" ht="15">
      <c r="A56" t="s">
        <v>117</v>
      </c>
      <c r="B56" s="82">
        <f>K61</f>
        <v>0</v>
      </c>
      <c r="C56" s="82">
        <f ca="1">K73</f>
        <v>309.45461896759389</v>
      </c>
      <c r="F56" s="28">
        <f>G55</f>
        <v>83075</v>
      </c>
      <c r="G56" s="5">
        <f t="shared" si="2"/>
        <v>150000</v>
      </c>
      <c r="H56" s="7">
        <f t="shared" si="2"/>
        <v>0.1116</v>
      </c>
      <c r="I56" s="12">
        <f>((G55-F55)*H55)+I55</f>
        <v>5898.3865000000005</v>
      </c>
      <c r="J56" s="13">
        <f>IF(AND($B$14&gt;=F56,$B$14&lt;G56),($B$14-F56)*H56,0)</f>
        <v>0</v>
      </c>
      <c r="K56" s="18">
        <f>(IF(J56=0,0,I56+J56))</f>
        <v>0</v>
      </c>
      <c r="Q56" s="18"/>
    </row>
    <row r="57" spans="1:17" ht="15">
      <c r="A57" s="29" t="s">
        <v>118</v>
      </c>
      <c r="B57" s="13">
        <f>IF((B55-B56)&lt;0,0,B55-B56)</f>
        <v>456</v>
      </c>
      <c r="C57" s="13">
        <f ca="1">IF((C55-C56)&lt;0,0,C55-C56)</f>
        <v>146.54538103240611</v>
      </c>
      <c r="F57" s="5">
        <f>G56</f>
        <v>150000</v>
      </c>
      <c r="G57" s="5">
        <f t="shared" si="2"/>
        <v>220000</v>
      </c>
      <c r="H57" s="7">
        <f t="shared" si="2"/>
        <v>0.1216</v>
      </c>
      <c r="I57" s="12">
        <f t="shared" ref="I57:I58" si="3">((G56-F56)*H56)+I56</f>
        <v>13367.2165</v>
      </c>
      <c r="J57" s="13">
        <f>IF(AND($B$14&gt;=F57,$B$14&lt;G57),($B$14-F57)*H57,0)</f>
        <v>0</v>
      </c>
      <c r="K57" s="18">
        <f>(IF(J57=0,0,I57+J57))</f>
        <v>0</v>
      </c>
      <c r="Q57" s="18"/>
    </row>
    <row r="58" spans="1:17" ht="15">
      <c r="F58" s="5">
        <f>G57</f>
        <v>220000</v>
      </c>
      <c r="H58" s="7">
        <f>D32</f>
        <v>0.13159999999999999</v>
      </c>
      <c r="I58" s="12">
        <f t="shared" si="3"/>
        <v>21879.216500000002</v>
      </c>
      <c r="J58" s="13">
        <f>IF($B$14&gt;=F58,($B$14-F58)*H58,0)</f>
        <v>0</v>
      </c>
      <c r="K58" s="35">
        <f>(IF(J58=0,0,I58+J58))</f>
        <v>0</v>
      </c>
      <c r="Q58" s="18"/>
    </row>
    <row r="59" spans="1:17">
      <c r="A59" t="s">
        <v>117</v>
      </c>
      <c r="B59" s="4">
        <f>K61</f>
        <v>0</v>
      </c>
      <c r="C59" s="4">
        <f ca="1">K73</f>
        <v>309.45461896759389</v>
      </c>
      <c r="F59" s="13"/>
      <c r="G59" s="45"/>
      <c r="H59"/>
      <c r="I59" s="13"/>
      <c r="J59" s="13"/>
      <c r="K59" s="13">
        <f>SUM(K54:K58)</f>
        <v>454.50000000000006</v>
      </c>
      <c r="Q59" s="18"/>
    </row>
    <row r="60" spans="1:17">
      <c r="F60" s="13"/>
      <c r="G60" s="45"/>
      <c r="H60" s="70" t="s">
        <v>39</v>
      </c>
      <c r="I60" s="13">
        <f>B34</f>
        <v>10011</v>
      </c>
      <c r="J60" s="16">
        <f>D28</f>
        <v>5.0500000000000003E-2</v>
      </c>
      <c r="K60" s="43">
        <f>IF($B$14&lt;I60,$B$14*J60,I60*J60)</f>
        <v>454.50000000000006</v>
      </c>
      <c r="Q60" s="18"/>
    </row>
    <row r="61" spans="1:17">
      <c r="A61" t="s">
        <v>122</v>
      </c>
      <c r="B61" s="4">
        <f>MIN(B57,B59)</f>
        <v>0</v>
      </c>
      <c r="C61" s="4">
        <f ca="1">MIN(C57,C59)</f>
        <v>146.54538103240611</v>
      </c>
      <c r="F61" s="13"/>
      <c r="G61" s="45"/>
      <c r="H61" s="4"/>
      <c r="I61" s="4"/>
      <c r="J61" s="16"/>
      <c r="K61" s="13">
        <f>IF((K59-K60)&lt;=0,0,K59-K60)</f>
        <v>0</v>
      </c>
      <c r="Q61" s="18"/>
    </row>
    <row r="62" spans="1:17">
      <c r="A62" s="3"/>
      <c r="B62" s="4"/>
      <c r="C62" s="4"/>
      <c r="F62" s="13"/>
      <c r="G62" s="45"/>
      <c r="H62"/>
      <c r="I62" s="13"/>
      <c r="J62" s="13"/>
      <c r="K62" s="13"/>
      <c r="Q62" s="18"/>
    </row>
    <row r="63" spans="1:17">
      <c r="A63" s="29" t="s">
        <v>120</v>
      </c>
      <c r="B63" s="37">
        <f ca="1">C61-B61</f>
        <v>146.54538103240611</v>
      </c>
      <c r="C63" s="4"/>
      <c r="D63" s="4"/>
      <c r="F63" s="13"/>
      <c r="G63" s="45"/>
      <c r="H63"/>
      <c r="I63" s="13"/>
      <c r="J63" s="13"/>
      <c r="K63" s="13"/>
      <c r="Q63" s="18"/>
    </row>
    <row r="64" spans="1:17">
      <c r="A64" s="3"/>
      <c r="B64" s="4"/>
      <c r="C64" s="4"/>
      <c r="F64" s="13"/>
      <c r="G64" s="45"/>
      <c r="H64"/>
      <c r="I64" s="16"/>
      <c r="J64" s="10" t="s">
        <v>126</v>
      </c>
      <c r="Q64" s="18"/>
    </row>
    <row r="65" spans="1:17">
      <c r="F65" s="3" t="s">
        <v>121</v>
      </c>
      <c r="G65" s="45"/>
      <c r="H65"/>
      <c r="I65" s="80" t="s">
        <v>76</v>
      </c>
      <c r="J65" s="68" t="s">
        <v>75</v>
      </c>
      <c r="K65" s="68" t="s">
        <v>77</v>
      </c>
      <c r="Q65" s="18"/>
    </row>
    <row r="66" spans="1:17" ht="15">
      <c r="B66" s="4"/>
      <c r="C66" s="4"/>
      <c r="F66">
        <v>0</v>
      </c>
      <c r="G66" s="5">
        <f t="shared" ref="G66:H69" si="4">C28</f>
        <v>41536</v>
      </c>
      <c r="H66" s="7">
        <f t="shared" si="4"/>
        <v>5.0500000000000003E-2</v>
      </c>
      <c r="I66" s="13">
        <v>0</v>
      </c>
      <c r="J66" s="13">
        <f ca="1">IF(AND(($B$14+$B$5+$B$84)&gt;=F66,($B$14+$B$5+$B$84)&lt;G66),($B$14+$B$5+$B$84-F66)*H66,0)</f>
        <v>815.01011896759394</v>
      </c>
      <c r="K66" s="18">
        <f t="shared" ref="K66:K70" ca="1" si="5">(IF(J66=0,0,I66+J66))</f>
        <v>815.01011896759394</v>
      </c>
      <c r="Q66" s="18"/>
    </row>
    <row r="67" spans="1:17" ht="15">
      <c r="D67" s="26"/>
      <c r="F67" s="5">
        <f>G66</f>
        <v>41536</v>
      </c>
      <c r="G67" s="5">
        <f t="shared" si="4"/>
        <v>83075</v>
      </c>
      <c r="H67" s="7">
        <f t="shared" si="4"/>
        <v>9.1499999999999998E-2</v>
      </c>
      <c r="I67" s="12">
        <f>(G66-F66)*H66</f>
        <v>2097.5680000000002</v>
      </c>
      <c r="J67" s="13">
        <f ca="1">IF(AND(($B$14+$B$5+$B$84)&gt;=F67,($B$14+$B$5+$B$84)&lt;G67),($B$14+$B$5+$B$84-F67)*H67,0)</f>
        <v>0</v>
      </c>
      <c r="K67" s="18">
        <f t="shared" ca="1" si="5"/>
        <v>0</v>
      </c>
      <c r="Q67" s="18"/>
    </row>
    <row r="68" spans="1:17" ht="15">
      <c r="F68" s="28">
        <f>G67</f>
        <v>83075</v>
      </c>
      <c r="G68" s="5">
        <f t="shared" si="4"/>
        <v>150000</v>
      </c>
      <c r="H68" s="7">
        <f t="shared" si="4"/>
        <v>0.1116</v>
      </c>
      <c r="I68" s="12">
        <f>((G67-F67)*H67)+I67</f>
        <v>5898.3865000000005</v>
      </c>
      <c r="J68" s="13">
        <f ca="1">IF(AND(($B$14+$B$5+$B$84)&gt;=F68,($B$14+$B$5+$B$84)&lt;G68),($B$14+$B$5+$B$84-F68)*H68,0)</f>
        <v>0</v>
      </c>
      <c r="K68" s="18">
        <f t="shared" ca="1" si="5"/>
        <v>0</v>
      </c>
      <c r="Q68" s="18"/>
    </row>
    <row r="69" spans="1:17" ht="15">
      <c r="F69" s="5">
        <f>G68</f>
        <v>150000</v>
      </c>
      <c r="G69" s="5">
        <f t="shared" si="4"/>
        <v>220000</v>
      </c>
      <c r="H69" s="7">
        <f t="shared" si="4"/>
        <v>0.1216</v>
      </c>
      <c r="I69" s="12">
        <f t="shared" ref="I69:I70" si="6">((G68-F68)*H68)+I68</f>
        <v>13367.2165</v>
      </c>
      <c r="J69" s="13">
        <f ca="1">IF(AND(($B$14+$B$5+$B$84)&gt;=F69,($B$14+$B$5+$B$84)&lt;G69),($B$14+$B$5+$B$84-F69)*H69,0)</f>
        <v>0</v>
      </c>
      <c r="K69" s="18">
        <f t="shared" ca="1" si="5"/>
        <v>0</v>
      </c>
      <c r="Q69" s="18"/>
    </row>
    <row r="70" spans="1:17" ht="15">
      <c r="A70" s="3"/>
      <c r="B70" s="4"/>
      <c r="C70" s="4"/>
      <c r="F70" s="5">
        <f>G69</f>
        <v>220000</v>
      </c>
      <c r="H70" s="7">
        <f>D32</f>
        <v>0.13159999999999999</v>
      </c>
      <c r="I70" s="12">
        <f t="shared" si="6"/>
        <v>21879.216500000002</v>
      </c>
      <c r="J70" s="13">
        <f ca="1">IF(($B$14+$B$5+$B$84)&gt;=F70,($B$14+$B$5+$B$84-F70)*H70,0)</f>
        <v>0</v>
      </c>
      <c r="K70" s="35">
        <f t="shared" ca="1" si="5"/>
        <v>0</v>
      </c>
      <c r="Q70" s="18"/>
    </row>
    <row r="71" spans="1:17">
      <c r="A71" s="3"/>
      <c r="B71" s="4"/>
      <c r="C71" s="4"/>
      <c r="F71" s="13"/>
      <c r="G71" s="45"/>
      <c r="H71"/>
      <c r="I71" s="16"/>
      <c r="K71" s="18">
        <f ca="1">SUM(K66:K70)</f>
        <v>815.01011896759394</v>
      </c>
      <c r="Q71" s="18"/>
    </row>
    <row r="72" spans="1:17">
      <c r="A72" s="3"/>
      <c r="B72" s="4"/>
      <c r="C72" s="4"/>
      <c r="F72" s="13"/>
      <c r="G72" s="45"/>
      <c r="H72" s="70" t="s">
        <v>39</v>
      </c>
      <c r="I72" s="13">
        <f>B34</f>
        <v>10011</v>
      </c>
      <c r="J72" s="16">
        <f>D28</f>
        <v>5.0500000000000003E-2</v>
      </c>
      <c r="K72" s="38">
        <f ca="1">IF(($B$14+$B$5+$B$84)&lt;I72,($B$14+$B$5+$B$84)*J72,I72*J72)</f>
        <v>505.55550000000005</v>
      </c>
      <c r="Q72" s="18"/>
    </row>
    <row r="73" spans="1:17">
      <c r="A73" s="3"/>
      <c r="B73" s="4"/>
      <c r="C73" s="4"/>
      <c r="F73" s="13"/>
      <c r="G73" s="45"/>
      <c r="H73"/>
      <c r="I73" s="16"/>
      <c r="K73" s="13">
        <f ca="1">IF((K71-K72)&lt;=0,0,K71-K72)</f>
        <v>309.45461896759389</v>
      </c>
      <c r="Q73" s="18"/>
    </row>
    <row r="74" spans="1:17">
      <c r="B74" s="37"/>
      <c r="C74" s="4"/>
      <c r="E74" s="13"/>
      <c r="F74" s="18"/>
      <c r="G74" s="4"/>
      <c r="H74" s="70"/>
      <c r="K74" s="90"/>
      <c r="Q74" s="18"/>
    </row>
    <row r="75" spans="1:17">
      <c r="B75" s="37"/>
      <c r="C75" s="4"/>
      <c r="E75" s="13"/>
      <c r="F75" s="18"/>
      <c r="G75" s="4"/>
      <c r="K75" s="13"/>
      <c r="Q75" s="18"/>
    </row>
    <row r="76" spans="1:17">
      <c r="B76" s="37"/>
      <c r="C76" s="4"/>
      <c r="E76" s="13"/>
      <c r="F76" s="18"/>
      <c r="G76" s="4"/>
      <c r="Q76" s="18"/>
    </row>
    <row r="77" spans="1:17">
      <c r="A77" s="3" t="s">
        <v>64</v>
      </c>
      <c r="B77" s="37"/>
      <c r="C77" s="4"/>
      <c r="Q77" s="18"/>
    </row>
    <row r="78" spans="1:17">
      <c r="B78" s="37"/>
      <c r="C78" s="4"/>
      <c r="Q78" s="18"/>
    </row>
    <row r="79" spans="1:17">
      <c r="A79" s="19" t="s">
        <v>65</v>
      </c>
      <c r="B79" s="37"/>
      <c r="C79" s="4"/>
      <c r="H79" s="12"/>
      <c r="Q79" s="18"/>
    </row>
    <row r="80" spans="1:17">
      <c r="A80" t="s">
        <v>86</v>
      </c>
      <c r="B80" s="37">
        <f>$B$5</f>
        <v>8000</v>
      </c>
      <c r="C80" s="66" t="s">
        <v>35</v>
      </c>
      <c r="D80" s="19" t="s">
        <v>66</v>
      </c>
      <c r="E80" s="13"/>
      <c r="F80" s="18"/>
      <c r="G80" s="4"/>
      <c r="H80" s="80" t="s">
        <v>76</v>
      </c>
      <c r="I80" s="68" t="s">
        <v>75</v>
      </c>
      <c r="J80" s="68" t="s">
        <v>77</v>
      </c>
      <c r="Q80" s="18"/>
    </row>
    <row r="81" spans="1:17" ht="15">
      <c r="A81" t="s">
        <v>87</v>
      </c>
      <c r="B81" s="37">
        <f>IF($B$6="US",-IF(($B$7/$B$5)&gt;15%,$B$7-($B$5*15%),0),0)</f>
        <v>-800</v>
      </c>
      <c r="C81" s="66" t="s">
        <v>36</v>
      </c>
      <c r="D81" t="s">
        <v>10</v>
      </c>
      <c r="E81" s="4">
        <v>0</v>
      </c>
      <c r="F81" s="5">
        <f t="shared" ref="F81:G84" si="7">C18</f>
        <v>45282</v>
      </c>
      <c r="G81" s="6">
        <f t="shared" si="7"/>
        <v>0.15</v>
      </c>
      <c r="H81" s="12">
        <v>0</v>
      </c>
      <c r="I81" s="13">
        <f ca="1">IF(AND(($B$14+$B$5+$B$84)&gt;=E81,($B$14+$B$5+$B$84)&lt;F81),($B$14+$B$5+$B$84-E81)*G81,0)</f>
        <v>2420.8221355473083</v>
      </c>
      <c r="J81" s="18">
        <f ca="1">(IF(I81=0,0,H81+I81))</f>
        <v>2420.8221355473083</v>
      </c>
      <c r="Q81" s="18"/>
    </row>
    <row r="82" spans="1:17" ht="15">
      <c r="A82" t="s">
        <v>88</v>
      </c>
      <c r="B82" s="37">
        <f>IF($B$6="non-US",-IF(($B$7/$B$5)&gt;15%,$B$7-($B$5*15%),0),0)</f>
        <v>0</v>
      </c>
      <c r="C82" s="4"/>
      <c r="D82" t="s">
        <v>11</v>
      </c>
      <c r="E82" s="5">
        <f>F81</f>
        <v>45282</v>
      </c>
      <c r="F82" s="5">
        <f t="shared" si="7"/>
        <v>90563</v>
      </c>
      <c r="G82" s="6">
        <f t="shared" si="7"/>
        <v>0.20499999999999999</v>
      </c>
      <c r="H82" s="12">
        <f>(F81-E81)*G81</f>
        <v>6792.3</v>
      </c>
      <c r="I82" s="13">
        <f ca="1">IF(AND(($B$14+$B$5+$B$84)&gt;=E82,($B$14+$B$5+$B$84)&lt;F82),($B$14+$B$5+$B$84-E82)*G82,0)</f>
        <v>0</v>
      </c>
      <c r="J82" s="18">
        <f t="shared" ref="J82:J85" ca="1" si="8">(IF(I82=0,0,H82+I82))</f>
        <v>0</v>
      </c>
      <c r="Q82" s="18"/>
    </row>
    <row r="83" spans="1:17" ht="15">
      <c r="A83" t="s">
        <v>93</v>
      </c>
      <c r="B83" s="38">
        <f ca="1">-B118</f>
        <v>-861.18576301794303</v>
      </c>
      <c r="C83" s="4"/>
      <c r="D83" t="s">
        <v>11</v>
      </c>
      <c r="E83" s="5">
        <f>F82</f>
        <v>90563</v>
      </c>
      <c r="F83" s="5">
        <f t="shared" si="7"/>
        <v>140388</v>
      </c>
      <c r="G83" s="6">
        <f t="shared" si="7"/>
        <v>0.26</v>
      </c>
      <c r="H83" s="12">
        <f>((F82-E82)*G82)+H82</f>
        <v>16074.904999999999</v>
      </c>
      <c r="I83" s="13">
        <f ca="1">IF(AND(($B$14+$B$5+$B$84)&gt;=E83,($B$14+$B$5+$B$84)&lt;F83),($B$14+$B$5+$B$84-E83)*G83,0)</f>
        <v>0</v>
      </c>
      <c r="J83" s="18">
        <f t="shared" ca="1" si="8"/>
        <v>0</v>
      </c>
      <c r="Q83" s="18"/>
    </row>
    <row r="84" spans="1:17" ht="15">
      <c r="A84" t="s">
        <v>95</v>
      </c>
      <c r="B84" s="38">
        <f ca="1">SUM(B82:B83)</f>
        <v>-861.18576301794303</v>
      </c>
      <c r="C84" s="66" t="s">
        <v>94</v>
      </c>
      <c r="D84" t="s">
        <v>11</v>
      </c>
      <c r="E84" s="5">
        <f>F83</f>
        <v>140388</v>
      </c>
      <c r="F84" s="5">
        <f t="shared" si="7"/>
        <v>200000</v>
      </c>
      <c r="G84" s="6">
        <f t="shared" si="7"/>
        <v>0.28999999999999998</v>
      </c>
      <c r="H84" s="12">
        <f>((F83-E83)*G83)+H83</f>
        <v>29029.404999999999</v>
      </c>
      <c r="I84" s="13">
        <f ca="1">IF(AND(($B$14+$B$5+$B$84)&gt;=E84,($B$14+$B$5+$B$84)&lt;F84),($B$14+$B$5+$B$84-E84)*G84,0)</f>
        <v>0</v>
      </c>
      <c r="J84" s="18">
        <f t="shared" ca="1" si="8"/>
        <v>0</v>
      </c>
      <c r="Q84" s="18"/>
    </row>
    <row r="85" spans="1:17" ht="15">
      <c r="A85" t="s">
        <v>67</v>
      </c>
      <c r="B85" s="37">
        <f ca="1">B80+B81+B84</f>
        <v>6338.8142369820571</v>
      </c>
      <c r="C85" s="66" t="s">
        <v>96</v>
      </c>
      <c r="E85" s="5">
        <f>F84</f>
        <v>200000</v>
      </c>
      <c r="G85" s="6">
        <f>D22</f>
        <v>0.33</v>
      </c>
      <c r="H85" s="12">
        <f>((F84-E84)*G84)+H84</f>
        <v>46316.884999999995</v>
      </c>
      <c r="I85" s="13">
        <f ca="1">IF(($B$14+$B$5+$B$84)&gt;=E85,($B$14+$B$5+$B$84-E85)*G85,0)</f>
        <v>0</v>
      </c>
      <c r="J85" s="35">
        <f t="shared" ca="1" si="8"/>
        <v>0</v>
      </c>
      <c r="Q85" s="18"/>
    </row>
    <row r="86" spans="1:17">
      <c r="B86" s="37"/>
      <c r="C86" s="4"/>
      <c r="E86" s="13"/>
      <c r="F86" s="18"/>
      <c r="G86" s="4"/>
      <c r="H86" s="16"/>
      <c r="J86" s="13">
        <f ca="1">SUM(J81:J85)</f>
        <v>2420.8221355473083</v>
      </c>
      <c r="Q86" s="18"/>
    </row>
    <row r="87" spans="1:17">
      <c r="A87" t="s">
        <v>7</v>
      </c>
      <c r="B87" s="40">
        <f>$B$5+$B$14</f>
        <v>17000</v>
      </c>
      <c r="C87" s="66" t="s">
        <v>35</v>
      </c>
      <c r="G87" s="70" t="s">
        <v>39</v>
      </c>
      <c r="H87" s="13">
        <f>B24</f>
        <v>11474</v>
      </c>
      <c r="I87" s="8">
        <v>0.15</v>
      </c>
      <c r="J87" s="43">
        <f ca="1">IF(($B$5+$B$14+B84)&lt;H87,($B$5+$B$14+B84)*I87,H87*I87)</f>
        <v>1721.1</v>
      </c>
      <c r="Q87" s="18"/>
    </row>
    <row r="88" spans="1:17">
      <c r="A88" t="s">
        <v>88</v>
      </c>
      <c r="B88" s="40">
        <f>IF($B$6="non-US",-IF(($B$7/$B$5)&gt;15%,$B$7-($B$5*15%),0),0)</f>
        <v>0</v>
      </c>
      <c r="C88" s="4"/>
      <c r="G88" s="70"/>
      <c r="I88" s="8"/>
      <c r="J88" s="13">
        <f ca="1">J86-J87</f>
        <v>699.72213554730843</v>
      </c>
      <c r="Q88" s="18"/>
    </row>
    <row r="89" spans="1:17">
      <c r="A89" t="s">
        <v>93</v>
      </c>
      <c r="B89" s="38">
        <f ca="1">B83</f>
        <v>-861.18576301794303</v>
      </c>
      <c r="C89" s="4"/>
      <c r="G89" s="70"/>
      <c r="I89" s="8"/>
      <c r="J89" s="36"/>
      <c r="Q89" s="18"/>
    </row>
    <row r="90" spans="1:17">
      <c r="A90" t="s">
        <v>95</v>
      </c>
      <c r="B90" s="38">
        <f ca="1">SUM(B88:B89)</f>
        <v>-861.18576301794303</v>
      </c>
      <c r="C90" s="66" t="s">
        <v>36</v>
      </c>
      <c r="E90" s="13"/>
      <c r="F90" s="18"/>
      <c r="Q90" s="18"/>
    </row>
    <row r="91" spans="1:17">
      <c r="A91" t="s">
        <v>89</v>
      </c>
      <c r="B91" s="37">
        <f ca="1">B87+B90</f>
        <v>16138.814236982056</v>
      </c>
      <c r="C91" s="66" t="s">
        <v>97</v>
      </c>
      <c r="Q91" s="18"/>
    </row>
    <row r="92" spans="1:17">
      <c r="B92" s="37"/>
      <c r="C92" s="4"/>
      <c r="Q92" s="18"/>
    </row>
    <row r="93" spans="1:17">
      <c r="A93" t="s">
        <v>68</v>
      </c>
      <c r="B93" s="65">
        <f ca="1">B85/B91</f>
        <v>0.39276827553146243</v>
      </c>
      <c r="C93" s="4"/>
      <c r="Q93" s="18"/>
    </row>
    <row r="94" spans="1:17">
      <c r="B94" s="37"/>
      <c r="C94" s="4"/>
      <c r="Q94" s="18"/>
    </row>
    <row r="95" spans="1:17">
      <c r="A95" t="s">
        <v>66</v>
      </c>
      <c r="B95" s="37">
        <f ca="1">J88</f>
        <v>699.72213554730843</v>
      </c>
      <c r="C95" s="4"/>
      <c r="Q95" s="18"/>
    </row>
    <row r="96" spans="1:17">
      <c r="B96" s="37"/>
      <c r="C96" s="4"/>
      <c r="E96" s="75"/>
      <c r="F96" s="40"/>
      <c r="G96" s="4"/>
      <c r="H96" s="67"/>
      <c r="I96" s="21"/>
      <c r="J96" s="68"/>
      <c r="Q96" s="18"/>
    </row>
    <row r="97" spans="1:17" ht="15">
      <c r="A97" t="s">
        <v>78</v>
      </c>
      <c r="B97" s="37">
        <f ca="1">B95*B93</f>
        <v>274.82865653010856</v>
      </c>
      <c r="C97" s="66" t="s">
        <v>35</v>
      </c>
      <c r="E97" s="4"/>
      <c r="G97" s="6"/>
      <c r="H97" s="40"/>
      <c r="I97" s="21"/>
      <c r="J97" s="40"/>
      <c r="Q97" s="18"/>
    </row>
    <row r="98" spans="1:17" ht="15">
      <c r="A98" t="s">
        <v>79</v>
      </c>
      <c r="B98" s="37">
        <f>MIN($B$7,$B$5*15%)</f>
        <v>1200</v>
      </c>
      <c r="C98" s="66" t="s">
        <v>36</v>
      </c>
      <c r="E98" s="5"/>
      <c r="G98" s="7"/>
      <c r="H98" s="40"/>
      <c r="I98" s="21"/>
      <c r="J98" s="40"/>
      <c r="Q98" s="18"/>
    </row>
    <row r="99" spans="1:17" ht="15">
      <c r="B99" s="37"/>
      <c r="C99" s="4"/>
      <c r="E99" s="5"/>
      <c r="G99" s="7"/>
      <c r="H99" s="40"/>
      <c r="I99" s="21"/>
      <c r="J99" s="40"/>
      <c r="Q99" s="18"/>
    </row>
    <row r="100" spans="1:17" ht="15">
      <c r="A100" t="s">
        <v>80</v>
      </c>
      <c r="B100" s="69">
        <f ca="1">MIN(B97,B98)</f>
        <v>274.82865653010856</v>
      </c>
      <c r="C100" s="66" t="s">
        <v>99</v>
      </c>
      <c r="E100" s="5"/>
      <c r="G100" s="7"/>
      <c r="H100" s="40"/>
      <c r="I100" s="21"/>
      <c r="J100" s="40"/>
      <c r="Q100" s="18"/>
    </row>
    <row r="101" spans="1:17" ht="15">
      <c r="B101" s="69"/>
      <c r="C101" s="4"/>
      <c r="E101" s="5"/>
      <c r="F101" s="5"/>
      <c r="G101" s="7"/>
      <c r="H101" s="40"/>
      <c r="I101" s="40"/>
      <c r="J101" s="40"/>
      <c r="Q101" s="18"/>
    </row>
    <row r="102" spans="1:17" ht="15">
      <c r="B102" s="69"/>
      <c r="C102" s="4"/>
      <c r="E102" s="13"/>
      <c r="F102" s="5"/>
      <c r="G102" s="4"/>
      <c r="H102" s="16"/>
      <c r="J102" s="40"/>
      <c r="Q102" s="18"/>
    </row>
    <row r="103" spans="1:17">
      <c r="A103" s="19" t="s">
        <v>81</v>
      </c>
      <c r="B103" s="37"/>
      <c r="C103" s="4"/>
      <c r="H103" s="12"/>
      <c r="L103" s="19"/>
      <c r="Q103" s="18"/>
    </row>
    <row r="104" spans="1:17">
      <c r="A104" t="s">
        <v>67</v>
      </c>
      <c r="B104" s="37">
        <f ca="1">B85</f>
        <v>6338.8142369820571</v>
      </c>
      <c r="C104" s="4"/>
      <c r="D104" s="19" t="s">
        <v>82</v>
      </c>
      <c r="E104" s="13"/>
      <c r="F104" s="18"/>
      <c r="G104" s="4"/>
      <c r="H104" s="80" t="s">
        <v>76</v>
      </c>
      <c r="I104" s="68" t="s">
        <v>75</v>
      </c>
      <c r="J104" s="68" t="s">
        <v>77</v>
      </c>
      <c r="K104" s="18"/>
      <c r="Q104" s="18"/>
    </row>
    <row r="105" spans="1:17" ht="15">
      <c r="A105" t="s">
        <v>27</v>
      </c>
      <c r="B105" s="40">
        <f ca="1">B91</f>
        <v>16138.814236982056</v>
      </c>
      <c r="C105" s="4"/>
      <c r="D105" t="s">
        <v>10</v>
      </c>
      <c r="E105">
        <v>0</v>
      </c>
      <c r="F105" s="5">
        <f t="shared" ref="F105:G108" si="9">C28</f>
        <v>41536</v>
      </c>
      <c r="G105" s="7">
        <f t="shared" si="9"/>
        <v>5.0500000000000003E-2</v>
      </c>
      <c r="H105" s="12">
        <v>0</v>
      </c>
      <c r="I105" s="13">
        <f ca="1">IF(AND(($B$14+$B$5+$B$84)&gt;=E105,($B$14+$B$5+$B$84)&lt;F105),($B$14+$B$5+$B$84-E105)*G105,0)</f>
        <v>815.01011896759394</v>
      </c>
      <c r="J105" s="18">
        <f ca="1">(IF(I105=0,0,H105+I105))</f>
        <v>815.01011896759394</v>
      </c>
      <c r="Q105" s="18"/>
    </row>
    <row r="106" spans="1:17" ht="15">
      <c r="A106" t="s">
        <v>68</v>
      </c>
      <c r="B106" s="65">
        <f ca="1">B104/B105</f>
        <v>0.39276827553146243</v>
      </c>
      <c r="C106" s="4"/>
      <c r="D106" t="s">
        <v>11</v>
      </c>
      <c r="E106" s="5">
        <f>F105</f>
        <v>41536</v>
      </c>
      <c r="F106" s="5">
        <f t="shared" si="9"/>
        <v>83075</v>
      </c>
      <c r="G106" s="7">
        <f t="shared" si="9"/>
        <v>9.1499999999999998E-2</v>
      </c>
      <c r="H106" s="12">
        <f>(F105-E105)*G105</f>
        <v>2097.5680000000002</v>
      </c>
      <c r="I106" s="13">
        <f ca="1">IF(AND(($B$14+$B$5+$B$84)&gt;=E106,($B$14+$B$5+$B$84)&lt;F106),($B$14+$B$5+$B$84-E106)*G106,0)</f>
        <v>0</v>
      </c>
      <c r="J106" s="18">
        <f t="shared" ref="J106:J109" ca="1" si="10">(IF(I106=0,0,H106+I106))</f>
        <v>0</v>
      </c>
      <c r="Q106" s="18"/>
    </row>
    <row r="107" spans="1:17" ht="15">
      <c r="B107" s="37"/>
      <c r="C107" s="4"/>
      <c r="D107" t="s">
        <v>11</v>
      </c>
      <c r="E107" s="28">
        <f>F106</f>
        <v>83075</v>
      </c>
      <c r="F107" s="5">
        <f t="shared" si="9"/>
        <v>150000</v>
      </c>
      <c r="G107" s="7">
        <f t="shared" si="9"/>
        <v>0.1116</v>
      </c>
      <c r="H107" s="12">
        <f>((F106-E106)*G106)+H106</f>
        <v>5898.3865000000005</v>
      </c>
      <c r="I107" s="13">
        <f ca="1">IF(AND(($B$14+$B$5+$B$84)&gt;=E107,($B$14+$B$5+$B$84)&lt;F107),($B$14+$B$5+$B$84-E107)*G107,0)</f>
        <v>0</v>
      </c>
      <c r="J107" s="18">
        <f t="shared" ca="1" si="10"/>
        <v>0</v>
      </c>
      <c r="Q107" s="18"/>
    </row>
    <row r="108" spans="1:17" ht="15">
      <c r="A108" t="s">
        <v>82</v>
      </c>
      <c r="B108" s="37">
        <f ca="1">J117</f>
        <v>162.90923793518778</v>
      </c>
      <c r="C108" s="4"/>
      <c r="D108" t="s">
        <v>11</v>
      </c>
      <c r="E108" s="5">
        <v>150000</v>
      </c>
      <c r="F108" s="5">
        <f t="shared" si="9"/>
        <v>220000</v>
      </c>
      <c r="G108" s="7">
        <f t="shared" si="9"/>
        <v>0.1216</v>
      </c>
      <c r="H108" s="12">
        <f>((F107-E107)*G107)+H107</f>
        <v>13367.2165</v>
      </c>
      <c r="I108" s="13">
        <f ca="1">IF(AND(($B$14+$B$5+$B$84)&gt;=E108,($B$14+$B$5+$B$84)&lt;F108),($B$14+$B$5+$B$84-E108)*G108,0)</f>
        <v>0</v>
      </c>
      <c r="J108" s="18">
        <f ca="1">(IF(I108=0,0,H108+I108))</f>
        <v>0</v>
      </c>
      <c r="Q108" s="18"/>
    </row>
    <row r="109" spans="1:17" ht="15">
      <c r="B109" s="37"/>
      <c r="C109" s="4"/>
      <c r="E109" s="5">
        <v>220000</v>
      </c>
      <c r="G109" s="7">
        <f>D32</f>
        <v>0.13159999999999999</v>
      </c>
      <c r="H109" s="12">
        <f>((F108-E108)*G108)+H108</f>
        <v>21879.216500000002</v>
      </c>
      <c r="I109" s="13">
        <f ca="1">IF(($B$14+$B$5+$B$84)&gt;=E109,($B$14+$B$5+$B$84-E109)*G109,0)</f>
        <v>0</v>
      </c>
      <c r="J109" s="35">
        <f t="shared" ca="1" si="10"/>
        <v>0</v>
      </c>
      <c r="Q109" s="18"/>
    </row>
    <row r="110" spans="1:17">
      <c r="A110" t="s">
        <v>78</v>
      </c>
      <c r="B110" s="37">
        <f ca="1">B108*B106</f>
        <v>63.985580451948401</v>
      </c>
      <c r="C110" s="66" t="s">
        <v>35</v>
      </c>
      <c r="E110" s="13"/>
      <c r="F110" s="18"/>
      <c r="G110" s="4"/>
      <c r="H110" s="20"/>
      <c r="J110" s="18">
        <f ca="1">SUM(J105:J109)</f>
        <v>815.01011896759394</v>
      </c>
      <c r="Q110" s="18"/>
    </row>
    <row r="111" spans="1:17">
      <c r="B111" s="37"/>
      <c r="C111" s="66"/>
      <c r="E111" s="13"/>
      <c r="F111" s="18"/>
      <c r="G111" s="70" t="s">
        <v>39</v>
      </c>
      <c r="H111" s="13">
        <f>B34</f>
        <v>10011</v>
      </c>
      <c r="I111" s="16">
        <v>5.0500000000000003E-2</v>
      </c>
      <c r="J111" s="43">
        <f>IF(($B$5+$B$14)&lt;H111,($B$5+$B$14)*I111,H111*I111)</f>
        <v>505.55550000000005</v>
      </c>
      <c r="Q111" s="18"/>
    </row>
    <row r="112" spans="1:17">
      <c r="A112" t="s">
        <v>79</v>
      </c>
      <c r="B112" s="37">
        <f>B98</f>
        <v>1200</v>
      </c>
      <c r="E112" s="36"/>
      <c r="F112" s="21"/>
      <c r="G112" s="4"/>
      <c r="H112" s="4"/>
      <c r="I112" s="16"/>
      <c r="J112" s="13">
        <f ca="1">J110-J111</f>
        <v>309.45461896759389</v>
      </c>
    </row>
    <row r="113" spans="1:13">
      <c r="A113" t="s">
        <v>90</v>
      </c>
      <c r="B113" s="38">
        <f ca="1">-B100</f>
        <v>-274.82865653010856</v>
      </c>
      <c r="C113" s="66"/>
      <c r="F113" t="s">
        <v>83</v>
      </c>
      <c r="G113" s="18">
        <f ca="1">$J$112</f>
        <v>309.45461896759389</v>
      </c>
      <c r="H113" s="56">
        <v>4484</v>
      </c>
      <c r="I113" s="71">
        <v>0.2</v>
      </c>
      <c r="J113" s="73">
        <f ca="1">IF((G113-H113)&lt;=0,0,(G113-H113)*I113)</f>
        <v>0</v>
      </c>
    </row>
    <row r="114" spans="1:13">
      <c r="B114" s="37">
        <f ca="1">SUM(B112:B113)</f>
        <v>925.17134346989144</v>
      </c>
      <c r="C114" s="66" t="s">
        <v>36</v>
      </c>
      <c r="G114" s="18">
        <f ca="1">$J$112</f>
        <v>309.45461896759389</v>
      </c>
      <c r="H114" s="56">
        <v>5739</v>
      </c>
      <c r="I114" s="71">
        <v>0.36</v>
      </c>
      <c r="J114" s="74">
        <f ca="1">IF((G114-H114)&lt;=0,0,(G114-H114)*I114)</f>
        <v>0</v>
      </c>
    </row>
    <row r="115" spans="1:13">
      <c r="B115" s="37"/>
      <c r="C115" s="4"/>
      <c r="H115" s="18"/>
      <c r="I115" s="71"/>
      <c r="J115" s="18">
        <f ca="1">SUM(J112:J114)</f>
        <v>309.45461896759389</v>
      </c>
      <c r="K115" s="4"/>
      <c r="L115" s="16"/>
    </row>
    <row r="116" spans="1:13">
      <c r="A116" t="s">
        <v>84</v>
      </c>
      <c r="B116" s="69">
        <f ca="1">MIN(B110,B114)</f>
        <v>63.985580451948401</v>
      </c>
      <c r="C116" s="66" t="s">
        <v>99</v>
      </c>
      <c r="F116" s="40"/>
      <c r="G116" s="72" t="s">
        <v>41</v>
      </c>
      <c r="H116" s="18">
        <v>456</v>
      </c>
      <c r="I116" s="18">
        <f ca="1">J115</f>
        <v>309.45461896759389</v>
      </c>
      <c r="J116" s="35">
        <f ca="1">IF((H116-I116)&lt;0,0,MIN((H116-I116),I116))</f>
        <v>146.54538103240611</v>
      </c>
      <c r="K116" s="4"/>
      <c r="L116" s="16"/>
    </row>
    <row r="117" spans="1:13">
      <c r="B117" s="37"/>
      <c r="C117" s="4"/>
      <c r="G117" s="18"/>
      <c r="H117" s="18"/>
      <c r="I117" s="71"/>
      <c r="J117" s="13">
        <f ca="1">J115-J116</f>
        <v>162.90923793518778</v>
      </c>
      <c r="K117" s="4"/>
      <c r="L117" s="16"/>
    </row>
    <row r="118" spans="1:13">
      <c r="A118" t="s">
        <v>98</v>
      </c>
      <c r="B118" s="69">
        <f ca="1">B98-B100-B116</f>
        <v>861.18576301794303</v>
      </c>
      <c r="C118" s="66" t="s">
        <v>100</v>
      </c>
      <c r="G118" s="18"/>
      <c r="H118" s="18"/>
      <c r="I118" s="71"/>
      <c r="J118" s="18"/>
      <c r="K118" s="4"/>
      <c r="L118" s="16"/>
    </row>
    <row r="119" spans="1:13">
      <c r="B119" s="37"/>
      <c r="C119" s="4"/>
      <c r="G119" s="18"/>
      <c r="H119" s="18"/>
      <c r="I119" s="71"/>
      <c r="J119" s="18"/>
      <c r="K119" s="4"/>
      <c r="L119" s="16"/>
    </row>
    <row r="120" spans="1:13">
      <c r="A120" s="2" t="s">
        <v>14</v>
      </c>
      <c r="G120" s="18"/>
      <c r="H120" s="18"/>
      <c r="I120" s="71"/>
      <c r="J120" s="18"/>
      <c r="K120" s="4"/>
      <c r="L120" s="16"/>
    </row>
    <row r="121" spans="1:13">
      <c r="B121" s="11"/>
      <c r="C121" t="s">
        <v>15</v>
      </c>
      <c r="G121" s="18"/>
      <c r="H121" s="18"/>
      <c r="I121" s="71"/>
      <c r="J121" s="18"/>
      <c r="K121" s="4"/>
      <c r="L121" s="16"/>
    </row>
    <row r="122" spans="1:13">
      <c r="B122" s="37"/>
      <c r="C122" s="4"/>
      <c r="H122" s="18"/>
      <c r="I122" s="71"/>
      <c r="J122" s="18"/>
      <c r="K122" s="4"/>
      <c r="L122" s="16"/>
    </row>
    <row r="123" spans="1:13">
      <c r="A123" t="s">
        <v>24</v>
      </c>
      <c r="B123" s="37">
        <f ca="1">IF(AND((B5+B84+B14)&gt;=B18,(B5+B84+B14)&lt;=C18),(B5+B84)*D18,IF(AND((B5+B84+B14)&gt;B19,(B5+B84+B14)&lt;=C19),IF((B5+B84+B14-B19)&gt;(B5+B84),(B5+B84)*D19,((B5+B84+B14-B19)*D19)+((B5+B84-(B5+B84+B14-B19))*D18)),IF(AND((B5+B84+B14)&gt;B20,(B5+B84+B14)&lt;=C20),IF((B5+B84+B14-B20)&gt;(B5+B84),(B5+B84)*D20,IF((B5+B84+B14-B19)&gt;(B5+B84),(((B5+B84+B14-B20)*D20)+((B5+B84-(B5+B84+B14-B20))*D19)),((B5+B84+B14-B20)*D20)+((C19-B19)*D19)+((B5+B84-(B5+B84+B14-B19))*D18))),IF(AND((B5+B84+B14)&gt;B21,(B5+B84+B14)&lt;=C21),IF((B5+B84+B14-B21)&gt;(B5+B84),(B5+B84)*D21,IF((B5+B84+B14-B20)&gt;(B5+B84),((B5+B84+B14-B21)*D21)+(((B5+B84-(B5+B84+B14-B21))*D20)),IF((B5+B84+B14-B19)&gt;(B5+B84),(((B5+B84+B14-B21)*D21)+((C20-B20)*D20)+((B5+B84-(B5+B84+B14-B20))*D19)),((B5+B84+B14-B21)*D21)+((C20-B20)*D20)+((C19-B19)*D19)+((B5+B84-(B5+B84+B14-B19))*D18)))),IF((B5+B84+B14)&gt;B22,IF((B5+B84+B14-B22)&gt;(B5+B84),(B5+B84)*D22,IF((B5+B84+B14-B21)&gt;(B5+B84),(((B5+B84+B14-B22)*D22)+((B5+B84-(B5+B84+B14-B22))*D21)),IF((B5+B84+B14-B20)&gt;(B5+B84),(((B5+B84+B14-B22)*D22)+((C21-B21)*D21)+((B5+B84-(B5+B84+B14-B21))*D20)),IF((B5+B84+B14-B19)&gt;(B5+B84),(((B5+B84+B14-B22)*D22)+((C21-B21)*D21)+((C20-B20)*D20)+((B5+B84-(B5+B84+B14-B20))*D19)),((B5+B84+B14-B22)*D22)+((C21-B21)*D21)+((C20-B20)*D20)+((C19-B19)*D19)+((B5+B84-(B5+B84+B14-B19))*D18))))))))))</f>
        <v>1070.8221355473086</v>
      </c>
      <c r="C123" t="s">
        <v>17</v>
      </c>
      <c r="G123" s="77"/>
      <c r="H123" s="21"/>
      <c r="I123" s="56"/>
      <c r="J123" s="56"/>
      <c r="K123" s="55"/>
      <c r="L123" s="12"/>
      <c r="M123" s="21"/>
    </row>
    <row r="124" spans="1:13">
      <c r="B124" s="37">
        <f ca="1">-IF(B14&gt;=B24,0,IF(B14&lt;B24,IF((B14+B5+B84)&gt;B24,(B24-B14)*D18,((B5+B84)*D18))))</f>
        <v>-371.09999999999997</v>
      </c>
      <c r="C124" t="s">
        <v>38</v>
      </c>
      <c r="G124" s="77"/>
      <c r="H124" s="77"/>
      <c r="I124" s="56"/>
      <c r="J124" s="56"/>
      <c r="K124" s="55"/>
      <c r="L124" s="20"/>
      <c r="M124" s="21"/>
    </row>
    <row r="125" spans="1:13">
      <c r="B125" s="37">
        <f ca="1">-MIN(B100,SUM(B123:B124))</f>
        <v>-274.82865653010856</v>
      </c>
      <c r="C125" t="s">
        <v>91</v>
      </c>
      <c r="G125" s="77"/>
      <c r="H125" s="21"/>
      <c r="I125" s="56"/>
      <c r="J125" s="56"/>
      <c r="K125" s="55"/>
      <c r="L125" s="20"/>
      <c r="M125" s="21"/>
    </row>
    <row r="126" spans="1:13">
      <c r="B126" s="37">
        <f ca="1">IF(AND((B5+B84+B14)&gt;=B28,(B5+B84+B14)&lt;=C28),(B5+B84)*D28,IF(AND((B5+B84+B14)&gt;B29,(B5+B84+B14)&lt;=C29),IF((B5+B84+B14-B29)&gt;(B5+B84),(B5+B84)*D29,((B5+B84+B14-B29)*D29)+((B5+B84-(B5+B84+B14-B29))*D28)),IF(AND((B5+B84+B14)&gt;B30,(B5+B84+B14)&lt;=C30),IF((B5+B84+B14-B30)&gt;(B5+B84),(B5+B84)*D30,IF((B5+B84+B14-B29)&gt;(B5+B84),(((B5+B84+B14-B30)*D30)+((B5+B84-(B5+B84+B14-B30))*D29)),((B5+B84+B14-B30)*D30)+((C29-B29)*D29)+((B5+B84-(B5+B84+B14-B29))*D28))),IF(AND((B5+B84+B14)&gt;B31,(B5+B84+B14)&lt;=C31),IF((B5+B84+B14-B31)&gt;(B5+B84),(B5+B84)*D31,IF((B5+B84+B14-B30)&gt;(B5+B84),(((B5+B84+B14-B31)*D31)+((B5+B84-(B5+B84+B14-B31))*D30)),IF((B5+B84+B14-B29)&gt;(B5+B84),(((B5+B84+B14-B31)*D31)+((C30-B30)*D30)+((B5+B84-(B5+B84+B14-B30))*D29)),((B5+B84+B14-B31)*D31)+((C30-B30)*D30)+((C29-B29)*D29)+((B5+B84-(B5+B84+B14-B29))*D28)))),IF((B5+B84+B14)&gt;B32,IF((B5+B84+B14-B32)&gt;(B5+B84),(B5+B84)*D32,IF((B5+B84+B14-B31)&gt;(B5+B84),(((B5+B84+B14-B32)*D32)+((B5+B84-(B5+B84+B14-B32))*D31)),IF((B5+B84+B14-B30)&gt;(B5+B84),(((B5+B84+B14-B32)*D32)+((C31-B31)*D31)+((B5+B84-(B5+B84+B14-B31))*D30)),IF((B5+B84+B14-B29)&gt;(B5+B84),(((B5+B84+B14-B32)*D32)+((C31-B31)*D31)+((C30-B30)*D30)+((B5+B84-(B5+B84+B14-B30))*D29)),((B5+B84+B14-B32)*D32)+((C31-B31)*D31)+((C30-B30)*D30)+((C29-B29)*D29)+((B5+B84-(B5+B84+B14-B29))*D28))))))))))</f>
        <v>360.51011896759388</v>
      </c>
      <c r="C126" t="s">
        <v>18</v>
      </c>
      <c r="G126" s="77"/>
      <c r="H126" s="21"/>
      <c r="I126" s="56"/>
      <c r="J126" s="56"/>
      <c r="K126" s="21"/>
      <c r="L126" s="21"/>
      <c r="M126" s="21"/>
    </row>
    <row r="127" spans="1:13">
      <c r="B127" s="37">
        <f ca="1">-IF(B14&gt;=B34,0,IF(B14&lt;B34,IF((B14+B5+B84)&gt;B34,(B34-B14)*D28,((B5+B84)*D28))))</f>
        <v>-51.055500000000002</v>
      </c>
      <c r="C127" t="s">
        <v>40</v>
      </c>
      <c r="G127" s="30"/>
      <c r="H127"/>
      <c r="J127" s="18"/>
      <c r="K127" s="4"/>
      <c r="L127" s="13"/>
    </row>
    <row r="128" spans="1:13">
      <c r="B128" s="37">
        <f ca="1">-MIN(B116,SUM(B126,B127,B132))</f>
        <v>-63.985580451948401</v>
      </c>
      <c r="C128" t="s">
        <v>92</v>
      </c>
      <c r="G128" s="30"/>
      <c r="H128"/>
      <c r="I128" s="13"/>
      <c r="J128" s="18"/>
      <c r="L128" s="13"/>
    </row>
    <row r="129" spans="1:17">
      <c r="B129" s="37"/>
      <c r="D129" t="s">
        <v>19</v>
      </c>
      <c r="E129" s="21" t="s">
        <v>101</v>
      </c>
      <c r="F129" s="21"/>
      <c r="G129" s="18"/>
      <c r="H129" s="18"/>
    </row>
    <row r="130" spans="1:17">
      <c r="B130" s="12" t="b">
        <f ca="1">IF(AND((B5+B84+B14)&gt;=E130,(B5+B84+B14)&lt;=C29),IF((B5+B84+B14-E130)&gt;(B5+B84),(B5+B84)*D29*D130,(B5+B84+B14-E130)*D29*D130),IF(AND((B5+B84+B14)&gt;B30,(B5+B84+B14)&lt;=C30),IF((B5+B84+B14-B30)&gt;(B5+B84),(B5+B84)*D30*D130,IF((B5+B84+B14-E130)&gt;(B5+B84),(((B5+B84+B14-B30)*D30*D130)+(((B5+B84)-(B5+B84+B14-B30))*D29*D130)),((B5+B84+B14-B30)*D30*D130)+((B30-E130)*D29*D130))),IF(AND(B5+B84+B14&gt;B31,(B5+B84+B14)&lt;=C31),IF((B5+B84+B14-B31)&gt;(B5+B84),(B5+B84)*D31*D130,IF((B5+B84+B14-B30)&gt;(B5+B84),(((B5+B84+B14-B31)*D31*D130)+(((B5+B84)-(B5+B84+B14-B31))*D30*D130)),IF((B5+B84+B14-E130)&gt;(B5+B84),(((B5+B84+B14-B31)*D31*D130)+(((C30-B30)*D30*D130))+(((B5+B84)-(B5+B84+B14-B30))*D29*D130)),(((B5+B84+B14-B31)*D31*D130)+(((C30-B30)*D30*D130))+((C29-E130)*D29*D130))))),IF((B5+B84+B14)&gt;B32,IF((B5+B84+B14-B32)&gt;(B5+B84),(B5+B84)*D32*D130,IF((B5+B84+B14-B31)&gt;(B5+B84),(((B5+B84+B14-B32)*D32*D130)+(((B5+B84)-(B5+B84+B14-B32))*D31*D130)),IF((B5+B84+B14-B30)&gt;(B5+B84),(((B5+B84+B14-B32)*D32*D130)+(((C31-B31)*D31*D130))+(((B5+B84)-(B5+B84+B14-B31))*D30*D130)),IF((B5+B84+B14-E130)&gt;(B5+B84),(((B5+B84+B14-B32)*D32*D130)+(((C31-B31)*D31*D130))+(((C30-B30)*D30*D130))+(((B5+B84)-(B5+B84+B14-B30))*D29*D130)),(((B5+B84+B14-B32)*D32*D130)+(((C31-B31)*D31*D130))+(((C30-B30)*D30*D130))+((C29-E130)*D29*D130))))))))))</f>
        <v>0</v>
      </c>
      <c r="C130" t="s">
        <v>21</v>
      </c>
      <c r="D130" s="8">
        <v>0.2</v>
      </c>
      <c r="E130" s="12">
        <v>73145</v>
      </c>
      <c r="F130" s="12"/>
      <c r="G130" s="13"/>
      <c r="H130" s="18"/>
      <c r="K130" s="4"/>
      <c r="L130" s="4"/>
      <c r="P130" s="18"/>
      <c r="Q130" s="15"/>
    </row>
    <row r="131" spans="1:17">
      <c r="B131" s="12" t="b">
        <f ca="1">IF(AND((B5+B84+B14)&gt;=E131,(B5+B84+B14)&lt;=C30),IF((B5+B84+B14-E131)&gt;(B5+B84),(B5+B84)*D30*D131,(B5+B84+B14-E131)*D30*D131),IF(AND((B5+B84+B14)&gt;B31,(B5+B84+B14)&lt;=C31),IF((B5+B84+B14-B31)&gt;(B5+B84),(B5+B84)*D31*D131,IF((B5+B84+B14-E131)&gt;(B5+B84),(((B5+B84+B14-B31)*D31*D131)+(((B5+B84)-(B5+B84+B14-B31))*D30*D131)),((B5+B84+B14-B31)*D31*D131)+((C30-E131)*D30*D131))),IF((B5+B84+B14)&gt;B32,IF((B5+B84+B14-B32)&gt;(B5+B84),(B5+B84)*D32*D131,IF((B5+B84+B14-B31)&gt;(B5+B84),(((B5+B84+B14-B32)*D32*D131)+(((B5+B84)-(B5+B84+B14-B32))*D31*D131)),IF((B5+B84+B14-E131)&gt;(B5+B84),(((B5+B84+B14-B32)*D32*D131)+(((C31-B31)*D31*D131))+(((B5+B84)-(B5+B84+B14-B31))*D30*D131)),((B5+B84+B14-B32)*D32*D131)+((C31-B31)*D31*D131)+((C30-E131)*D30*D131)))))))</f>
        <v>0</v>
      </c>
      <c r="C131" t="s">
        <v>21</v>
      </c>
      <c r="D131" s="8">
        <v>0.36</v>
      </c>
      <c r="E131" s="12">
        <v>86176</v>
      </c>
      <c r="F131" s="12"/>
      <c r="K131" s="4"/>
      <c r="L131" s="4"/>
    </row>
    <row r="132" spans="1:17">
      <c r="B132" s="40">
        <f ca="1">-B63</f>
        <v>-146.54538103240611</v>
      </c>
      <c r="C132" t="s">
        <v>41</v>
      </c>
      <c r="D132" s="8"/>
      <c r="E132" s="13">
        <v>456</v>
      </c>
      <c r="F132" s="48"/>
      <c r="K132" s="50"/>
      <c r="L132" s="50"/>
      <c r="M132" s="49"/>
    </row>
    <row r="133" spans="1:17">
      <c r="B133" s="38">
        <f ca="1">Q50</f>
        <v>0</v>
      </c>
      <c r="C133" t="s">
        <v>43</v>
      </c>
      <c r="D133" s="8"/>
      <c r="E133" s="13"/>
      <c r="F133" s="48"/>
      <c r="K133" s="50"/>
      <c r="L133" s="50"/>
      <c r="M133" s="49"/>
    </row>
    <row r="134" spans="1:17">
      <c r="A134" s="10" t="s">
        <v>26</v>
      </c>
      <c r="B134" s="76">
        <f ca="1">SUM(B123:B133)</f>
        <v>523.81713650043946</v>
      </c>
      <c r="F134" s="49"/>
      <c r="K134" s="51"/>
      <c r="L134" s="50"/>
      <c r="M134" s="49"/>
    </row>
    <row r="135" spans="1:17">
      <c r="E135" s="18"/>
      <c r="F135" s="51"/>
      <c r="K135" s="49"/>
      <c r="L135" s="49"/>
      <c r="M135" s="49"/>
      <c r="Q135" s="15"/>
    </row>
    <row r="136" spans="1:17">
      <c r="B136" s="13"/>
      <c r="F136" s="49"/>
      <c r="K136" s="49"/>
      <c r="L136" s="49"/>
      <c r="M136" s="49"/>
    </row>
    <row r="137" spans="1:17">
      <c r="A137" s="19" t="s">
        <v>49</v>
      </c>
      <c r="B137" s="13"/>
      <c r="F137" s="49"/>
      <c r="K137" s="49"/>
      <c r="L137" s="49"/>
      <c r="M137" s="49"/>
    </row>
    <row r="138" spans="1:17">
      <c r="A138" t="s">
        <v>129</v>
      </c>
      <c r="B138" s="37">
        <f ca="1">SUM(B123:B125)</f>
        <v>424.89347901720009</v>
      </c>
      <c r="F138" s="49"/>
      <c r="K138" s="49"/>
      <c r="L138" s="49"/>
      <c r="M138" s="49"/>
    </row>
    <row r="139" spans="1:17">
      <c r="A139" t="s">
        <v>130</v>
      </c>
      <c r="B139" s="38">
        <f ca="1">SUM(B126:B133)</f>
        <v>98.923657483239367</v>
      </c>
      <c r="F139" s="49"/>
      <c r="K139" s="49"/>
      <c r="L139" s="49"/>
      <c r="M139" s="49"/>
    </row>
    <row r="140" spans="1:17">
      <c r="B140" s="13">
        <f ca="1">SUM(B138:B139)</f>
        <v>523.81713650043946</v>
      </c>
      <c r="F140" s="49"/>
      <c r="K140" s="49"/>
      <c r="L140" s="49"/>
      <c r="M140" s="49"/>
    </row>
    <row r="141" spans="1:17">
      <c r="B141" s="13"/>
      <c r="F141" s="49"/>
      <c r="K141" s="49"/>
      <c r="L141" s="49"/>
      <c r="M141" s="49"/>
    </row>
    <row r="142" spans="1:17">
      <c r="B142" s="13"/>
      <c r="F142" s="49"/>
      <c r="K142" s="49"/>
      <c r="L142" s="49"/>
      <c r="M142" s="49"/>
    </row>
    <row r="143" spans="1:17">
      <c r="B143" s="13"/>
      <c r="F143" s="49"/>
      <c r="K143" s="49"/>
      <c r="L143" s="49"/>
      <c r="M143" s="49"/>
    </row>
    <row r="144" spans="1:17">
      <c r="B144" s="13"/>
      <c r="F144" s="49"/>
      <c r="K144" s="49"/>
      <c r="L144" s="49"/>
      <c r="M144" s="49"/>
    </row>
    <row r="145" spans="2:14">
      <c r="B145" s="15"/>
      <c r="F145" s="49"/>
      <c r="K145" s="51"/>
      <c r="L145" s="49"/>
      <c r="M145" s="51"/>
      <c r="N145" s="18"/>
    </row>
    <row r="146" spans="2:14">
      <c r="F146" s="49"/>
      <c r="K146" s="49"/>
      <c r="L146" s="49"/>
      <c r="M146" s="49"/>
    </row>
    <row r="147" spans="2:14">
      <c r="F147" s="49"/>
      <c r="K147" s="49"/>
      <c r="L147" s="49"/>
      <c r="M147" s="49"/>
    </row>
    <row r="148" spans="2:14">
      <c r="F148" s="49"/>
      <c r="G148" s="49"/>
      <c r="H148" s="48"/>
      <c r="I148" s="49"/>
      <c r="J148" s="49"/>
      <c r="K148" s="49"/>
      <c r="L148" s="49"/>
      <c r="M148" s="49"/>
    </row>
    <row r="149" spans="2:14">
      <c r="H149" s="12"/>
    </row>
    <row r="151" spans="2:14">
      <c r="H151" s="41"/>
      <c r="M151" s="22"/>
    </row>
  </sheetData>
  <dataValidations count="2">
    <dataValidation type="list" allowBlank="1" showInputMessage="1" showErrorMessage="1" sqref="B10">
      <formula1>$H$1:$H$14</formula1>
    </dataValidation>
    <dataValidation type="list" allowBlank="1" showInputMessage="1" showErrorMessage="1" sqref="B6">
      <formula1>$E$4:$E$5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opLeftCell="A4" zoomScale="85" zoomScaleNormal="85" zoomScalePageLayoutView="85" workbookViewId="0">
      <selection activeCell="B17" sqref="B17:D34"/>
    </sheetView>
  </sheetViews>
  <sheetFormatPr baseColWidth="10" defaultColWidth="8.83203125" defaultRowHeight="14" x14ac:dyDescent="0"/>
  <cols>
    <col min="1" max="1" width="30.6640625" customWidth="1"/>
    <col min="2" max="3" width="11.6640625" customWidth="1"/>
    <col min="4" max="4" width="9" bestFit="1" customWidth="1"/>
    <col min="5" max="5" width="10.5" bestFit="1" customWidth="1"/>
    <col min="6" max="7" width="10.5" customWidth="1"/>
    <col min="8" max="8" width="16.83203125" style="13" customWidth="1"/>
    <col min="9" max="9" width="14" customWidth="1"/>
    <col min="10" max="10" width="12.83203125" bestFit="1" customWidth="1"/>
    <col min="11" max="11" width="12" bestFit="1" customWidth="1"/>
    <col min="12" max="12" width="10.1640625" bestFit="1" customWidth="1"/>
    <col min="13" max="13" width="12.33203125" bestFit="1" customWidth="1"/>
    <col min="17" max="17" width="9.5" bestFit="1" customWidth="1"/>
  </cols>
  <sheetData>
    <row r="1" spans="1:9">
      <c r="B1" s="1"/>
      <c r="C1" t="s">
        <v>0</v>
      </c>
    </row>
    <row r="2" spans="1:9">
      <c r="A2" s="2" t="s">
        <v>2</v>
      </c>
    </row>
    <row r="3" spans="1:9">
      <c r="A3" s="3" t="s">
        <v>108</v>
      </c>
    </row>
    <row r="4" spans="1:9">
      <c r="A4" t="s">
        <v>109</v>
      </c>
      <c r="B4" s="1">
        <v>1000</v>
      </c>
    </row>
    <row r="7" spans="1:9">
      <c r="A7" s="2" t="s">
        <v>5</v>
      </c>
      <c r="I7" s="8"/>
    </row>
    <row r="8" spans="1:9">
      <c r="A8" t="s">
        <v>6</v>
      </c>
      <c r="B8" s="1" t="s">
        <v>1</v>
      </c>
    </row>
    <row r="12" spans="1:9">
      <c r="A12" t="s">
        <v>7</v>
      </c>
      <c r="B12" s="1">
        <v>72809</v>
      </c>
    </row>
    <row r="15" spans="1:9">
      <c r="A15" s="2" t="s">
        <v>8</v>
      </c>
    </row>
    <row r="16" spans="1:9">
      <c r="A16" s="3" t="s">
        <v>9</v>
      </c>
    </row>
    <row r="17" spans="1:14">
      <c r="B17" s="27" t="s">
        <v>25</v>
      </c>
      <c r="C17" s="21"/>
      <c r="D17" s="21"/>
      <c r="H17" s="41"/>
    </row>
    <row r="18" spans="1:14" ht="15">
      <c r="A18" t="s">
        <v>10</v>
      </c>
      <c r="B18" s="55">
        <v>0</v>
      </c>
      <c r="C18" s="28">
        <v>45282</v>
      </c>
      <c r="D18" s="78">
        <v>0.15</v>
      </c>
      <c r="H18" s="24"/>
      <c r="I18" s="5"/>
      <c r="J18" s="6"/>
      <c r="K18" s="6"/>
      <c r="L18" s="4"/>
      <c r="M18" s="5"/>
      <c r="N18" s="6"/>
    </row>
    <row r="19" spans="1:14" ht="15">
      <c r="A19" t="s">
        <v>11</v>
      </c>
      <c r="B19" s="28">
        <f>C18</f>
        <v>45282</v>
      </c>
      <c r="C19" s="28">
        <v>90563</v>
      </c>
      <c r="D19" s="79">
        <v>0.20499999999999999</v>
      </c>
      <c r="H19" s="24"/>
      <c r="I19" s="5"/>
      <c r="J19" s="7"/>
      <c r="K19" s="7"/>
      <c r="L19" s="5"/>
      <c r="M19" s="5"/>
      <c r="N19" s="7"/>
    </row>
    <row r="20" spans="1:14" ht="15">
      <c r="A20" t="s">
        <v>11</v>
      </c>
      <c r="B20" s="28">
        <f>C19</f>
        <v>90563</v>
      </c>
      <c r="C20" s="28">
        <v>140388</v>
      </c>
      <c r="D20" s="79">
        <v>0.26</v>
      </c>
      <c r="H20" s="24"/>
      <c r="I20" s="5"/>
      <c r="J20" s="7"/>
      <c r="K20" s="7"/>
      <c r="L20" s="5"/>
      <c r="M20" s="5"/>
      <c r="N20" s="7"/>
    </row>
    <row r="21" spans="1:14" ht="15">
      <c r="A21" t="s">
        <v>11</v>
      </c>
      <c r="B21" s="28">
        <f>C20</f>
        <v>140388</v>
      </c>
      <c r="C21" s="28">
        <v>200000</v>
      </c>
      <c r="D21" s="79">
        <v>0.28999999999999998</v>
      </c>
      <c r="H21" s="24"/>
      <c r="I21" s="23"/>
      <c r="J21" s="7"/>
      <c r="K21" s="7"/>
      <c r="L21" s="5"/>
      <c r="M21" s="5"/>
      <c r="N21" s="7"/>
    </row>
    <row r="22" spans="1:14" ht="15">
      <c r="B22" s="28">
        <f>C21</f>
        <v>200000</v>
      </c>
      <c r="C22" s="21"/>
      <c r="D22" s="79">
        <v>0.33</v>
      </c>
      <c r="H22" s="24"/>
      <c r="I22" s="4"/>
      <c r="J22" s="7"/>
      <c r="K22" s="7"/>
      <c r="L22" s="5"/>
      <c r="N22" s="7"/>
    </row>
    <row r="23" spans="1:14">
      <c r="B23" s="21"/>
      <c r="C23" s="21"/>
      <c r="D23" s="12"/>
    </row>
    <row r="24" spans="1:14" ht="15">
      <c r="A24" t="s">
        <v>48</v>
      </c>
      <c r="B24" s="28">
        <v>11474</v>
      </c>
      <c r="C24" s="55"/>
      <c r="D24" s="12"/>
      <c r="G24" s="4"/>
    </row>
    <row r="25" spans="1:14">
      <c r="B25" s="21"/>
      <c r="C25" s="21"/>
      <c r="D25" s="21"/>
      <c r="J25" s="9"/>
    </row>
    <row r="26" spans="1:14">
      <c r="A26" s="3" t="s">
        <v>12</v>
      </c>
      <c r="B26" s="21"/>
      <c r="C26" s="21"/>
      <c r="D26" s="21"/>
    </row>
    <row r="27" spans="1:14">
      <c r="A27" s="10" t="s">
        <v>13</v>
      </c>
      <c r="B27" s="27" t="s">
        <v>25</v>
      </c>
      <c r="C27" s="21"/>
      <c r="D27" s="21"/>
      <c r="H27" s="42"/>
      <c r="I27" s="25"/>
      <c r="J27" s="10"/>
      <c r="K27" s="25"/>
    </row>
    <row r="28" spans="1:14" ht="15">
      <c r="A28" t="s">
        <v>10</v>
      </c>
      <c r="B28" s="21">
        <v>0</v>
      </c>
      <c r="C28" s="28">
        <v>41536</v>
      </c>
      <c r="D28" s="79">
        <v>5.0500000000000003E-2</v>
      </c>
      <c r="I28" s="5"/>
      <c r="J28" s="7"/>
    </row>
    <row r="29" spans="1:14" ht="15">
      <c r="A29" t="s">
        <v>11</v>
      </c>
      <c r="B29" s="28">
        <f>C28</f>
        <v>41536</v>
      </c>
      <c r="C29" s="28">
        <v>83075</v>
      </c>
      <c r="D29" s="79">
        <v>9.1499999999999998E-2</v>
      </c>
      <c r="I29" s="5"/>
      <c r="J29" s="24"/>
      <c r="K29" s="18"/>
      <c r="L29" s="15"/>
    </row>
    <row r="30" spans="1:14" ht="15">
      <c r="A30" t="s">
        <v>11</v>
      </c>
      <c r="B30" s="28">
        <f>C29</f>
        <v>83075</v>
      </c>
      <c r="C30" s="28">
        <v>150000</v>
      </c>
      <c r="D30" s="79">
        <v>0.1116</v>
      </c>
      <c r="G30" s="46"/>
      <c r="I30" s="4"/>
      <c r="J30" s="24"/>
      <c r="K30" s="4"/>
      <c r="L30" s="13"/>
      <c r="N30" s="18"/>
    </row>
    <row r="31" spans="1:14" ht="15">
      <c r="A31" t="s">
        <v>11</v>
      </c>
      <c r="B31" s="28">
        <f>C30</f>
        <v>150000</v>
      </c>
      <c r="C31" s="28">
        <v>220000</v>
      </c>
      <c r="D31" s="79">
        <v>0.1216</v>
      </c>
      <c r="I31" s="4"/>
      <c r="J31" s="24"/>
      <c r="K31" s="4"/>
      <c r="L31" s="13"/>
      <c r="N31" s="4"/>
    </row>
    <row r="32" spans="1:14" ht="15">
      <c r="B32" s="28">
        <f>C31</f>
        <v>220000</v>
      </c>
      <c r="C32" s="21"/>
      <c r="D32" s="79">
        <v>0.13159999999999999</v>
      </c>
      <c r="I32" s="4"/>
      <c r="J32" s="24"/>
      <c r="K32" s="4"/>
      <c r="L32" s="13"/>
    </row>
    <row r="33" spans="1:17">
      <c r="B33" s="21"/>
      <c r="C33" s="21"/>
      <c r="D33" s="21"/>
      <c r="H33" s="42"/>
      <c r="I33" s="4"/>
      <c r="J33" s="26"/>
      <c r="K33" s="16"/>
      <c r="L33" s="26"/>
    </row>
    <row r="34" spans="1:17" ht="15">
      <c r="A34" t="s">
        <v>40</v>
      </c>
      <c r="B34" s="28">
        <v>10011</v>
      </c>
      <c r="C34" s="28">
        <f>B34</f>
        <v>10011</v>
      </c>
      <c r="D34" s="21"/>
      <c r="H34" s="42"/>
      <c r="I34" s="4"/>
      <c r="J34" s="26"/>
      <c r="K34" s="16"/>
      <c r="L34" s="26"/>
    </row>
    <row r="35" spans="1:17" ht="15">
      <c r="A35" t="s">
        <v>42</v>
      </c>
      <c r="B35" s="39">
        <f>E95/0.0505</f>
        <v>9029.7029702970285</v>
      </c>
      <c r="C35" s="39">
        <f>B35/2</f>
        <v>4514.8514851485143</v>
      </c>
      <c r="D35" s="4"/>
      <c r="H35" s="42"/>
      <c r="I35" s="4"/>
      <c r="J35" s="26"/>
      <c r="K35" s="16"/>
      <c r="L35" s="26"/>
    </row>
    <row r="36" spans="1:17">
      <c r="B36" s="4">
        <f>SUM(B34:B35)</f>
        <v>19040.702970297029</v>
      </c>
      <c r="C36" s="4">
        <f>SUM(C34:C35)</f>
        <v>14525.851485148514</v>
      </c>
      <c r="I36" s="18"/>
      <c r="J36" s="4"/>
      <c r="K36" s="16"/>
    </row>
    <row r="37" spans="1:17">
      <c r="B37" s="4"/>
      <c r="C37" s="4"/>
      <c r="D37" t="s">
        <v>46</v>
      </c>
      <c r="E37" s="13"/>
      <c r="F37" s="45"/>
      <c r="H37" s="16"/>
    </row>
    <row r="38" spans="1:17">
      <c r="A38" s="3" t="s">
        <v>43</v>
      </c>
      <c r="B38" s="4"/>
      <c r="C38" s="4"/>
      <c r="E38" s="13" t="s">
        <v>44</v>
      </c>
      <c r="F38" s="18"/>
      <c r="G38" s="4"/>
      <c r="H38" s="22"/>
      <c r="Q38" t="s">
        <v>45</v>
      </c>
    </row>
    <row r="39" spans="1:17">
      <c r="B39" s="4">
        <v>0</v>
      </c>
      <c r="C39" s="4">
        <v>20000</v>
      </c>
      <c r="D39" s="8">
        <v>0</v>
      </c>
      <c r="E39" s="13">
        <v>0</v>
      </c>
      <c r="F39" s="13" t="b">
        <f>IF(AND((B12&gt;B39),(B12&lt;=C39)),IF((B12+B4-B82)&gt;B49,(E49-E39)))</f>
        <v>0</v>
      </c>
      <c r="G39" s="13" t="b">
        <f>IF(AND((B12&gt;B39),(B12&lt;=C39)),IF(AND((B12+B4-B82)&gt;B48,(B12+B4-B82)&lt;=C48),(B12+B4-B82-B48)*D48+(E47-E39)))</f>
        <v>0</v>
      </c>
      <c r="H39" s="13" t="b">
        <f>IF(AND((B12&gt;B39),(B12&lt;=C39)),IF(AND((B12+B4-B82)&gt;B47,(B12+B4-B82)&lt;=C47),(E47-E39)))</f>
        <v>0</v>
      </c>
      <c r="I39" s="13" t="b">
        <f>IF(AND((B12&gt;B39),(B12&lt;=C39)),IF(AND((B12+B4-B82)&gt;B46,(B12+B4-B82)&lt;=C46),(B12+B4-B82-B46)*D46+(E45-E39)))</f>
        <v>0</v>
      </c>
      <c r="J39" s="13" t="b">
        <f>IF(AND((B12&gt;B39),(B12&lt;=C39)),IF(AND((B12+B4-B82)&gt;B45,(B12+B4-B82)&lt;=C45),(E45-E39)))</f>
        <v>0</v>
      </c>
      <c r="K39" s="13" t="b">
        <f>IF(AND((B12&gt;B39),(B12&lt;=C39)),IF(AND((B12+B4-B82)&gt;B44,(B12+B4-B82)&lt;=C44),(B12+B4-B82-B44)*D44+(E43-E39)))</f>
        <v>0</v>
      </c>
      <c r="L39" s="13" t="b">
        <f>IF(AND((B12&gt;B39),(B12&lt;=C39)),IF(AND((B12+B4-B82)&gt;B43,(B12+B4-B82)&lt;=C43),(E43-E39)))</f>
        <v>0</v>
      </c>
      <c r="M39" s="13" t="b">
        <f>IF(AND((B12&gt;B39),(B12&lt;=C39)),IF((AND((B12+B4-B82)&gt;B42,(B12+B4-B82)&lt;=C42)),((B12+B4-B82-B42)*D42)+(E41-E39)))</f>
        <v>0</v>
      </c>
      <c r="N39" s="13" t="b">
        <f>IF(AND((B12&gt;B39),(B12&lt;=C39)),IF(AND((B12+B4-B82)&gt;B41,(B12+B4-B82)&lt;=C41),(E41-E39)))</f>
        <v>0</v>
      </c>
      <c r="O39" s="13" t="b">
        <f>IF(AND((B12&gt;B39),(B12&lt;=C39)),IF(AND((B12+B4-B82)&gt;B40,(B12+B4-B82)&lt;=C40),(B12+B4-B82-B40)*D40))</f>
        <v>0</v>
      </c>
      <c r="P39" s="13" t="b">
        <f>IF(AND((B12&gt;B39),(B12&lt;=C39)),IF(AND((B12+B4-B82)&gt;B39,(B12+B4-B82)&lt;=C39),0))</f>
        <v>0</v>
      </c>
      <c r="Q39" s="13">
        <f>SUM(F39:P39)</f>
        <v>0</v>
      </c>
    </row>
    <row r="40" spans="1:17">
      <c r="B40" s="4">
        <f t="shared" ref="B40:B49" si="0">C39</f>
        <v>20000</v>
      </c>
      <c r="C40" s="4">
        <v>25000</v>
      </c>
      <c r="D40" s="8">
        <v>0.06</v>
      </c>
      <c r="E40" s="13">
        <v>0</v>
      </c>
      <c r="F40" s="13" t="b">
        <f>IF(AND((B12&gt;B40),(B12&lt;=C40)),IF((B12+B4-B82)&gt;B49,(E49-E41)+(C40-B12)*D40))</f>
        <v>0</v>
      </c>
      <c r="G40" s="13" t="b">
        <f>IF(AND((B12&gt;B40),(B12&lt;=C40)),IF(AND((B12+B4-B82)&gt;B48,(B12+B4-B82)&lt;=C48),((B12+B4-B82-B48)*D48)+(E47-E41)+(C40-B12)*D40))</f>
        <v>0</v>
      </c>
      <c r="H40" s="13" t="b">
        <f>IF(AND((B12&gt;B40),(B12&lt;=C40)),IF(AND((B12+B4-B82)&gt;B47,(B12+B4-B82)&lt;=C47),(E47-E41)+(C40-B12)*D40))</f>
        <v>0</v>
      </c>
      <c r="I40" s="13" t="b">
        <f>IF(AND((B12&gt;B40),(B12&lt;=C40)),IF(AND((B12+B4-B82)&gt;B46,(B12+B4-B82)&lt;=C46),((B12+B4-B82-B46)*D46)+(E45-E41)+(C40-B12)*D40))</f>
        <v>0</v>
      </c>
      <c r="J40" s="13" t="b">
        <f>IF(AND((B12&gt;B40),(B12&lt;=C40)),IF(AND((B12+B4-B82)&gt;B45,(B12+B4-B82)&lt;=C45),(E45-E41)+(C40-B12)*D40))</f>
        <v>0</v>
      </c>
      <c r="K40" s="13" t="b">
        <f>IF(AND((B12&gt;B40),(B12&lt;=C40)),IF(AND((B12+B4-B82)&gt;B44,(B12+B4-B82)&lt;=C44),((B12+B4-B82-B44)*D44)+(E43-E41)+(C40-B12)*D40))</f>
        <v>0</v>
      </c>
      <c r="L40" s="13" t="b">
        <f>IF(AND((B12&gt;B40),(B12&lt;=C40)),IF(AND((B12+B4-B82)&gt;B43,(B12+B4-B82)&lt;=C43),(E43-E41)+(C40-B12)*D40))</f>
        <v>0</v>
      </c>
      <c r="M40" s="13" t="b">
        <f>IF(AND((B12&gt;B40),(B12&lt;=C40)),IF(AND((B12+B4-B82)&gt;B42,(B12+B4-B82)&lt;=C42),((B12+B4-B82-B42)*D42)+((C40-B12)*D40)))</f>
        <v>0</v>
      </c>
      <c r="N40" s="13" t="b">
        <f>IF(AND((B12&gt;B40),(B12&lt;=C40)),IF(AND((B12+B4-B82)&gt;B41,(B12+B4-B82)&lt;=C41),(C40-B12)*D40))</f>
        <v>0</v>
      </c>
      <c r="O40" s="13" t="b">
        <f>IF(AND((B12&gt;B40),(B12&lt;=C40)),IF(AND((B12+B4-B82)&gt;B40,(B12+B4-B82)&lt;=C40),(B4-B82)*D40))</f>
        <v>0</v>
      </c>
      <c r="P40" s="13"/>
      <c r="Q40" s="13">
        <f t="shared" ref="Q40:Q49" si="1">SUM(F40:P40)</f>
        <v>0</v>
      </c>
    </row>
    <row r="41" spans="1:17">
      <c r="B41" s="4">
        <f t="shared" si="0"/>
        <v>25000</v>
      </c>
      <c r="C41" s="4">
        <v>36000</v>
      </c>
      <c r="E41" s="13">
        <v>300</v>
      </c>
      <c r="F41" s="12" t="b">
        <f>IF(AND((B12&gt;B41),(B12&lt;=C41)),IF((B12+B4-B82)&gt;B49,(E49-E41)))</f>
        <v>0</v>
      </c>
      <c r="G41" s="13" t="b">
        <f>IF(AND((B12&gt;B41),(B12&lt;=C41)),IF(AND((B12+B4-B82)&gt;B48,(B12+B4-B82)&lt;=C48),(B12+B4-B82-B48)*D48+(E47-E41)))</f>
        <v>0</v>
      </c>
      <c r="H41" s="13" t="b">
        <f>IF(AND((B12&gt;B41),(B12&lt;=C41)),IF(AND((B12+B4-B82)&gt;B47,(B12+B4-B82)&lt;=C47),(E47-E41)))</f>
        <v>0</v>
      </c>
      <c r="I41" s="13" t="b">
        <f>IF(AND((B12&gt;B41),(B12&lt;=C41)),IF(AND((B12+B4-B82)&gt;B46,(B12+B4-B82)&lt;=C46),(B12+B4-B82-B46)*D46+(E45-E41)))</f>
        <v>0</v>
      </c>
      <c r="J41" s="13" t="b">
        <f>IF(AND((B12&gt;B41),(B12&lt;=C41)),IF(AND((B12+B4-B82)&gt;B45,(B12+B4-B82)&lt;=C45),(E45-E41)))</f>
        <v>0</v>
      </c>
      <c r="K41" s="13" t="b">
        <f>IF(AND((B12&gt;B41),(B12&lt;=C41)),IF(AND((B12+B4-B82)&gt;B44,(B12+B4-B82)&lt;=C44),((B12+B4-B82-B44)*D44)+(E43-E41)))</f>
        <v>0</v>
      </c>
      <c r="L41" s="13" t="b">
        <f>IF(AND((B12&gt;B41),(B12&lt;=C41)),IF(AND((B12+B4-B82)&gt;B43,(B12+B4-B82)&lt;=C43),(E43-E41)))</f>
        <v>0</v>
      </c>
      <c r="M41" s="13" t="b">
        <f>IF(AND((B12&gt;B41),(B12&lt;=C41)),IF(AND((B12+B4-B82)&gt;B42,(B12+B4-B82)&lt;=C42),(B12+B4-B82-B42)*D42))</f>
        <v>0</v>
      </c>
      <c r="N41" s="13" t="b">
        <f>IF(AND((B12&gt;B41),(B12&lt;=C41)),IF(AND((B12+B4-B82)&gt;B41,(B12+B4-B82)&lt;=C41),0))</f>
        <v>0</v>
      </c>
      <c r="O41" s="13"/>
      <c r="P41" s="13"/>
      <c r="Q41" s="13">
        <f t="shared" si="1"/>
        <v>0</v>
      </c>
    </row>
    <row r="42" spans="1:17">
      <c r="B42" s="4">
        <f t="shared" si="0"/>
        <v>36000</v>
      </c>
      <c r="C42" s="4">
        <v>38500</v>
      </c>
      <c r="D42" s="8">
        <v>0.06</v>
      </c>
      <c r="E42" s="13">
        <v>0</v>
      </c>
      <c r="F42" s="13" t="b">
        <f>IF(AND((B12&gt;B42),(B12&lt;=C42)),IF((B12+B4-B82)&gt;B49,(E49-E43)+(C42-B12)*D42))</f>
        <v>0</v>
      </c>
      <c r="G42" s="13" t="b">
        <f>IF(AND((B12&gt;B42),(B12&lt;=C42)),IF(AND((B12+B4-B82)&gt;B48,(B12+B4-B82)&lt;=C48),((B12+B4-B82-B48)*D48)+(E47-E43)+(C42-B12)*D42))</f>
        <v>0</v>
      </c>
      <c r="H42" s="13" t="b">
        <f>IF(AND((B12&gt;B42),(B12&lt;=C42)),IF(AND((B12+B4-B82)&gt;B47,(B12+B4-B82)&lt;=C47),(E47-E43)+(C42-B12)*D42))</f>
        <v>0</v>
      </c>
      <c r="I42" s="13" t="b">
        <f>IF(AND((B12&gt;B42),(B12&lt;=C42)),IF(AND((B12+B4-B82)&gt;B46,(B12+B4-B82)&lt;=C46),((B12+B4-B82-B46)*D46)+(E45-E43)+(C42-B12)*D42))</f>
        <v>0</v>
      </c>
      <c r="J42" s="13" t="b">
        <f>IF(AND((B12&gt;B42),(B12&lt;=C42)),IF(AND((B12+B4-B82)&gt;B45,(B12+B4-B82)&lt;=C45),(E45-E43)+(C42-B12)*D42))</f>
        <v>0</v>
      </c>
      <c r="K42" s="13" t="b">
        <f>IF(AND((B12&gt;B42),(B12&lt;=C42)),IF(AND((B12+B4-B82)&gt;B44,(B12+B4-B82)&lt;=C44),((B12+B4-B82-B44)*D44)+((C42-B12)*D42)))</f>
        <v>0</v>
      </c>
      <c r="L42" s="13" t="b">
        <f>IF(AND((B12&gt;B42),(B12&lt;=C42)),IF(AND((B12+B4-B82)&gt;B43,(B12+B4-B82)&lt;=C43),(C42-B12)*D42))</f>
        <v>0</v>
      </c>
      <c r="M42" s="13" t="b">
        <f>IF(AND((B12&gt;B42),(B12&lt;=C42)),IF(AND((B12+B4-B82)&gt;B42,(B12+B4-B82)&lt;=C42),(B4-B82)*D42))</f>
        <v>0</v>
      </c>
      <c r="N42" s="13"/>
      <c r="O42" s="13"/>
      <c r="P42" s="13"/>
      <c r="Q42" s="13">
        <f t="shared" si="1"/>
        <v>0</v>
      </c>
    </row>
    <row r="43" spans="1:17">
      <c r="B43" s="4">
        <f t="shared" si="0"/>
        <v>38500</v>
      </c>
      <c r="C43" s="4">
        <v>48000</v>
      </c>
      <c r="E43" s="13">
        <v>450</v>
      </c>
      <c r="F43" s="13" t="b">
        <f>IF(AND((B12&gt;B43),(B12&lt;=C43)),IF((B12+B4-B82)&gt;B49,(E49-E43)))</f>
        <v>0</v>
      </c>
      <c r="G43" s="13" t="b">
        <f>IF(AND((B12&gt;B43),(B12&lt;=C43)),IF(AND((B12+B4-B82)&gt;B48,(B12+B4-B82)&lt;=C48),(B12+B4-B82-B48)*D48+(E47-E43)))</f>
        <v>0</v>
      </c>
      <c r="H43" s="13" t="b">
        <f>IF(AND((B12&gt;B43),(B12&lt;=C43)),IF(AND((B12+B4-B82)&gt;B47,(B12+B4-B82)&lt;=C47),(E47-E43)))</f>
        <v>0</v>
      </c>
      <c r="I43" s="13" t="b">
        <f>IF(AND((B12&gt;B43),(B12&lt;=C43)),IF(AND((B12+B4-B82)&gt;B46,(B12+B4-B82)&lt;=C46),((B12+B4-B82-B46)*D46)+(E45-E43)))</f>
        <v>0</v>
      </c>
      <c r="J43" s="13" t="b">
        <f>IF(AND((B12&gt;B43),(B12&lt;=C43)),IF(AND((B12+B4-B82)&gt;B45,(B12+B4-B82)&lt;=C45),(E45-E43)))</f>
        <v>0</v>
      </c>
      <c r="K43" s="13" t="b">
        <f>IF(AND((B12&gt;B43),(B12&lt;=C43)),IF(AND((B12+B4-B82)&gt;B44,(B12+B4-B82)&lt;=C44),(B12+B4-B82-B44)*D44))</f>
        <v>0</v>
      </c>
      <c r="L43" s="13" t="b">
        <f>IF(AND((B12&gt;B43),(B12&lt;=C43)),IF(AND((B12+B4-B82)&gt;B43,(B12+B4-B82)&lt;=C43),0))</f>
        <v>0</v>
      </c>
      <c r="M43" s="13"/>
      <c r="N43" s="13"/>
      <c r="O43" s="13"/>
      <c r="P43" s="13"/>
      <c r="Q43" s="13">
        <f t="shared" si="1"/>
        <v>0</v>
      </c>
    </row>
    <row r="44" spans="1:17">
      <c r="B44" s="4">
        <f t="shared" si="0"/>
        <v>48000</v>
      </c>
      <c r="C44" s="4">
        <v>48600</v>
      </c>
      <c r="D44" s="8">
        <v>0.25</v>
      </c>
      <c r="E44" s="13">
        <v>0</v>
      </c>
      <c r="F44" s="13" t="b">
        <f>IF(AND((B12&gt;B44),(B12&lt;=C44)),IF((B12+B4-B82)&gt;B49,(E49-E45)+(C44-B12)*D44))</f>
        <v>0</v>
      </c>
      <c r="G44" s="13" t="b">
        <f>IF(AND((B12&gt;B44),(B12&lt;=C44)),IF(AND((B12+B4-B82)&gt;B48,(B12+B4-B82)&lt;=C48),((B12+B4-B82-B48)*D48)+(E47-E45)+(C44-B12)*D44))</f>
        <v>0</v>
      </c>
      <c r="H44" s="13" t="b">
        <f>IF(AND((B12&gt;B44),(B12&lt;=C44)),IF(AND((B12+B4-B82)&gt;B47,(B12+B4-B82)&lt;=C47),(E47-E45)+(C44-B12)*D44))</f>
        <v>0</v>
      </c>
      <c r="I44" s="13" t="b">
        <f>IF(AND((B12&gt;B44),(B12&lt;=C44)),IF(AND((B12+B4-B82)&gt;B46,(B12+B4-B82)&lt;=C46),((B12+B4-B82-B46)*D46)+((C44-B12)*D44)))</f>
        <v>0</v>
      </c>
      <c r="J44" s="13" t="b">
        <f>IF(AND((B12&gt;B44),(B12&lt;=C44)),IF(AND((B12+B4-B82)&gt;B45,(B12+B4-B82)&lt;=C45),(C44-B12)*D44))</f>
        <v>0</v>
      </c>
      <c r="K44" s="13" t="b">
        <f>IF(AND((B12&gt;B44),(B12&lt;=C44)),IF(AND((B12+B4-B82)&gt;B44,(B12+B4-B82)&lt;=C44),(B4-B82)*D44))</f>
        <v>0</v>
      </c>
      <c r="L44" s="13"/>
      <c r="M44" s="13"/>
      <c r="N44" s="13"/>
      <c r="O44" s="13"/>
      <c r="P44" s="13"/>
      <c r="Q44" s="13">
        <f t="shared" si="1"/>
        <v>0</v>
      </c>
    </row>
    <row r="45" spans="1:17">
      <c r="B45" s="4">
        <f t="shared" si="0"/>
        <v>48600</v>
      </c>
      <c r="C45" s="4">
        <v>72000</v>
      </c>
      <c r="E45" s="13">
        <v>600</v>
      </c>
      <c r="F45" s="13" t="b">
        <f>IF(AND((B12&gt;B45),(B12&lt;=C45)),IF((B12+B4-B82)&gt;B49,(E49-E45)))</f>
        <v>0</v>
      </c>
      <c r="G45" s="13" t="b">
        <f>IF(AND((B12&gt;B45),(B12&lt;=C45)),IF(AND((B12+B4-B82)&gt;B48,(B12+B4-B82)&lt;=C48),((B12+B4-B82-B48)*D48)+(E47-E45)))</f>
        <v>0</v>
      </c>
      <c r="H45" s="13" t="b">
        <f>IF(AND((B12&gt;B45),(B12&lt;=C45)),IF(AND((B12+B4-B82)&gt;B47,(B12+B4-B82)&lt;=C47),(E47-E45)))</f>
        <v>0</v>
      </c>
      <c r="I45" s="13" t="b">
        <f>IF(AND((B12&gt;B45),(B12&lt;=C45)),IF(AND((B12+B4-B82)&gt;B46,(B12+B4-B82)&lt;=C46),(B12+B4-B82-B46)*D46))</f>
        <v>0</v>
      </c>
      <c r="J45" s="13" t="b">
        <f>IF(AND((B12&gt;B45),(B12&lt;=C45)),IF(AND((B12+B4-B82)&gt;B45,(B12+B4-B82)&lt;=C45),0))</f>
        <v>0</v>
      </c>
      <c r="K45" s="13"/>
      <c r="L45" s="13"/>
      <c r="M45" s="13"/>
      <c r="N45" s="13"/>
      <c r="O45" s="13"/>
      <c r="P45" s="13"/>
      <c r="Q45" s="13">
        <f t="shared" si="1"/>
        <v>0</v>
      </c>
    </row>
    <row r="46" spans="1:17">
      <c r="B46" s="4">
        <f t="shared" si="0"/>
        <v>72000</v>
      </c>
      <c r="C46" s="4">
        <v>72600</v>
      </c>
      <c r="D46" s="8">
        <v>0.25</v>
      </c>
      <c r="E46" s="13">
        <v>0</v>
      </c>
      <c r="F46" s="13" t="b">
        <f>IF(AND((B12&gt;B46),(B12&lt;=C46)),IF((B12+B4-B82)&gt;B49,(E49-E47)+(C46-B12)*D46))</f>
        <v>0</v>
      </c>
      <c r="G46" s="13" t="b">
        <f>IF(AND((B12&gt;B46),(B12&lt;=C46)),IF(AND((B12+B4-B82)&gt;B48,(B12+B4-B82)&lt;=C48),((B12+B4-B82-B48)*D48)+((C46-B12)*D46)))</f>
        <v>0</v>
      </c>
      <c r="H46" s="13" t="b">
        <f>IF(AND((B12&gt;B46),(B12&lt;=C46)),IF(AND((B12+B4-B82)&gt;B47,(B12+B4-B82)&lt;=C47),(C46-B12)*D46))</f>
        <v>0</v>
      </c>
      <c r="I46" s="13" t="b">
        <f>IF(AND((B12&gt;B46),(B12&lt;=C46)),IF(AND((B12+B4-B82)&gt;B46,(B12+B4-B82)&lt;=C46),(B4-B82)*D46))</f>
        <v>0</v>
      </c>
      <c r="J46" s="13"/>
      <c r="K46" s="13"/>
      <c r="L46" s="13"/>
      <c r="M46" s="13"/>
      <c r="N46" s="13"/>
      <c r="O46" s="13"/>
      <c r="P46" s="13"/>
      <c r="Q46" s="13">
        <f t="shared" si="1"/>
        <v>0</v>
      </c>
    </row>
    <row r="47" spans="1:17">
      <c r="B47" s="4">
        <f t="shared" si="0"/>
        <v>72600</v>
      </c>
      <c r="C47" s="4">
        <v>200000</v>
      </c>
      <c r="E47" s="13">
        <v>750</v>
      </c>
      <c r="F47" s="13" t="b">
        <f>IF(AND((B12&gt;B47),(B12&lt;=C47)),IF((B12+B4-B82)&gt;B49,(E49-E47)))</f>
        <v>0</v>
      </c>
      <c r="G47" s="13" t="b">
        <f>IF(AND((B12&gt;B47),(B12&lt;=C47)),IF(AND((B12+B4-B82)&gt;B48,(B12+B4-B82)&lt;=C48),(B12+B4-B82-B48)*D48))</f>
        <v>0</v>
      </c>
      <c r="H47" s="13">
        <f>IF(AND((B12&gt;B47),(B12&lt;=C47)),IF(AND((B12+B4-B82)&gt;B47,(B12+B4-B82)&lt;=C47),0))</f>
        <v>0</v>
      </c>
      <c r="I47" s="13"/>
      <c r="J47" s="13"/>
      <c r="K47" s="13"/>
      <c r="L47" s="13"/>
      <c r="M47" s="13"/>
      <c r="N47" s="13"/>
      <c r="O47" s="13"/>
      <c r="P47" s="13"/>
      <c r="Q47" s="13">
        <f t="shared" si="1"/>
        <v>0</v>
      </c>
    </row>
    <row r="48" spans="1:17">
      <c r="B48" s="4">
        <f t="shared" si="0"/>
        <v>200000</v>
      </c>
      <c r="C48" s="4">
        <v>200600</v>
      </c>
      <c r="D48" s="8">
        <v>0.25</v>
      </c>
      <c r="E48" s="13">
        <v>0</v>
      </c>
      <c r="F48" s="13" t="b">
        <f>IF(AND((B12&gt;B48),(B12&lt;=C48)),IF((B12+B4-B82)&gt;B49,(C48-B12)*D48))</f>
        <v>0</v>
      </c>
      <c r="G48" s="13" t="b">
        <f>IF(AND((B12&gt;B48),(B12&lt;=C48)),IF(AND((B12+B4-B82)&gt;B48,(B12+B4-B82)&lt;=C48),(B4-B82)*D48))</f>
        <v>0</v>
      </c>
      <c r="I48" s="13"/>
      <c r="J48" s="13"/>
      <c r="K48" s="13"/>
      <c r="L48" s="13"/>
      <c r="M48" s="13"/>
      <c r="N48" s="13"/>
      <c r="O48" s="13"/>
      <c r="P48" s="13"/>
      <c r="Q48" s="13">
        <f t="shared" si="1"/>
        <v>0</v>
      </c>
    </row>
    <row r="49" spans="1:17">
      <c r="B49" s="4">
        <f t="shared" si="0"/>
        <v>200600</v>
      </c>
      <c r="C49" s="4"/>
      <c r="E49" s="13">
        <v>900</v>
      </c>
      <c r="F49" s="43" t="b">
        <f>IF((B12&gt;B49),IF((B12+B4-B82)&gt;B49,0))</f>
        <v>0</v>
      </c>
      <c r="G49" s="13"/>
      <c r="I49" s="13"/>
      <c r="J49" s="13"/>
      <c r="K49" s="13"/>
      <c r="L49" s="13"/>
      <c r="M49" s="13"/>
      <c r="N49" s="13"/>
      <c r="O49" s="13"/>
      <c r="P49" s="13"/>
      <c r="Q49" s="43">
        <f t="shared" si="1"/>
        <v>0</v>
      </c>
    </row>
    <row r="50" spans="1:17">
      <c r="B50" s="4"/>
      <c r="C50" s="4"/>
      <c r="E50" s="13"/>
      <c r="F50" s="18"/>
      <c r="G50" s="4"/>
      <c r="H50" s="16"/>
      <c r="Q50" s="18">
        <f>SUM(Q39:Q49)</f>
        <v>0</v>
      </c>
    </row>
    <row r="51" spans="1:17">
      <c r="B51" s="37"/>
      <c r="C51" s="4"/>
      <c r="E51" s="13"/>
      <c r="F51" s="18"/>
      <c r="G51" s="4"/>
      <c r="H51" s="16"/>
      <c r="Q51" s="18"/>
    </row>
    <row r="52" spans="1:17">
      <c r="A52" s="3" t="s">
        <v>120</v>
      </c>
      <c r="B52" s="4"/>
      <c r="C52" s="4"/>
      <c r="F52" s="13"/>
      <c r="G52" s="45"/>
      <c r="H52"/>
      <c r="I52" s="16"/>
      <c r="J52" s="10" t="s">
        <v>116</v>
      </c>
      <c r="Q52" s="18"/>
    </row>
    <row r="53" spans="1:17">
      <c r="A53" s="3"/>
      <c r="B53" s="4" t="s">
        <v>116</v>
      </c>
      <c r="C53" s="26" t="s">
        <v>127</v>
      </c>
      <c r="F53" s="3" t="s">
        <v>121</v>
      </c>
      <c r="G53" s="45"/>
      <c r="H53"/>
      <c r="I53" s="80" t="s">
        <v>76</v>
      </c>
      <c r="J53" s="68" t="s">
        <v>75</v>
      </c>
      <c r="K53" s="68" t="s">
        <v>77</v>
      </c>
      <c r="Q53" s="18"/>
    </row>
    <row r="54" spans="1:17" ht="15">
      <c r="A54" s="3"/>
      <c r="B54" t="s">
        <v>31</v>
      </c>
      <c r="C54" t="s">
        <v>32</v>
      </c>
      <c r="F54">
        <v>0</v>
      </c>
      <c r="G54" s="5">
        <f t="shared" ref="G54:H57" si="2">C28</f>
        <v>41536</v>
      </c>
      <c r="H54" s="7">
        <f t="shared" si="2"/>
        <v>5.0500000000000003E-2</v>
      </c>
      <c r="I54" s="13">
        <v>0</v>
      </c>
      <c r="J54" s="13">
        <f>IF(AND($B$12&gt;=F54,$B$12&lt;G54),($B$12-F54)*H54,0)</f>
        <v>0</v>
      </c>
      <c r="K54" s="18">
        <f>(IF(J54=0,0,I54+J54))</f>
        <v>0</v>
      </c>
      <c r="Q54" s="18"/>
    </row>
    <row r="55" spans="1:17" ht="15">
      <c r="A55" s="29" t="s">
        <v>20</v>
      </c>
      <c r="B55" s="4">
        <v>456</v>
      </c>
      <c r="C55" s="4">
        <v>456</v>
      </c>
      <c r="F55" s="5">
        <f>G54</f>
        <v>41536</v>
      </c>
      <c r="G55" s="5">
        <f t="shared" si="2"/>
        <v>83075</v>
      </c>
      <c r="H55" s="7">
        <f t="shared" si="2"/>
        <v>9.1499999999999998E-2</v>
      </c>
      <c r="I55" s="12">
        <f>(G54-F54)*H54</f>
        <v>2097.5680000000002</v>
      </c>
      <c r="J55" s="13">
        <f t="shared" ref="J55:J57" si="3">IF(AND($B$12&gt;=F55,$B$12&lt;G55),($B$12-F55)*H55,0)</f>
        <v>2861.4794999999999</v>
      </c>
      <c r="K55" s="18">
        <f>(IF(J55=0,0,I55+J55))</f>
        <v>4959.0475000000006</v>
      </c>
      <c r="Q55" s="18"/>
    </row>
    <row r="56" spans="1:17" ht="15">
      <c r="A56" t="s">
        <v>117</v>
      </c>
      <c r="B56" s="82">
        <f>K61</f>
        <v>4453.4920000000002</v>
      </c>
      <c r="C56" s="82">
        <f>K73</f>
        <v>4531.2669999999998</v>
      </c>
      <c r="F56" s="28">
        <f>G55</f>
        <v>83075</v>
      </c>
      <c r="G56" s="5">
        <f t="shared" si="2"/>
        <v>150000</v>
      </c>
      <c r="H56" s="7">
        <f t="shared" si="2"/>
        <v>0.1116</v>
      </c>
      <c r="I56" s="12">
        <f>((G55-F55)*H55)+I55</f>
        <v>5898.3865000000005</v>
      </c>
      <c r="J56" s="13">
        <f t="shared" si="3"/>
        <v>0</v>
      </c>
      <c r="K56" s="18">
        <f>(IF(J56=0,0,I56+J56))</f>
        <v>0</v>
      </c>
      <c r="Q56" s="18"/>
    </row>
    <row r="57" spans="1:17" ht="15">
      <c r="A57" s="29" t="s">
        <v>118</v>
      </c>
      <c r="B57" s="13">
        <f>IF((B55-B56)&lt;0,0,B55-B56)</f>
        <v>0</v>
      </c>
      <c r="C57" s="13">
        <f>IF((C55-C56)&lt;0,0,C55-C56)</f>
        <v>0</v>
      </c>
      <c r="F57" s="5">
        <f>G56</f>
        <v>150000</v>
      </c>
      <c r="G57" s="5">
        <f t="shared" si="2"/>
        <v>220000</v>
      </c>
      <c r="H57" s="7">
        <f t="shared" si="2"/>
        <v>0.1216</v>
      </c>
      <c r="I57" s="12">
        <f t="shared" ref="I57:I58" si="4">((G56-F56)*H56)+I56</f>
        <v>13367.2165</v>
      </c>
      <c r="J57" s="13">
        <f t="shared" si="3"/>
        <v>0</v>
      </c>
      <c r="K57" s="18">
        <f>(IF(J57=0,0,I57+J57))</f>
        <v>0</v>
      </c>
      <c r="Q57" s="18"/>
    </row>
    <row r="58" spans="1:17" ht="15">
      <c r="F58" s="5">
        <f>G57</f>
        <v>220000</v>
      </c>
      <c r="H58" s="7">
        <f>D32</f>
        <v>0.13159999999999999</v>
      </c>
      <c r="I58" s="12">
        <f t="shared" si="4"/>
        <v>21879.216500000002</v>
      </c>
      <c r="J58" s="13">
        <f>IF($B$12&gt;=F58,($B$12-F58)*H58,0)</f>
        <v>0</v>
      </c>
      <c r="K58" s="35">
        <f>(IF(J58=0,0,I58+J58))</f>
        <v>0</v>
      </c>
      <c r="Q58" s="18"/>
    </row>
    <row r="59" spans="1:17">
      <c r="A59" t="s">
        <v>117</v>
      </c>
      <c r="B59" s="4">
        <f>K61</f>
        <v>4453.4920000000002</v>
      </c>
      <c r="C59" s="4">
        <f>K73</f>
        <v>4531.2669999999998</v>
      </c>
      <c r="F59" s="13"/>
      <c r="G59" s="45"/>
      <c r="H59"/>
      <c r="I59" s="13"/>
      <c r="J59" s="13"/>
      <c r="K59" s="13">
        <f>SUM(K54:K58)</f>
        <v>4959.0475000000006</v>
      </c>
      <c r="Q59" s="18"/>
    </row>
    <row r="60" spans="1:17">
      <c r="F60" s="13"/>
      <c r="G60" s="45"/>
      <c r="H60" s="70" t="s">
        <v>39</v>
      </c>
      <c r="I60" s="13">
        <f>B34</f>
        <v>10011</v>
      </c>
      <c r="J60" s="16">
        <f>D28</f>
        <v>5.0500000000000003E-2</v>
      </c>
      <c r="K60" s="43">
        <f>IF($B$12&lt;I60,$B$12*J60,I60*J60)</f>
        <v>505.55550000000005</v>
      </c>
      <c r="Q60" s="18"/>
    </row>
    <row r="61" spans="1:17">
      <c r="A61" t="s">
        <v>122</v>
      </c>
      <c r="B61" s="4">
        <f>MIN(B57,B59)</f>
        <v>0</v>
      </c>
      <c r="C61" s="4">
        <f>MIN(C57,C59)</f>
        <v>0</v>
      </c>
      <c r="F61" s="13"/>
      <c r="G61" s="45"/>
      <c r="H61" s="4"/>
      <c r="I61" s="4"/>
      <c r="J61" s="16"/>
      <c r="K61" s="13">
        <f>IF((K59-K60)&lt;=0,0,K59-K60)</f>
        <v>4453.4920000000002</v>
      </c>
      <c r="Q61" s="18"/>
    </row>
    <row r="62" spans="1:17">
      <c r="A62" s="3"/>
      <c r="B62" s="4"/>
      <c r="C62" s="4"/>
      <c r="F62" s="13"/>
      <c r="G62" s="45"/>
      <c r="H62"/>
      <c r="I62" s="13"/>
      <c r="J62" s="13"/>
      <c r="K62" s="13"/>
      <c r="Q62" s="18"/>
    </row>
    <row r="63" spans="1:17">
      <c r="A63" s="29" t="s">
        <v>120</v>
      </c>
      <c r="B63" s="37">
        <f>C61-B61</f>
        <v>0</v>
      </c>
      <c r="C63" s="4"/>
      <c r="D63" s="4"/>
      <c r="F63" s="13"/>
      <c r="G63" s="45"/>
      <c r="H63"/>
      <c r="I63" s="13"/>
      <c r="J63" s="13"/>
      <c r="K63" s="13"/>
      <c r="Q63" s="18"/>
    </row>
    <row r="64" spans="1:17">
      <c r="A64" s="3"/>
      <c r="B64" s="4"/>
      <c r="C64" s="4"/>
      <c r="F64" s="13"/>
      <c r="G64" s="45"/>
      <c r="H64"/>
      <c r="I64" s="16"/>
      <c r="J64" s="10" t="s">
        <v>127</v>
      </c>
      <c r="Q64" s="18"/>
    </row>
    <row r="65" spans="1:17">
      <c r="F65" s="3" t="s">
        <v>121</v>
      </c>
      <c r="G65" s="45"/>
      <c r="H65"/>
      <c r="I65" s="80" t="s">
        <v>76</v>
      </c>
      <c r="J65" s="68" t="s">
        <v>75</v>
      </c>
      <c r="K65" s="68" t="s">
        <v>77</v>
      </c>
      <c r="Q65" s="18"/>
    </row>
    <row r="66" spans="1:17" ht="15">
      <c r="B66" s="4"/>
      <c r="C66" s="4"/>
      <c r="F66">
        <v>0</v>
      </c>
      <c r="G66" s="5">
        <f t="shared" ref="G66:H69" si="5">C28</f>
        <v>41536</v>
      </c>
      <c r="H66" s="7">
        <f t="shared" si="5"/>
        <v>5.0500000000000003E-2</v>
      </c>
      <c r="I66" s="13">
        <v>0</v>
      </c>
      <c r="J66" s="13">
        <f>IF(AND(($B$12+$B$4-$B$82)&gt;=F66,($B$12+$B$4-$B$82)&lt;G66),($B$12+$B$4-$B$82-F66)*H66,0)</f>
        <v>0</v>
      </c>
      <c r="K66" s="18">
        <f t="shared" ref="K66:K70" si="6">(IF(J66=0,0,I66+J66))</f>
        <v>0</v>
      </c>
      <c r="Q66" s="18"/>
    </row>
    <row r="67" spans="1:17" ht="15">
      <c r="D67" s="26"/>
      <c r="F67" s="5">
        <f>G66</f>
        <v>41536</v>
      </c>
      <c r="G67" s="5">
        <f t="shared" si="5"/>
        <v>83075</v>
      </c>
      <c r="H67" s="7">
        <f t="shared" si="5"/>
        <v>9.1499999999999998E-2</v>
      </c>
      <c r="I67" s="12">
        <f>(G66-F66)*H66</f>
        <v>2097.5680000000002</v>
      </c>
      <c r="J67" s="13">
        <f>IF(AND(($B$12+$B$4-$B$82)&gt;=F67,($B$12+$B$4-$B$82)&lt;G67),($B$12+$B$4-$B$82-F67)*H67,0)</f>
        <v>2939.2545</v>
      </c>
      <c r="K67" s="18">
        <f t="shared" si="6"/>
        <v>5036.8225000000002</v>
      </c>
      <c r="Q67" s="18"/>
    </row>
    <row r="68" spans="1:17" ht="15">
      <c r="F68" s="28">
        <f>G67</f>
        <v>83075</v>
      </c>
      <c r="G68" s="5">
        <f t="shared" si="5"/>
        <v>150000</v>
      </c>
      <c r="H68" s="7">
        <f t="shared" si="5"/>
        <v>0.1116</v>
      </c>
      <c r="I68" s="12">
        <f>((G67-F67)*H67)+I67</f>
        <v>5898.3865000000005</v>
      </c>
      <c r="J68" s="13">
        <f>IF(AND(($B$12+$B$4-$B$82)&gt;=F68,($B$12+$B$4-$B$82)&lt;G68),($B$12+$B$4-$B$82-F68)*H68,0)</f>
        <v>0</v>
      </c>
      <c r="K68" s="18">
        <f t="shared" si="6"/>
        <v>0</v>
      </c>
      <c r="Q68" s="18"/>
    </row>
    <row r="69" spans="1:17" ht="15">
      <c r="F69" s="5">
        <f>G68</f>
        <v>150000</v>
      </c>
      <c r="G69" s="5">
        <f t="shared" si="5"/>
        <v>220000</v>
      </c>
      <c r="H69" s="7">
        <f t="shared" si="5"/>
        <v>0.1216</v>
      </c>
      <c r="I69" s="12">
        <f t="shared" ref="I69:I70" si="7">((G68-F68)*H68)+I68</f>
        <v>13367.2165</v>
      </c>
      <c r="J69" s="13">
        <f>IF(AND(($B$12+$B$4-$B$82)&gt;=F69,($B$12+$B$4-$B$82)&lt;G69),($B$12+$B$4-$B$82-F69)*H69,0)</f>
        <v>0</v>
      </c>
      <c r="K69" s="18">
        <f t="shared" si="6"/>
        <v>0</v>
      </c>
      <c r="Q69" s="18"/>
    </row>
    <row r="70" spans="1:17" ht="15">
      <c r="A70" s="3"/>
      <c r="B70" s="4"/>
      <c r="C70" s="4"/>
      <c r="F70" s="5">
        <f>G69</f>
        <v>220000</v>
      </c>
      <c r="H70" s="7">
        <f>D32</f>
        <v>0.13159999999999999</v>
      </c>
      <c r="I70" s="12">
        <f t="shared" si="7"/>
        <v>21879.216500000002</v>
      </c>
      <c r="J70" s="13">
        <f>IF(($B$12+$B$4-$B$82)&gt;=F70,($B$12+$B$4-$B$82-F70)*H70,0)</f>
        <v>0</v>
      </c>
      <c r="K70" s="35">
        <f t="shared" si="6"/>
        <v>0</v>
      </c>
      <c r="Q70" s="18"/>
    </row>
    <row r="71" spans="1:17">
      <c r="A71" s="3"/>
      <c r="B71" s="4"/>
      <c r="C71" s="4"/>
      <c r="F71" s="13"/>
      <c r="G71" s="45"/>
      <c r="H71"/>
      <c r="I71" s="16"/>
      <c r="K71" s="18">
        <f>SUM(K66:K70)</f>
        <v>5036.8225000000002</v>
      </c>
      <c r="Q71" s="18"/>
    </row>
    <row r="72" spans="1:17">
      <c r="A72" s="3"/>
      <c r="B72" s="4"/>
      <c r="C72" s="4"/>
      <c r="F72" s="13"/>
      <c r="G72" s="45"/>
      <c r="H72" s="70" t="s">
        <v>39</v>
      </c>
      <c r="I72" s="13">
        <f>B34</f>
        <v>10011</v>
      </c>
      <c r="J72" s="16">
        <f>D28</f>
        <v>5.0500000000000003E-2</v>
      </c>
      <c r="K72" s="43">
        <f>IF(($B$12+$B$4-$B$82)&lt;I72,($B$12+$B$4-$B$82)*J72,I72*J72)</f>
        <v>505.55550000000005</v>
      </c>
      <c r="Q72" s="18"/>
    </row>
    <row r="73" spans="1:17">
      <c r="A73" s="3"/>
      <c r="B73" s="4"/>
      <c r="C73" s="4"/>
      <c r="F73" s="13"/>
      <c r="G73" s="45"/>
      <c r="H73"/>
      <c r="I73" s="16"/>
      <c r="K73" s="13">
        <f>IF((K71-K72)&lt;=0,0,K71-K72)</f>
        <v>4531.2669999999998</v>
      </c>
      <c r="Q73" s="18"/>
    </row>
    <row r="74" spans="1:17">
      <c r="B74" s="37"/>
      <c r="C74" s="4"/>
      <c r="E74" s="13"/>
      <c r="F74" s="18"/>
      <c r="G74" s="4"/>
      <c r="H74" s="16"/>
      <c r="Q74" s="18"/>
    </row>
    <row r="75" spans="1:17">
      <c r="A75" s="3" t="s">
        <v>110</v>
      </c>
      <c r="B75" s="4"/>
      <c r="C75" s="4"/>
    </row>
    <row r="76" spans="1:17">
      <c r="A76" s="3"/>
      <c r="B76" s="4"/>
      <c r="C76" s="4"/>
    </row>
    <row r="77" spans="1:17">
      <c r="A77" s="29" t="s">
        <v>111</v>
      </c>
      <c r="B77" s="4">
        <v>72809</v>
      </c>
      <c r="C77" s="4"/>
    </row>
    <row r="78" spans="1:17">
      <c r="A78" s="29" t="s">
        <v>112</v>
      </c>
      <c r="B78" s="71">
        <v>0.15</v>
      </c>
      <c r="C78" s="4"/>
    </row>
    <row r="79" spans="1:17">
      <c r="A79" s="3"/>
      <c r="B79" s="4"/>
      <c r="C79" s="4"/>
    </row>
    <row r="80" spans="1:17" ht="28">
      <c r="A80" s="81" t="s">
        <v>113</v>
      </c>
      <c r="B80" s="4">
        <f>IF(B12&gt;B77,B4*B78,0)</f>
        <v>0</v>
      </c>
      <c r="C80" s="4"/>
    </row>
    <row r="81" spans="1:17" ht="28">
      <c r="A81" s="81" t="s">
        <v>114</v>
      </c>
      <c r="B81" s="82">
        <f>IF(AND(B12&lt;=B77,(B4+B12)&gt;=B77),(B4+B12-B77)*B78,0)</f>
        <v>150</v>
      </c>
      <c r="C81" s="4"/>
    </row>
    <row r="82" spans="1:17">
      <c r="A82" s="29" t="s">
        <v>115</v>
      </c>
      <c r="B82" s="4">
        <f>SUM(B80:B81)</f>
        <v>150</v>
      </c>
      <c r="C82" s="4"/>
    </row>
    <row r="83" spans="1:17">
      <c r="B83" s="37"/>
      <c r="C83" s="4"/>
      <c r="E83" s="13"/>
      <c r="F83" s="18"/>
      <c r="G83" s="4"/>
      <c r="H83" s="16"/>
      <c r="Q83" s="18"/>
    </row>
    <row r="84" spans="1:17">
      <c r="B84" s="37"/>
      <c r="C84" s="4"/>
      <c r="E84" s="13"/>
      <c r="F84" s="18"/>
      <c r="G84" s="4"/>
      <c r="H84" s="16"/>
      <c r="Q84" s="18"/>
    </row>
    <row r="85" spans="1:17">
      <c r="A85" s="2" t="s">
        <v>14</v>
      </c>
      <c r="E85" s="36"/>
      <c r="F85" s="21"/>
      <c r="G85" s="4"/>
      <c r="H85" s="4"/>
      <c r="I85" s="16"/>
    </row>
    <row r="86" spans="1:17">
      <c r="B86" s="11"/>
      <c r="C86" t="s">
        <v>15</v>
      </c>
      <c r="H86" s="36"/>
      <c r="J86" s="4"/>
      <c r="K86" s="4"/>
      <c r="L86" s="16"/>
    </row>
    <row r="87" spans="1:17">
      <c r="H87" s="36"/>
      <c r="J87" s="4"/>
      <c r="K87" s="4"/>
      <c r="L87" s="16"/>
    </row>
    <row r="88" spans="1:17">
      <c r="A88" t="s">
        <v>24</v>
      </c>
      <c r="B88" s="17">
        <f>IF(AND((B4-B82+B12)&gt;=B18,(B4-B82+B12)&lt;=C18),(B4-B82)*D18,IF(AND((B4-B82+B12)&gt;B19,(B4-B82+B12)&lt;=C19),IF((B4-B82+B12-B19)&gt;(B4-B82),(B4-B82)*D19,((B4-B82+B12-B19)*D19)+((B4-B82-(B4-B82+B12-B19))*D18)),IF(AND((B4-B82+B12)&gt;B20,(B4-B82+B12)&lt;=C20),IF((B4-B82+B12-B20)&gt;(B4-B82),(B4-B82)*D20,IF((B4-B82+B12-B19)&gt;(B4-B82),(((B4-B82+B12-B20)*D20)+((B4-B82-(B4-B82+B12-B20))*D19)),((B4-B82+B12-B20)*D20)+((C19-B19)*D19)+((B4-B82-(B4-B82+B12-B19))*D18))),IF(AND((B4-B82+B12)&gt;B21,(B4-B82+B12)&lt;=C21),IF((B4-B82+B12-B21)&gt;(B4-B82),(B4-B82)*D21,IF((B4-B82+B12-B20)&gt;(B4-B82),((B4-B82+B12-B21)*D21)+(((B4-B82-(B4-B82+B12-B21))*D20)),IF((B4-B82+B12-B19)&gt;(B4-B82),(((B4-B82+B12-B21)*D21)+((C20-B20)*D20)+((B4-B82-(B4-B82+B12-B20))*D19)),((B4-B82+B12-B21)*D21)+((C20-B20)*D20)+((C19-B19)*D19)+((B4-B82-(B4-B82+B12-B19))*D18)))),IF((B4-B82+B12)&gt;B22,IF((B4-B82+B12-B22)&gt;(B4-B82),(B4-B82)*D22,IF((B4-B82+B12-B21)&gt;(B4-B82),(((B4-B82+B12-B22)*D22)+((B4-B82-(B4-B82+B12-B22))*D21)),IF((B4-B82+B12-B20)&gt;(B4-B82),(((B4-B82+B12-B22)*D22)+((C21-B21)*D21)+((B4-B82-(B4-B82+B12-B21))*D20)),IF((B4-B82+B12-B19)&gt;(B4-B82),(((B4-B82+B12-B22)*D22)+((C21-B21)*D21)+((C20-B20)*D20)+((B4-B82-(B4-B82+B12-B20))*D19)),((B4-B82+B12-B22)*D22)+((C21-B21)*D21)+((C20-B20)*D20)+((C19-B19)*D19)+((B4-B82-(B4-B82+B12-B19))*D18))))))))))</f>
        <v>174.25</v>
      </c>
      <c r="C88" t="s">
        <v>17</v>
      </c>
      <c r="H88" s="44"/>
      <c r="K88" s="4"/>
      <c r="L88" s="16"/>
    </row>
    <row r="89" spans="1:17">
      <c r="B89" s="37">
        <f>-IF(B12&gt;=B24,0,IF(B12&lt;B24,IF((B12+B4-B82)&gt;B24,(B24-B12)*D18,(B4-B82)*D18)))</f>
        <v>0</v>
      </c>
      <c r="C89" t="s">
        <v>38</v>
      </c>
      <c r="H89" s="44"/>
      <c r="K89" s="4"/>
      <c r="L89" s="16"/>
    </row>
    <row r="90" spans="1:17">
      <c r="B90" s="12">
        <f>IF(AND((B4-B82+B12)&gt;=B28,(B4-B82+B12)&lt;=C28),(B4-B82)*D28,IF(AND((B4-B82+B12)&gt;B29,(B4-B82+B12)&lt;=C29),IF((B4-B82+B12-B29)&gt;(B4-B82),(B4-B82)*D29,((B4-B82+B12-B29)*D29)+((B4-B82-(B4-B82+B12-B29))*D28)),IF(AND((B4-B82+B12)&gt;B30,(B4-B82+B12)&lt;=C30),IF((B4-B82+B12-B30)&gt;(B4-B82),(B4-B82)*D30,IF((B4-B82+B12-B29)&gt;(B4-B82),(((B4-B82+B12-B30)*D30)+((B4-B82-(B4-B82+B12-B30))*D29)),((B4-B82+B12-B30)*D30)+((C29-B29)*D29)+((B4-B82-(B4-B82+B12-B29))*D28))),IF(AND((B4-B82+B12)&gt;B31,(B4-B82+B12)&lt;=C31),IF((B4-B82+B12-B31)&gt;(B4-B82),(B4-B82)*D31,IF((B4-B82+B12-B30)&gt;(B4-B82),(((B4-B82+B12-B31)*D31)+((B4-B82-(B4-B82+B12-B31))*D30)),IF((B4-B82+B12-B29)&gt;(B4-B82),(((B4-B82+B12-B31)*D31)+((C30-B30)*D30)+((B4-B82-(B4-B82+B12-B30))*D29)),((B4-B82+B12-B31)*D31)+((C30-B30)*D30)+((C29-B29)*D29)+((B4-B82-(B4-B82+B12-B29))*D28)))),IF((B4-B82+B12)&gt;B32,IF((B4-B82+B12-B32)&gt;(B4-B82),(B4-B82)*D32,IF((B4-B82+B12-B31)&gt;(B4-B82),(((B4-B82+B12-B32)*D32)+((B4-B82-(B4-B82+B12-B32))*D31)),IF((B4-B82+B12-B30)&gt;(B4-B82),(((B4-B82+B12-B32)*D32)+((C31-B31)*D31)+((B4-B82-(B4-B82+B12-B31))*D30)),IF((B4-B82+B12-B29)&gt;(B4-B82),(((B4-B82+B12-B32)*D32)+((C31-B31)*D31)+((C30-B30)*D30)+((B4-B82-(B4-B82+B12-B30))*D29)),((B4-B82+B12-B32)*D32)+((C31-B31)*D31)+((C30-B30)*D30)+((C29-B29)*D29)+((B4-B82-(B4-B82+B12-B29))*D28))))))))))</f>
        <v>77.774999999999991</v>
      </c>
      <c r="C90" t="s">
        <v>18</v>
      </c>
    </row>
    <row r="91" spans="1:17">
      <c r="B91" s="37">
        <f>-IF(B12&gt;=B34,0,IF(B12&lt;B34,IF((B12+B4-B82)&gt;B34,(B34-B12)*D28,(B4-B82)*D28)))</f>
        <v>0</v>
      </c>
      <c r="C91" t="s">
        <v>40</v>
      </c>
    </row>
    <row r="92" spans="1:17">
      <c r="B92" s="37"/>
      <c r="D92" t="s">
        <v>19</v>
      </c>
      <c r="E92" t="s">
        <v>20</v>
      </c>
    </row>
    <row r="93" spans="1:17">
      <c r="B93" s="12">
        <f>IF(AND((B4-B82+B12)&gt;=E93,(B4-B82+B12)&lt;=C29),IF((B4-B82+B12-E93)&gt;(B4-B82),(B4-B82)*D29*D93,(B4-B82+B12-E93)*D29*D93),IF(AND((B4-B82+B12)&gt;B30,(B4-B82+B12)&lt;=C30),IF((B4-B82+B12-B30)&gt;(B4-B82),(B4-B82)*D30*D93,IF((B4-B82+B12-E93)&gt;(B4-B82),(((B4-B82+B12-B30)*D30*D93)+((B4-B82-(B4-B82+B12-B30))*D29*D93)),((B4-B82+B12-B30)*D30*D93)+((B30-E93)*D29*D93))),IF(AND((B4-B82+B12)&gt;B31,(B4-B82+B12)&lt;=C31),IF((B4-B82+B12-B31)&gt;(B4-B82),(B4-B82)*D31*D93,IF((B4-B82+B12-B30)&gt;(B4-B82),(((B4-B82+B12-B31)*D31*D93)+((B4-B82-(B4-B82+B12-B31))*D30*D93)),IF((B4-B82+B12-E93)&gt;(B4-B82),(((B4-B82+B12-B31)*D31*D93)+(((C30-B30)*D30*D93))+((B4-B82-(B4-B82+B12-B30))*D29*D93)),(((B4-B82+B12-B31)*D31*D93)+(((C30-B30)*D30*D93))+((C29-E93)*D29*D93))))),IF((B4-B82+B12)&gt;B32,IF((B4-B82+B12-B32)&gt;(B4-B82),(B4-B82)*D32*D93,IF((B4-B82+B12-B31)&gt;(B4-B82),(((B4-B82+B12-B32)*D32*D93)+((B4-B82-(B4-B82+B12-B32))*D31*D93)),IF((B4-B82+B12-B30)&gt;(B4-B82),(((B4-B82+B12-B32)*D32*D93)+(((C31-B31)*D31*D93))+((B4-B82-(B4-B82+B12-B31))*D30*D93)),IF((B4-B82+B12-E93)&gt;(B4-B82),(((B4-B82+B12-B32)*D32*D93)+(((C31-B31)*D31*D93))+(((C30-B30)*D30*D93))+((B4-B82-(B4-B82+B12-B30))*D29*D93)),(((B4-B82+B12-B32)*D32*D93)+(((C31-B31)*D31*D93))+(((C30-B30)*D30*D93))+((C29-E93)*D29*D93))))))))))</f>
        <v>9.4062000000000001</v>
      </c>
      <c r="C93" t="s">
        <v>21</v>
      </c>
      <c r="D93" s="8">
        <v>0.2</v>
      </c>
      <c r="E93" s="13">
        <v>73145</v>
      </c>
      <c r="F93" s="13"/>
      <c r="G93" s="13"/>
      <c r="K93" s="4"/>
      <c r="L93" s="4"/>
      <c r="P93" s="18"/>
      <c r="Q93" s="15"/>
    </row>
    <row r="94" spans="1:17">
      <c r="B94" s="12" t="b">
        <f>IF(AND((B4-B82+B12)&gt;=E94,(B4-B82+B12)&lt;=C30),IF((B4-B82+B12-E94)&gt;(B4-B82),(B4-B82)*D30*D94,(B4-B82+B12-E94)*D30*D94),IF(AND((B4-B82+B12)&gt;B31,(B4-B82+B12)&lt;=C31),IF((B4-B82+B12-B31)&gt;(B4-B82),(B4-B82)*D31*D94,IF((B4-B82+B12-E94)&gt;(B4-B82),(((B4-B82+B12-B31)*D31*D94)+((B4-B82-(B4-B82+B12-B31))*D30*D94)),((B4-B82+B12-B31)*D31*D94)+((C30-E94)*D30*D94))),IF((B4-B82+B12)&gt;B32,IF((B4-B82+B12-B32)&gt;(B4-B82),(B4-B82)*D32*D94,IF((B4-B82+B12-B31)&gt;(B4-B82),(((B4-B82+B12-B32)*D32*D94)+((B4-B82-(B4-B82+B12-B32))*D31*D94)),IF((B4-B82+B12-E94)&gt;(B4-B82),(((B4-B82+B12-B32)*D32*D94)+(((C31-B31)*D31*D94))+((B4-B82-(B4-B82+B12-B31))*D30*D94)),((B4-B82+B12-B32)*D32*D94)+((C31-B31)*D31*D94)+((C30-E94)*D30*D94)))))))</f>
        <v>0</v>
      </c>
      <c r="C94" t="s">
        <v>21</v>
      </c>
      <c r="D94" s="8">
        <v>0.36</v>
      </c>
      <c r="E94" s="13">
        <v>86176</v>
      </c>
      <c r="F94" s="13"/>
      <c r="K94" s="4"/>
      <c r="L94" s="4"/>
    </row>
    <row r="95" spans="1:17">
      <c r="B95" s="40">
        <f>-B63</f>
        <v>0</v>
      </c>
      <c r="C95" t="s">
        <v>41</v>
      </c>
      <c r="D95" s="8"/>
      <c r="E95" s="13">
        <v>456</v>
      </c>
      <c r="F95" s="48"/>
      <c r="G95" s="48"/>
      <c r="H95" s="48"/>
      <c r="I95" s="49"/>
      <c r="J95" s="49"/>
      <c r="K95" s="50"/>
      <c r="L95" s="50"/>
      <c r="M95" s="49"/>
    </row>
    <row r="96" spans="1:17">
      <c r="B96" s="40">
        <f>Q50</f>
        <v>0</v>
      </c>
      <c r="C96" t="s">
        <v>43</v>
      </c>
      <c r="D96" s="8"/>
      <c r="E96" s="13"/>
      <c r="F96" s="48"/>
      <c r="G96" s="49"/>
      <c r="H96" s="48"/>
      <c r="I96" s="48"/>
      <c r="J96" s="51"/>
      <c r="K96" s="50"/>
      <c r="L96" s="50"/>
      <c r="M96" s="49"/>
    </row>
    <row r="97" spans="1:17">
      <c r="B97" s="84">
        <f>B82</f>
        <v>150</v>
      </c>
      <c r="C97" s="85" t="s">
        <v>110</v>
      </c>
      <c r="D97" s="8"/>
      <c r="E97" s="13"/>
      <c r="F97" s="48"/>
      <c r="G97" s="49"/>
      <c r="H97" s="48"/>
      <c r="I97" s="48"/>
      <c r="J97" s="51"/>
      <c r="K97" s="50"/>
      <c r="L97" s="50"/>
      <c r="M97" s="49"/>
    </row>
    <row r="98" spans="1:17">
      <c r="A98" s="10" t="s">
        <v>26</v>
      </c>
      <c r="B98" s="47">
        <f>SUM(B88:B97)</f>
        <v>411.43119999999999</v>
      </c>
      <c r="F98" s="49"/>
      <c r="G98" s="49"/>
      <c r="H98" s="48"/>
      <c r="I98" s="49"/>
      <c r="J98" s="49"/>
      <c r="K98" s="51"/>
      <c r="L98" s="50"/>
      <c r="M98" s="49"/>
    </row>
    <row r="99" spans="1:17">
      <c r="E99" s="18"/>
      <c r="F99" s="51"/>
      <c r="G99" s="49"/>
      <c r="H99" s="48"/>
      <c r="I99" s="51"/>
      <c r="J99" s="51"/>
      <c r="K99" s="49"/>
      <c r="L99" s="49"/>
      <c r="M99" s="49"/>
      <c r="Q99" s="15"/>
    </row>
    <row r="100" spans="1:17">
      <c r="B100" s="13"/>
      <c r="F100" s="49"/>
      <c r="G100" s="49"/>
      <c r="H100" s="48"/>
      <c r="I100" s="49"/>
      <c r="J100" s="49"/>
      <c r="K100" s="49"/>
      <c r="L100" s="49"/>
      <c r="M100" s="49"/>
    </row>
    <row r="101" spans="1:17">
      <c r="A101" s="19" t="s">
        <v>49</v>
      </c>
      <c r="B101" s="13"/>
      <c r="F101" s="49"/>
      <c r="G101" s="49"/>
      <c r="H101" s="48"/>
      <c r="I101" s="48"/>
      <c r="J101" s="51"/>
      <c r="K101" s="49"/>
      <c r="L101" s="49"/>
      <c r="M101" s="49"/>
    </row>
    <row r="102" spans="1:17">
      <c r="A102" t="s">
        <v>129</v>
      </c>
      <c r="B102" s="13">
        <f>SUM(B88:B89)</f>
        <v>174.25</v>
      </c>
      <c r="F102" s="49"/>
      <c r="G102" s="49"/>
      <c r="H102" s="48"/>
      <c r="I102" s="49"/>
      <c r="J102" s="49"/>
      <c r="K102" s="49"/>
      <c r="L102" s="49"/>
      <c r="M102" s="49"/>
    </row>
    <row r="103" spans="1:17">
      <c r="A103" t="s">
        <v>130</v>
      </c>
      <c r="B103" s="83">
        <f>SUM(B90:B96)</f>
        <v>87.18119999999999</v>
      </c>
      <c r="F103" s="49"/>
      <c r="G103" s="49"/>
      <c r="H103" s="48"/>
      <c r="I103" s="51"/>
      <c r="J103" s="51"/>
      <c r="K103" s="49"/>
      <c r="L103" s="49"/>
      <c r="M103" s="49"/>
    </row>
    <row r="104" spans="1:17">
      <c r="A104" s="86" t="s">
        <v>110</v>
      </c>
      <c r="B104" s="87">
        <f>B97</f>
        <v>150</v>
      </c>
      <c r="F104" s="49"/>
      <c r="G104" s="49"/>
      <c r="H104" s="48"/>
      <c r="I104" s="51"/>
      <c r="J104" s="51"/>
      <c r="K104" s="49"/>
      <c r="L104" s="49"/>
      <c r="M104" s="49"/>
    </row>
    <row r="105" spans="1:17">
      <c r="B105" s="13">
        <f>SUM(B102:B104)</f>
        <v>411.43119999999999</v>
      </c>
      <c r="F105" s="49"/>
      <c r="G105" s="49"/>
      <c r="H105" s="48"/>
      <c r="I105" s="49"/>
      <c r="J105" s="49"/>
      <c r="K105" s="49"/>
      <c r="L105" s="49"/>
      <c r="M105" s="49"/>
    </row>
    <row r="106" spans="1:17">
      <c r="B106" s="13"/>
      <c r="F106" s="49"/>
      <c r="G106" s="49"/>
      <c r="H106" s="48"/>
      <c r="I106" s="48"/>
      <c r="J106" s="51"/>
      <c r="K106" s="49"/>
      <c r="L106" s="49"/>
      <c r="M106" s="49"/>
    </row>
    <row r="107" spans="1:17">
      <c r="B107" s="13"/>
      <c r="F107" s="49"/>
      <c r="G107" s="49"/>
      <c r="H107" s="48"/>
      <c r="I107" s="49"/>
      <c r="J107" s="49"/>
      <c r="K107" s="49"/>
      <c r="L107" s="49"/>
      <c r="M107" s="49"/>
    </row>
    <row r="108" spans="1:17">
      <c r="B108" s="13"/>
      <c r="F108" s="49"/>
      <c r="G108" s="49"/>
      <c r="H108" s="48"/>
      <c r="I108" s="51"/>
      <c r="J108" s="51"/>
      <c r="K108" s="49"/>
      <c r="L108" s="49"/>
      <c r="M108" s="49"/>
    </row>
    <row r="109" spans="1:17">
      <c r="B109" s="13"/>
      <c r="F109" s="49"/>
      <c r="G109" s="49"/>
      <c r="H109" s="48"/>
      <c r="I109" s="49"/>
      <c r="J109" s="49"/>
      <c r="K109" s="49"/>
      <c r="L109" s="49"/>
      <c r="M109" s="49"/>
    </row>
    <row r="110" spans="1:17">
      <c r="B110" s="15"/>
      <c r="F110" s="49"/>
      <c r="G110" s="49"/>
      <c r="H110" s="52"/>
      <c r="I110" s="49"/>
      <c r="J110" s="49"/>
      <c r="K110" s="49"/>
      <c r="L110" s="49"/>
      <c r="M110" s="49"/>
    </row>
    <row r="111" spans="1:17">
      <c r="F111" s="49"/>
      <c r="G111" s="49"/>
      <c r="H111" s="48"/>
      <c r="I111" s="49"/>
      <c r="J111" s="49"/>
      <c r="K111" s="49"/>
      <c r="L111" s="49"/>
      <c r="M111" s="49"/>
    </row>
    <row r="112" spans="1:17">
      <c r="F112" s="49"/>
      <c r="G112" s="49"/>
      <c r="H112" s="48"/>
      <c r="I112" s="50"/>
      <c r="J112" s="50"/>
      <c r="K112" s="49"/>
      <c r="L112" s="49"/>
      <c r="M112" s="49"/>
    </row>
    <row r="113" spans="6:13">
      <c r="F113" s="49"/>
      <c r="G113" s="49"/>
      <c r="H113" s="48"/>
      <c r="I113" s="49"/>
      <c r="J113" s="49"/>
      <c r="K113" s="49"/>
      <c r="L113" s="49"/>
      <c r="M113" s="49"/>
    </row>
    <row r="114" spans="6:13">
      <c r="H114" s="12"/>
    </row>
    <row r="116" spans="6:13">
      <c r="H116" s="41"/>
      <c r="M116" s="22"/>
    </row>
  </sheetData>
  <dataValidations disablePrompts="1" count="1">
    <dataValidation type="list" allowBlank="1" showInputMessage="1" showErrorMessage="1" sqref="B8">
      <formula1>$H$1:$H$13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8000 8000</cp:lastModifiedBy>
  <dcterms:created xsi:type="dcterms:W3CDTF">2016-07-05T04:18:43Z</dcterms:created>
  <dcterms:modified xsi:type="dcterms:W3CDTF">2016-12-05T10:49:49Z</dcterms:modified>
</cp:coreProperties>
</file>