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Yukon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4" l="1"/>
  <c r="B31" i="24"/>
  <c r="B30" i="24"/>
  <c r="B29" i="24"/>
  <c r="B22" i="24"/>
  <c r="B21" i="24"/>
  <c r="B20" i="24"/>
  <c r="B19" i="24"/>
  <c r="B36" i="19"/>
  <c r="B35" i="19"/>
  <c r="B34" i="19"/>
  <c r="B33" i="19"/>
  <c r="B26" i="19"/>
  <c r="B25" i="19"/>
  <c r="B24" i="19"/>
  <c r="B23" i="19"/>
  <c r="B32" i="3"/>
  <c r="B31" i="3"/>
  <c r="B30" i="3"/>
  <c r="B29" i="3"/>
  <c r="B22" i="3"/>
  <c r="B21" i="3"/>
  <c r="B20" i="3"/>
  <c r="B19" i="3"/>
  <c r="B33" i="1"/>
  <c r="B32" i="1"/>
  <c r="B31" i="1"/>
  <c r="B30" i="1"/>
  <c r="B23" i="1"/>
  <c r="B22" i="1"/>
  <c r="B21" i="1"/>
  <c r="B20" i="1"/>
  <c r="B52" i="27" l="1"/>
  <c r="B51" i="27"/>
  <c r="B50" i="27"/>
  <c r="B42" i="27"/>
  <c r="B41" i="27"/>
  <c r="B32" i="27"/>
  <c r="B31" i="27"/>
  <c r="B30" i="27"/>
  <c r="B29" i="27"/>
  <c r="B22" i="27"/>
  <c r="B21" i="27"/>
  <c r="B20" i="27"/>
  <c r="B19" i="27"/>
  <c r="B49" i="27" s="1"/>
  <c r="B59" i="27" l="1"/>
  <c r="B43" i="27"/>
  <c r="B53" i="27" s="1"/>
  <c r="B60" i="27" s="1"/>
  <c r="B58" i="27"/>
  <c r="B54" i="27" l="1"/>
  <c r="B61" i="27"/>
  <c r="I47" i="24"/>
  <c r="I70" i="19"/>
  <c r="I71" i="24" l="1"/>
  <c r="I94" i="19"/>
  <c r="J49" i="19"/>
  <c r="G43" i="19"/>
  <c r="F44" i="19" s="1"/>
  <c r="H43" i="19"/>
  <c r="G44" i="19"/>
  <c r="F45" i="19" s="1"/>
  <c r="H44" i="19"/>
  <c r="G45" i="19"/>
  <c r="H45" i="19"/>
  <c r="G46" i="19"/>
  <c r="F47" i="19" s="1"/>
  <c r="H46" i="19"/>
  <c r="H47" i="19"/>
  <c r="I49" i="19"/>
  <c r="I44" i="19" l="1"/>
  <c r="I45" i="19" s="1"/>
  <c r="I46" i="19" s="1"/>
  <c r="F46" i="19"/>
  <c r="I47" i="19" l="1"/>
  <c r="B58" i="24" l="1"/>
  <c r="B42" i="24"/>
  <c r="B87" i="24"/>
  <c r="B84" i="24"/>
  <c r="H71" i="24"/>
  <c r="G69" i="24"/>
  <c r="G68" i="24"/>
  <c r="F68" i="24"/>
  <c r="G67" i="24"/>
  <c r="F67" i="24"/>
  <c r="E68" i="24" s="1"/>
  <c r="G66" i="24"/>
  <c r="F66" i="24"/>
  <c r="E67" i="24" s="1"/>
  <c r="G65" i="24"/>
  <c r="F65" i="24"/>
  <c r="E66" i="24" s="1"/>
  <c r="B48" i="24"/>
  <c r="H47" i="24"/>
  <c r="B47" i="24"/>
  <c r="G45" i="24"/>
  <c r="G44" i="24"/>
  <c r="F44" i="24"/>
  <c r="E45" i="24" s="1"/>
  <c r="G43" i="24"/>
  <c r="F43" i="24"/>
  <c r="E44" i="24" s="1"/>
  <c r="G42" i="24"/>
  <c r="F42" i="24"/>
  <c r="E43" i="24" s="1"/>
  <c r="G41" i="24"/>
  <c r="F41" i="24"/>
  <c r="E42" i="24" s="1"/>
  <c r="B41" i="24"/>
  <c r="B40" i="24"/>
  <c r="E69" i="24" l="1"/>
  <c r="H66" i="24"/>
  <c r="H67" i="24" s="1"/>
  <c r="H68" i="24" s="1"/>
  <c r="H69" i="24" s="1"/>
  <c r="H42" i="24"/>
  <c r="H43" i="24" s="1"/>
  <c r="H44" i="24" s="1"/>
  <c r="H45" i="24" s="1"/>
  <c r="B72" i="24"/>
  <c r="H94" i="19" l="1"/>
  <c r="H70" i="19"/>
  <c r="B81" i="19"/>
  <c r="B65" i="19"/>
  <c r="B39" i="3" l="1"/>
  <c r="B41" i="3" l="1"/>
  <c r="G92" i="19" l="1"/>
  <c r="G91" i="19"/>
  <c r="G90" i="19"/>
  <c r="G89" i="19"/>
  <c r="G88" i="19"/>
  <c r="G68" i="19"/>
  <c r="G67" i="19"/>
  <c r="G66" i="19"/>
  <c r="G65" i="19"/>
  <c r="G64" i="19"/>
  <c r="F67" i="19"/>
  <c r="E68" i="19" s="1"/>
  <c r="F66" i="19"/>
  <c r="F65" i="19"/>
  <c r="F91" i="19"/>
  <c r="E92" i="19" s="1"/>
  <c r="F90" i="19"/>
  <c r="E91" i="19" s="1"/>
  <c r="F89" i="19"/>
  <c r="F88" i="19"/>
  <c r="F64" i="19"/>
  <c r="E90" i="19" l="1"/>
  <c r="E67" i="19"/>
  <c r="E65" i="19"/>
  <c r="H65" i="19"/>
  <c r="E89" i="19"/>
  <c r="H89" i="19"/>
  <c r="E66" i="19"/>
  <c r="B71" i="19"/>
  <c r="H90" i="19" l="1"/>
  <c r="H91" i="19" s="1"/>
  <c r="H92" i="19" s="1"/>
  <c r="H66" i="19"/>
  <c r="H67" i="19" s="1"/>
  <c r="H68" i="19" s="1"/>
  <c r="B95" i="19" l="1"/>
  <c r="B64" i="19"/>
  <c r="B63" i="19"/>
  <c r="B70" i="19" l="1"/>
  <c r="B47" i="19" l="1"/>
  <c r="B45" i="19"/>
  <c r="B46" i="19"/>
  <c r="B48" i="19" l="1"/>
  <c r="B44" i="1" l="1"/>
  <c r="B42" i="1"/>
  <c r="B41" i="1"/>
  <c r="B43" i="1"/>
  <c r="B51" i="1" l="1"/>
  <c r="B50" i="1"/>
  <c r="B52" i="1" s="1"/>
  <c r="B42" i="3"/>
  <c r="B48" i="3" s="1"/>
  <c r="B45" i="1" l="1"/>
  <c r="B40" i="3" l="1"/>
  <c r="B43" i="3" s="1"/>
  <c r="B47" i="3" l="1"/>
  <c r="B49" i="3" l="1"/>
  <c r="B107" i="19" l="1"/>
  <c r="B111" i="19"/>
  <c r="J43" i="19"/>
  <c r="K43" i="19"/>
  <c r="J44" i="19"/>
  <c r="K44" i="19"/>
  <c r="J45" i="19"/>
  <c r="K45" i="19"/>
  <c r="J46" i="19"/>
  <c r="K46" i="19"/>
  <c r="J47" i="19"/>
  <c r="K47" i="19"/>
  <c r="K48" i="19"/>
  <c r="K49" i="19"/>
  <c r="K50" i="19"/>
  <c r="B51" i="19"/>
  <c r="K51" i="19"/>
  <c r="B52" i="19"/>
  <c r="K52" i="19"/>
  <c r="B53" i="19"/>
  <c r="K53" i="19"/>
  <c r="K54" i="19"/>
  <c r="B56" i="19"/>
  <c r="B57" i="19"/>
  <c r="B58" i="19"/>
  <c r="I64" i="19"/>
  <c r="J64" i="19"/>
  <c r="I65" i="19"/>
  <c r="J65" i="19"/>
  <c r="B66" i="19"/>
  <c r="I66" i="19"/>
  <c r="J66" i="19"/>
  <c r="B67" i="19"/>
  <c r="I67" i="19"/>
  <c r="J67" i="19"/>
  <c r="B68" i="19"/>
  <c r="I68" i="19"/>
  <c r="J68" i="19"/>
  <c r="J69" i="19"/>
  <c r="J70" i="19"/>
  <c r="J71" i="19"/>
  <c r="B72" i="19"/>
  <c r="B73" i="19"/>
  <c r="B74" i="19"/>
  <c r="B76" i="19"/>
  <c r="B78" i="19"/>
  <c r="B80" i="19"/>
  <c r="B83" i="19"/>
  <c r="B87" i="19"/>
  <c r="B88" i="19"/>
  <c r="I88" i="19"/>
  <c r="J88" i="19"/>
  <c r="B89" i="19"/>
  <c r="I89" i="19"/>
  <c r="J89" i="19"/>
  <c r="I90" i="19"/>
  <c r="J90" i="19"/>
  <c r="B91" i="19"/>
  <c r="I91" i="19"/>
  <c r="J91" i="19"/>
  <c r="I92" i="19"/>
  <c r="J92" i="19"/>
  <c r="B93" i="19"/>
  <c r="J93" i="19"/>
  <c r="J94" i="19"/>
  <c r="J95" i="19"/>
  <c r="B96" i="19"/>
  <c r="B97" i="19"/>
  <c r="B99" i="19"/>
  <c r="B101" i="19"/>
  <c r="B106" i="19"/>
  <c r="B108" i="19"/>
  <c r="B109" i="19"/>
  <c r="B110" i="19"/>
  <c r="B112" i="19"/>
  <c r="B113" i="19"/>
  <c r="B114" i="19"/>
  <c r="B118" i="19"/>
  <c r="B119" i="19"/>
  <c r="B120" i="19"/>
  <c r="I41" i="24"/>
  <c r="J41" i="24"/>
  <c r="I42" i="24"/>
  <c r="J42" i="24"/>
  <c r="B43" i="24"/>
  <c r="I43" i="24"/>
  <c r="J43" i="24"/>
  <c r="B44" i="24"/>
  <c r="I44" i="24"/>
  <c r="J44" i="24"/>
  <c r="B45" i="24"/>
  <c r="I45" i="24"/>
  <c r="J45" i="24"/>
  <c r="J46" i="24"/>
  <c r="J47" i="24"/>
  <c r="J48" i="24"/>
  <c r="B49" i="24"/>
  <c r="B50" i="24"/>
  <c r="B51" i="24"/>
  <c r="B53" i="24"/>
  <c r="B55" i="24"/>
  <c r="B57" i="24"/>
  <c r="B60" i="24"/>
  <c r="B64" i="24"/>
  <c r="B65" i="24"/>
  <c r="I65" i="24"/>
  <c r="J65" i="24"/>
  <c r="B66" i="24"/>
  <c r="I66" i="24"/>
  <c r="J66" i="24"/>
  <c r="I67" i="24"/>
  <c r="J67" i="24"/>
  <c r="B68" i="24"/>
  <c r="I68" i="24"/>
  <c r="J68" i="24"/>
  <c r="I69" i="24"/>
  <c r="J69" i="24"/>
  <c r="B70" i="24"/>
  <c r="J70" i="24"/>
  <c r="J71" i="24"/>
  <c r="J72" i="24"/>
  <c r="B73" i="24"/>
  <c r="B74" i="24"/>
  <c r="B76" i="24"/>
  <c r="B78" i="24"/>
  <c r="B83" i="24"/>
  <c r="B85" i="24"/>
  <c r="B86" i="24"/>
  <c r="B88" i="24"/>
  <c r="B89" i="24"/>
  <c r="B93" i="24"/>
  <c r="B94" i="24"/>
  <c r="B95" i="24"/>
</calcChain>
</file>

<file path=xl/sharedStrings.xml><?xml version="1.0" encoding="utf-8"?>
<sst xmlns="http://schemas.openxmlformats.org/spreadsheetml/2006/main" count="369" uniqueCount="109">
  <si>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</si>
  <si>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</si>
  <si>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</si>
  <si>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</si>
  <si>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</si>
  <si>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</si>
  <si>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</si>
  <si>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</si>
  <si>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</si>
  <si>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</si>
  <si>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</si>
  <si>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</si>
  <si>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</si>
  <si>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</si>
  <si>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</si>
  <si>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</si>
  <si>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</si>
  <si>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Total Tax Savings</t>
  </si>
  <si>
    <t>Interest income</t>
  </si>
  <si>
    <t>Taxes Payable</t>
  </si>
  <si>
    <t>2016 rates</t>
  </si>
  <si>
    <t>Additional Taxes Payable</t>
  </si>
  <si>
    <t>Tax tips:</t>
  </si>
  <si>
    <t>Net income</t>
  </si>
  <si>
    <t>Yes</t>
  </si>
  <si>
    <t>No</t>
  </si>
  <si>
    <t>If an individual is a first-time home buyer, consider withdrawing funds from RRSP under the Home Buyers' Plan (HBP) of up to $25,000 given the funds are tax-deferred. The funds shall remain in the RRSP for at least 90 days before withdrawing under the HBP to avoid adverse tax consequences.</t>
  </si>
  <si>
    <t>Dividend Income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</si>
  <si>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</si>
  <si>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</si>
  <si>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</si>
  <si>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</si>
  <si>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</si>
  <si>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</si>
  <si>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</si>
  <si>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</si>
  <si>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</si>
  <si>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</si>
  <si>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</si>
  <si>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</si>
  <si>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</si>
  <si>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</si>
  <si>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</si>
  <si>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</si>
  <si>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</si>
  <si>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</si>
  <si>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</si>
  <si>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</si>
  <si>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</si>
  <si>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</si>
  <si>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</si>
  <si>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</si>
  <si>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</si>
  <si>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</si>
  <si>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</si>
  <si>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</si>
  <si>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</si>
  <si>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</si>
  <si>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</si>
  <si>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</si>
  <si>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</si>
  <si>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</si>
  <si>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</si>
  <si>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</si>
  <si>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</si>
  <si>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</si>
  <si>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</si>
  <si>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</si>
  <si>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</si>
  <si>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</si>
  <si>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</si>
  <si>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</si>
  <si>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</si>
  <si>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</si>
  <si>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</si>
  <si>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</si>
  <si>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</si>
  <si>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</si>
  <si>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</si>
  <si>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</si>
  <si>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</si>
  <si>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</si>
  <si>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</si>
  <si>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</si>
  <si>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</si>
  <si>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</si>
  <si>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</si>
  <si>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</si>
  <si>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</si>
  <si>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</si>
  <si>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</si>
  <si>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</si>
  <si>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Yukon</t>
  </si>
  <si>
    <t>2016 YT rates</t>
  </si>
  <si>
    <t>YT dividend tax credit</t>
  </si>
  <si>
    <t>YT foreign tax credit</t>
  </si>
  <si>
    <t>YT Dividend Tax Credit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</si>
  <si>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</si>
  <si>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</si>
  <si>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</si>
  <si>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</si>
  <si>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</si>
  <si>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</si>
  <si>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</si>
  <si>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</si>
  <si>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Additional Federal Tax Savings</t>
  </si>
  <si>
    <t>Additional YT Tax Savings</t>
  </si>
  <si>
    <t>Additional Federal Taxes</t>
  </si>
  <si>
    <t>Additional YT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</si>
</sst>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164" fontId="0" fillId="0" borderId="0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9" fontId="0" fillId="0" borderId="0" xfId="2" applyFont="1"/>
    <xf numFmtId="0" fontId="0" fillId="0" borderId="0" xfId="0" applyFont="1" applyAlignment="1">
      <alignment wrapText="1"/>
    </xf>
    <xf numFmtId="3" fontId="0" fillId="0" borderId="1" xfId="0" applyNumberFormat="1" applyBorder="1"/>
    <xf numFmtId="0" fontId="4" fillId="0" borderId="0" xfId="0" applyFont="1" applyFill="1"/>
    <xf numFmtId="10" fontId="5" fillId="0" borderId="0" xfId="2" applyNumberFormat="1" applyFont="1" applyFill="1"/>
    <xf numFmtId="3" fontId="5" fillId="0" borderId="0" xfId="0" applyNumberFormat="1" applyFont="1" applyFill="1" applyBorder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A7" zoomScale="85" zoomScaleNormal="85" workbookViewId="0">
      <selection activeCell="B18" sqref="B18:D35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20" x14ac:dyDescent="0.3">
      <c r="A2" s="2" t="s">
        <v>1</v>
      </c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0" x14ac:dyDescent="0.3">
      <c r="A3" s="3" t="s">
        <v>2</v>
      </c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20" x14ac:dyDescent="0.3">
      <c r="A4" t="s">
        <v>3</v>
      </c>
      <c r="B4" s="1">
        <v>1000</v>
      </c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20" x14ac:dyDescent="0.3"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20" x14ac:dyDescent="0.3">
      <c r="E6" s="45"/>
      <c r="F6" s="45"/>
      <c r="G6" s="45"/>
      <c r="H6" s="45"/>
      <c r="I6" s="45"/>
      <c r="J6" s="45"/>
      <c r="K6" s="45"/>
      <c r="L6" s="45"/>
      <c r="M6" s="45"/>
      <c r="N6" s="45"/>
      <c r="O6" s="21"/>
      <c r="P6" s="51"/>
      <c r="Q6" s="21"/>
      <c r="R6" s="21"/>
      <c r="S6" s="21"/>
      <c r="T6" s="21"/>
    </row>
    <row r="7" spans="1:20" x14ac:dyDescent="0.3">
      <c r="A7" s="2" t="s">
        <v>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92</v>
      </c>
      <c r="E8" s="45"/>
      <c r="F8" s="45"/>
      <c r="G8" s="45"/>
      <c r="H8" s="45"/>
      <c r="I8" s="45"/>
      <c r="J8" s="45"/>
      <c r="K8" s="45"/>
      <c r="L8" s="46"/>
      <c r="M8" s="46"/>
      <c r="N8" s="46"/>
      <c r="O8" s="50"/>
      <c r="P8" s="50"/>
      <c r="Q8" s="50"/>
      <c r="R8" s="50"/>
      <c r="S8" s="50"/>
      <c r="T8" s="50"/>
    </row>
    <row r="9" spans="1:20" x14ac:dyDescent="0.3">
      <c r="E9" s="45"/>
      <c r="F9" s="44"/>
      <c r="G9" s="44"/>
      <c r="H9" s="44"/>
      <c r="I9" s="45"/>
      <c r="J9" s="45"/>
      <c r="K9" s="45"/>
      <c r="L9" s="45"/>
      <c r="M9" s="45"/>
      <c r="N9" s="45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0"/>
    </row>
    <row r="14" spans="1:20" x14ac:dyDescent="0.3">
      <c r="D14" s="4"/>
    </row>
    <row r="16" spans="1:20" x14ac:dyDescent="0.3">
      <c r="A16" s="2" t="s">
        <v>7</v>
      </c>
    </row>
    <row r="17" spans="1:10" x14ac:dyDescent="0.3">
      <c r="A17" s="3" t="s">
        <v>8</v>
      </c>
    </row>
    <row r="18" spans="1:10" x14ac:dyDescent="0.3">
      <c r="B18" s="89" t="s">
        <v>20</v>
      </c>
      <c r="C18" s="21"/>
      <c r="D18" s="21"/>
      <c r="F18" s="89"/>
      <c r="G18" s="21"/>
      <c r="H18" s="21"/>
      <c r="I18" s="21"/>
      <c r="J18" s="21"/>
    </row>
    <row r="19" spans="1:10" ht="15.6" x14ac:dyDescent="0.3">
      <c r="A19" t="s">
        <v>9</v>
      </c>
      <c r="B19" s="50">
        <v>0</v>
      </c>
      <c r="C19" s="26">
        <v>45282</v>
      </c>
      <c r="D19" s="90">
        <v>0.15</v>
      </c>
      <c r="F19" s="50"/>
      <c r="G19" s="26"/>
      <c r="H19" s="90"/>
      <c r="I19" s="21"/>
      <c r="J19" s="21"/>
    </row>
    <row r="20" spans="1:10" ht="15.6" x14ac:dyDescent="0.3">
      <c r="A20" t="s">
        <v>10</v>
      </c>
      <c r="B20" s="26">
        <f>C19</f>
        <v>45282</v>
      </c>
      <c r="C20" s="26">
        <v>90563</v>
      </c>
      <c r="D20" s="64">
        <v>0.20499999999999999</v>
      </c>
      <c r="F20" s="26"/>
      <c r="G20" s="26"/>
      <c r="H20" s="64"/>
      <c r="I20" s="21"/>
      <c r="J20" s="21"/>
    </row>
    <row r="21" spans="1:10" ht="15.6" x14ac:dyDescent="0.3">
      <c r="A21" t="s">
        <v>10</v>
      </c>
      <c r="B21" s="26">
        <f>C20</f>
        <v>90563</v>
      </c>
      <c r="C21" s="26">
        <v>140388</v>
      </c>
      <c r="D21" s="64">
        <v>0.26</v>
      </c>
      <c r="F21" s="26"/>
      <c r="G21" s="26"/>
      <c r="H21" s="64"/>
      <c r="I21" s="21"/>
      <c r="J21" s="21"/>
    </row>
    <row r="22" spans="1:10" ht="15.6" x14ac:dyDescent="0.3">
      <c r="A22" t="s">
        <v>10</v>
      </c>
      <c r="B22" s="26">
        <f>C21</f>
        <v>140388</v>
      </c>
      <c r="C22" s="26">
        <v>200000</v>
      </c>
      <c r="D22" s="64">
        <v>0.28999999999999998</v>
      </c>
      <c r="F22" s="26"/>
      <c r="G22" s="26"/>
      <c r="H22" s="64"/>
      <c r="I22" s="21"/>
      <c r="J22" s="21"/>
    </row>
    <row r="23" spans="1:10" ht="15.6" x14ac:dyDescent="0.3">
      <c r="B23" s="26">
        <f>C22</f>
        <v>200000</v>
      </c>
      <c r="C23" s="21"/>
      <c r="D23" s="64">
        <v>0.33</v>
      </c>
      <c r="F23" s="26"/>
      <c r="G23" s="21"/>
      <c r="H23" s="64"/>
      <c r="I23" s="21"/>
      <c r="J23" s="21"/>
    </row>
    <row r="24" spans="1:10" x14ac:dyDescent="0.3">
      <c r="B24" s="21"/>
      <c r="C24" s="89"/>
      <c r="D24" s="21"/>
      <c r="F24" s="50"/>
      <c r="G24" s="21"/>
      <c r="H24" s="21"/>
      <c r="I24" s="21"/>
      <c r="J24" s="21"/>
    </row>
    <row r="25" spans="1:10" ht="15.6" x14ac:dyDescent="0.3">
      <c r="A25" t="s">
        <v>37</v>
      </c>
      <c r="B25" s="26">
        <v>11474</v>
      </c>
      <c r="C25" s="26"/>
      <c r="D25" s="21"/>
      <c r="F25" s="21"/>
      <c r="G25" s="50"/>
      <c r="H25" s="12"/>
      <c r="I25" s="21"/>
      <c r="J25" s="21"/>
    </row>
    <row r="26" spans="1:10" x14ac:dyDescent="0.3">
      <c r="B26" s="21"/>
      <c r="C26" s="21"/>
      <c r="D26" s="21"/>
      <c r="F26" s="21"/>
      <c r="G26" s="21"/>
      <c r="H26" s="21"/>
      <c r="I26" s="21"/>
      <c r="J26" s="21"/>
    </row>
    <row r="27" spans="1:10" x14ac:dyDescent="0.3">
      <c r="A27" s="3" t="s">
        <v>11</v>
      </c>
      <c r="B27" s="21"/>
      <c r="C27" s="21"/>
      <c r="D27" s="21"/>
      <c r="F27" s="21"/>
      <c r="G27" s="21"/>
      <c r="H27" s="21"/>
      <c r="I27" s="21"/>
      <c r="J27" s="21"/>
    </row>
    <row r="28" spans="1:10" x14ac:dyDescent="0.3">
      <c r="A28" s="10" t="s">
        <v>92</v>
      </c>
      <c r="B28" s="89" t="s">
        <v>20</v>
      </c>
      <c r="C28" s="21"/>
      <c r="D28" s="21"/>
      <c r="F28" s="89"/>
      <c r="G28" s="21"/>
      <c r="H28" s="21"/>
      <c r="I28" s="21"/>
      <c r="J28" s="21"/>
    </row>
    <row r="29" spans="1:10" ht="15.6" x14ac:dyDescent="0.3">
      <c r="A29" t="s">
        <v>9</v>
      </c>
      <c r="B29" s="21">
        <v>0</v>
      </c>
      <c r="C29" s="26">
        <v>45282</v>
      </c>
      <c r="D29" s="64">
        <v>6.4000000000000001E-2</v>
      </c>
      <c r="F29" s="21"/>
      <c r="G29" s="26"/>
      <c r="H29" s="64"/>
      <c r="I29" s="21"/>
      <c r="J29" s="21"/>
    </row>
    <row r="30" spans="1:10" ht="15.6" x14ac:dyDescent="0.3">
      <c r="A30" t="s">
        <v>10</v>
      </c>
      <c r="B30" s="26">
        <f>C29</f>
        <v>45282</v>
      </c>
      <c r="C30" s="26">
        <v>90563</v>
      </c>
      <c r="D30" s="64">
        <v>0.09</v>
      </c>
      <c r="F30" s="26"/>
      <c r="G30" s="26"/>
      <c r="H30" s="64"/>
      <c r="I30" s="21"/>
      <c r="J30" s="21"/>
    </row>
    <row r="31" spans="1:10" ht="15.6" x14ac:dyDescent="0.3">
      <c r="A31" t="s">
        <v>10</v>
      </c>
      <c r="B31" s="26">
        <f>C30</f>
        <v>90563</v>
      </c>
      <c r="C31" s="26">
        <v>140388</v>
      </c>
      <c r="D31" s="64">
        <v>0.109</v>
      </c>
      <c r="F31" s="26"/>
      <c r="G31" s="26"/>
      <c r="H31" s="64"/>
      <c r="I31" s="21"/>
      <c r="J31" s="21"/>
    </row>
    <row r="32" spans="1:10" ht="15.6" x14ac:dyDescent="0.3">
      <c r="A32" t="s">
        <v>10</v>
      </c>
      <c r="B32" s="26">
        <f>C31</f>
        <v>140388</v>
      </c>
      <c r="C32" s="26">
        <v>500000</v>
      </c>
      <c r="D32" s="64">
        <v>0.128</v>
      </c>
      <c r="F32" s="26"/>
      <c r="G32" s="26"/>
      <c r="H32" s="64"/>
      <c r="I32" s="21"/>
      <c r="J32" s="21"/>
    </row>
    <row r="33" spans="1:14" ht="15.6" x14ac:dyDescent="0.3">
      <c r="B33" s="26">
        <f>C32</f>
        <v>500000</v>
      </c>
      <c r="C33" s="21"/>
      <c r="D33" s="64">
        <v>0.15</v>
      </c>
      <c r="F33" s="26"/>
      <c r="G33" s="21"/>
      <c r="H33" s="64"/>
      <c r="I33" s="21"/>
      <c r="J33" s="21"/>
    </row>
    <row r="34" spans="1:14" x14ac:dyDescent="0.3">
      <c r="B34" s="21"/>
      <c r="C34" s="89"/>
      <c r="D34" s="21"/>
      <c r="F34" s="21"/>
      <c r="G34" s="21"/>
      <c r="H34" s="43"/>
      <c r="I34" s="21"/>
      <c r="J34" s="21"/>
    </row>
    <row r="35" spans="1:14" ht="15.6" x14ac:dyDescent="0.3">
      <c r="A35" t="s">
        <v>34</v>
      </c>
      <c r="B35" s="26">
        <v>11474</v>
      </c>
      <c r="C35" s="26"/>
      <c r="D35" s="21"/>
      <c r="F35" s="21"/>
      <c r="G35" s="21"/>
      <c r="H35" s="43"/>
      <c r="I35" s="50"/>
      <c r="J35" s="50"/>
      <c r="K35" s="4"/>
      <c r="L35" s="4"/>
      <c r="N35" s="4"/>
    </row>
    <row r="36" spans="1:14" x14ac:dyDescent="0.3">
      <c r="B36" s="4"/>
      <c r="C36" s="4"/>
      <c r="D36" t="s">
        <v>36</v>
      </c>
      <c r="E36" s="13"/>
      <c r="F36" s="42"/>
      <c r="H36" s="16"/>
    </row>
    <row r="37" spans="1:14" x14ac:dyDescent="0.3">
      <c r="B37" s="4"/>
      <c r="C37" s="4"/>
      <c r="E37" s="13"/>
      <c r="F37" s="42"/>
      <c r="H37" s="16"/>
    </row>
    <row r="38" spans="1:14" x14ac:dyDescent="0.3">
      <c r="A38" s="2" t="s">
        <v>12</v>
      </c>
      <c r="H38" s="18"/>
    </row>
    <row r="39" spans="1:14" x14ac:dyDescent="0.3">
      <c r="B39" s="11"/>
      <c r="C39" t="s">
        <v>13</v>
      </c>
      <c r="I39" s="18"/>
      <c r="J39" s="4"/>
      <c r="K39" s="13"/>
    </row>
    <row r="41" spans="1:14" x14ac:dyDescent="0.3">
      <c r="A41" t="s">
        <v>14</v>
      </c>
      <c r="B41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41" t="s">
        <v>15</v>
      </c>
      <c r="H41" s="49"/>
      <c r="I41" s="49"/>
      <c r="J41" s="49"/>
      <c r="K41" s="49"/>
      <c r="L41" s="49"/>
    </row>
    <row r="42" spans="1:14" x14ac:dyDescent="0.3">
      <c r="B42" s="36">
        <f>-IF((B12&gt;=B25),IF((B12-B4)&gt;=B25,0,IF(((B12-B4)&lt;B25),((B25-(B12-B4))*D19))),IF(B12&lt;B25,B4*D19))</f>
        <v>0</v>
      </c>
      <c r="C42" t="s">
        <v>33</v>
      </c>
      <c r="H42" s="49"/>
      <c r="I42" s="4"/>
      <c r="J42" s="49"/>
      <c r="K42" s="49"/>
      <c r="L42" s="49"/>
    </row>
    <row r="43" spans="1:14" x14ac:dyDescent="0.3">
      <c r="B43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AND(B12&gt;B32,B12&lt;=C32),IF((B12-B32)&gt;B4,B4*D32,IF((B12-B31)&gt;B4,((B12-B32)*D32)+((B4-(B12-B32))*D31),IF((B12-B30)&gt;B4,((B12-B32)*D32)+((B32-B31)*D31)+((B4-(B12-B31))*D30),((B12-B32)*D32)+((B32-B31)*D31)+((B31-B30)*D30)+((B4-(B12-B30))*D29)))),IF(B12&gt;B33,IF((B12-B33)&gt;B4,B4*D33,IF((B12-B32)&gt;B4,((B12-B33)*D33)+((B4-(B12-B33))*D32),IF((B12-B31)&gt;B4,((B12-B33)*D33)+((B33-B32)*D32)+((B4-(B12-B32))*D31),IF((B12-B30)&gt;B4,((B12-B33)*D33)+((B33-B32)*D32)+((B32-B31)*D31)+((B4-(B12-B31))*D30),((B12-B33)*D33)+((B33-B32)*D32)+((B32-B31)*D31)+((B31-B30)*D30)+((B4-(B12-B30))*D29))))))))))</f>
        <v>64</v>
      </c>
      <c r="C43" t="s">
        <v>16</v>
      </c>
      <c r="H43" s="49"/>
      <c r="I43" s="18"/>
      <c r="J43" s="49"/>
      <c r="K43" s="49"/>
      <c r="L43" s="49"/>
    </row>
    <row r="44" spans="1:14" x14ac:dyDescent="0.3">
      <c r="B44" s="37">
        <f>-IF((B12&gt;=B35),IF((B12-B4)&gt;=B35,0,IF(((B12-B4)&lt;B35),((B35-(B12-B4))*D29))),IF(B12&lt;B35,B4*D29))</f>
        <v>0</v>
      </c>
      <c r="C44" t="s">
        <v>35</v>
      </c>
      <c r="H44" s="49"/>
      <c r="I44" s="49"/>
      <c r="J44" s="49"/>
      <c r="K44" s="49"/>
      <c r="L44" s="49"/>
    </row>
    <row r="45" spans="1:14" x14ac:dyDescent="0.3">
      <c r="A45" t="s">
        <v>17</v>
      </c>
      <c r="B45" s="14">
        <f>SUM(B41:B44)</f>
        <v>214</v>
      </c>
      <c r="G45" s="49"/>
      <c r="H45" s="49"/>
      <c r="I45" s="49"/>
      <c r="J45" s="49"/>
      <c r="K45" s="49"/>
      <c r="L45" s="49"/>
    </row>
    <row r="46" spans="1:14" x14ac:dyDescent="0.3">
      <c r="G46" s="49"/>
      <c r="H46" s="49"/>
      <c r="I46" s="49"/>
      <c r="J46" s="49"/>
      <c r="K46" s="49"/>
      <c r="L46" s="49"/>
    </row>
    <row r="47" spans="1:14" x14ac:dyDescent="0.3">
      <c r="G47" s="49"/>
      <c r="H47" s="49"/>
      <c r="I47" s="49"/>
      <c r="J47" s="49"/>
      <c r="K47" s="49"/>
      <c r="L47" s="49"/>
    </row>
    <row r="48" spans="1:14" x14ac:dyDescent="0.3">
      <c r="G48" s="49"/>
      <c r="H48" s="49"/>
      <c r="I48" s="49"/>
      <c r="J48" s="49"/>
      <c r="K48" s="49"/>
      <c r="L48" s="49"/>
    </row>
    <row r="49" spans="1:12" x14ac:dyDescent="0.3">
      <c r="A49" s="19" t="s">
        <v>38</v>
      </c>
      <c r="B49" s="13"/>
      <c r="G49" s="49"/>
      <c r="H49" s="49"/>
      <c r="I49" s="49"/>
      <c r="J49" s="49"/>
      <c r="K49" s="49"/>
      <c r="L49" s="49"/>
    </row>
    <row r="50" spans="1:12" x14ac:dyDescent="0.3">
      <c r="A50" t="s">
        <v>105</v>
      </c>
      <c r="B50" s="13">
        <f>SUM(B41:B42)</f>
        <v>150</v>
      </c>
    </row>
    <row r="51" spans="1:12" x14ac:dyDescent="0.3">
      <c r="A51" t="s">
        <v>106</v>
      </c>
      <c r="B51" s="34">
        <f>SUM(B43:B44)</f>
        <v>64</v>
      </c>
    </row>
    <row r="52" spans="1:12" x14ac:dyDescent="0.3">
      <c r="B52" s="13">
        <f>SUM(B50:B51)</f>
        <v>214</v>
      </c>
    </row>
    <row r="53" spans="1:12" x14ac:dyDescent="0.3">
      <c r="B53" s="13"/>
    </row>
    <row r="54" spans="1:12" x14ac:dyDescent="0.3">
      <c r="B54" s="15"/>
    </row>
    <row r="65" spans="1:1" x14ac:dyDescent="0.3">
      <c r="A65" s="3" t="s">
        <v>22</v>
      </c>
    </row>
    <row r="66" spans="1:1" x14ac:dyDescent="0.3">
      <c r="A66" t="s">
        <v>26</v>
      </c>
    </row>
  </sheetData>
  <dataValidations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7" zoomScale="85" zoomScaleNormal="85" workbookViewId="0">
      <selection activeCell="B17" sqref="B17:D34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6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0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92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5"/>
      <c r="G10" s="45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3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139000</v>
      </c>
    </row>
    <row r="15" spans="1:16" x14ac:dyDescent="0.3">
      <c r="A15" s="2" t="s">
        <v>7</v>
      </c>
    </row>
    <row r="16" spans="1:16" x14ac:dyDescent="0.3">
      <c r="A16" s="3" t="s">
        <v>8</v>
      </c>
      <c r="F16" s="21"/>
      <c r="G16" s="21"/>
      <c r="H16" s="12"/>
      <c r="I16" s="21"/>
    </row>
    <row r="17" spans="1:14" x14ac:dyDescent="0.3">
      <c r="B17" s="89" t="s">
        <v>20</v>
      </c>
      <c r="C17" s="21"/>
      <c r="D17" s="21"/>
      <c r="F17" s="89"/>
      <c r="G17" s="21"/>
      <c r="H17" s="21"/>
      <c r="I17" s="21"/>
    </row>
    <row r="18" spans="1:14" ht="15.6" x14ac:dyDescent="0.3">
      <c r="A18" t="s">
        <v>9</v>
      </c>
      <c r="B18" s="50">
        <v>0</v>
      </c>
      <c r="C18" s="26">
        <v>45282</v>
      </c>
      <c r="D18" s="90">
        <v>0.15</v>
      </c>
      <c r="F18" s="50"/>
      <c r="G18" s="26"/>
      <c r="H18" s="90"/>
      <c r="I18" s="26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4">
        <v>0.20499999999999999</v>
      </c>
      <c r="F19" s="26"/>
      <c r="G19" s="26"/>
      <c r="H19" s="64"/>
      <c r="I19" s="26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4">
        <v>0.26</v>
      </c>
      <c r="F20" s="26"/>
      <c r="G20" s="26"/>
      <c r="H20" s="64"/>
      <c r="I20" s="26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4">
        <v>0.28999999999999998</v>
      </c>
      <c r="F21" s="26"/>
      <c r="G21" s="26"/>
      <c r="H21" s="64"/>
      <c r="I21" s="91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1"/>
      <c r="D22" s="64">
        <v>0.33</v>
      </c>
      <c r="F22" s="26"/>
      <c r="G22" s="21"/>
      <c r="H22" s="64"/>
      <c r="I22" s="50"/>
      <c r="J22" s="7"/>
      <c r="K22" s="7"/>
      <c r="L22" s="5"/>
      <c r="N22" s="7"/>
    </row>
    <row r="23" spans="1:14" x14ac:dyDescent="0.3">
      <c r="B23" s="21"/>
      <c r="C23" s="89"/>
      <c r="D23" s="21"/>
      <c r="F23" s="21"/>
      <c r="G23" s="21"/>
      <c r="H23" s="12"/>
      <c r="I23" s="21"/>
    </row>
    <row r="24" spans="1:14" ht="15.6" x14ac:dyDescent="0.3">
      <c r="A24" t="s">
        <v>37</v>
      </c>
      <c r="B24" s="26">
        <v>11474</v>
      </c>
      <c r="C24" s="26"/>
      <c r="D24" s="21"/>
      <c r="F24" s="21"/>
      <c r="G24" s="50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92</v>
      </c>
      <c r="B27" s="89" t="s">
        <v>20</v>
      </c>
      <c r="C27" s="21"/>
      <c r="D27" s="21"/>
      <c r="F27" s="89"/>
      <c r="G27" s="21"/>
      <c r="H27" s="21"/>
      <c r="I27" s="68"/>
      <c r="J27" s="10"/>
      <c r="K27" s="24"/>
    </row>
    <row r="28" spans="1:14" ht="15.6" x14ac:dyDescent="0.3">
      <c r="A28" t="s">
        <v>9</v>
      </c>
      <c r="B28" s="21">
        <v>0</v>
      </c>
      <c r="C28" s="26">
        <v>45282</v>
      </c>
      <c r="D28" s="64">
        <v>6.4000000000000001E-2</v>
      </c>
      <c r="F28" s="21"/>
      <c r="G28" s="26"/>
      <c r="H28" s="64"/>
      <c r="I28" s="26"/>
      <c r="J28" s="7"/>
    </row>
    <row r="29" spans="1:14" ht="15.6" x14ac:dyDescent="0.3">
      <c r="A29" t="s">
        <v>10</v>
      </c>
      <c r="B29" s="26">
        <f>C28</f>
        <v>45282</v>
      </c>
      <c r="C29" s="26">
        <v>90563</v>
      </c>
      <c r="D29" s="64">
        <v>0.09</v>
      </c>
      <c r="F29" s="26"/>
      <c r="G29" s="26"/>
      <c r="H29" s="64"/>
      <c r="I29" s="26"/>
      <c r="J29" s="23"/>
      <c r="K29" s="18"/>
      <c r="L29" s="15"/>
    </row>
    <row r="30" spans="1:14" ht="15.6" x14ac:dyDescent="0.3">
      <c r="A30" t="s">
        <v>10</v>
      </c>
      <c r="B30" s="26">
        <f>C29</f>
        <v>90563</v>
      </c>
      <c r="C30" s="26">
        <v>140388</v>
      </c>
      <c r="D30" s="64">
        <v>0.109</v>
      </c>
      <c r="F30" s="26"/>
      <c r="G30" s="26"/>
      <c r="H30" s="64"/>
      <c r="I30" s="50"/>
      <c r="J30" s="23"/>
      <c r="K30" s="4"/>
      <c r="L30" s="13"/>
      <c r="N30" s="18"/>
    </row>
    <row r="31" spans="1:14" ht="15.6" x14ac:dyDescent="0.3">
      <c r="A31" t="s">
        <v>10</v>
      </c>
      <c r="B31" s="26">
        <f>C30</f>
        <v>140388</v>
      </c>
      <c r="C31" s="26">
        <v>500000</v>
      </c>
      <c r="D31" s="64">
        <v>0.128</v>
      </c>
      <c r="F31" s="26"/>
      <c r="G31" s="26"/>
      <c r="H31" s="64"/>
      <c r="I31" s="50"/>
      <c r="J31" s="23"/>
      <c r="K31" s="4"/>
      <c r="L31" s="13"/>
      <c r="N31" s="4"/>
    </row>
    <row r="32" spans="1:14" ht="15.6" x14ac:dyDescent="0.3">
      <c r="B32" s="26">
        <f>C31</f>
        <v>500000</v>
      </c>
      <c r="C32" s="21"/>
      <c r="D32" s="64">
        <v>0.15</v>
      </c>
      <c r="F32" s="26"/>
      <c r="G32" s="21"/>
      <c r="H32" s="64"/>
      <c r="I32" s="50"/>
      <c r="J32" s="23"/>
      <c r="K32" s="4"/>
      <c r="L32" s="13"/>
    </row>
    <row r="33" spans="1:17" x14ac:dyDescent="0.3">
      <c r="B33" s="21"/>
      <c r="C33" s="89"/>
      <c r="D33" s="21"/>
      <c r="F33" s="21"/>
      <c r="G33" s="21"/>
      <c r="H33" s="43"/>
      <c r="I33" s="50"/>
      <c r="J33" s="25"/>
      <c r="K33" s="16"/>
      <c r="L33" s="25"/>
    </row>
    <row r="34" spans="1:17" ht="15.6" x14ac:dyDescent="0.3">
      <c r="A34" t="s">
        <v>35</v>
      </c>
      <c r="B34" s="26">
        <v>11474</v>
      </c>
      <c r="C34" s="26"/>
      <c r="D34" s="21"/>
      <c r="F34" s="21"/>
      <c r="G34" s="21"/>
      <c r="H34" s="43"/>
      <c r="I34" s="50"/>
      <c r="J34" s="25"/>
      <c r="K34" s="16"/>
      <c r="L34" s="25"/>
    </row>
    <row r="35" spans="1:17" x14ac:dyDescent="0.3">
      <c r="B35" s="4"/>
      <c r="C35" s="4"/>
      <c r="D35" t="s">
        <v>36</v>
      </c>
      <c r="E35" s="13"/>
      <c r="F35" s="92"/>
      <c r="G35" s="21"/>
      <c r="H35" s="20"/>
      <c r="I35" s="21"/>
    </row>
    <row r="36" spans="1:17" x14ac:dyDescent="0.3">
      <c r="A36" s="2" t="s">
        <v>12</v>
      </c>
      <c r="E36" s="35"/>
      <c r="F36" s="21"/>
      <c r="G36" s="50"/>
      <c r="H36" s="50"/>
      <c r="I36" s="20"/>
    </row>
    <row r="37" spans="1:17" x14ac:dyDescent="0.3">
      <c r="B37" s="11"/>
      <c r="C37" t="s">
        <v>13</v>
      </c>
      <c r="F37" s="21"/>
      <c r="G37" s="21"/>
      <c r="H37" s="44"/>
      <c r="I37" s="21"/>
      <c r="J37" s="4"/>
      <c r="K37" s="4"/>
      <c r="L37" s="16"/>
    </row>
    <row r="38" spans="1:17" x14ac:dyDescent="0.3">
      <c r="H38" s="35"/>
      <c r="I38" s="18"/>
      <c r="J38" s="4"/>
      <c r="K38" s="4"/>
      <c r="L38" s="16"/>
    </row>
    <row r="39" spans="1:17" x14ac:dyDescent="0.3">
      <c r="A39" t="s">
        <v>19</v>
      </c>
      <c r="B39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260</v>
      </c>
      <c r="C39" t="s">
        <v>15</v>
      </c>
      <c r="H39" s="41"/>
      <c r="K39" s="4"/>
      <c r="L39" s="16"/>
    </row>
    <row r="40" spans="1:17" x14ac:dyDescent="0.3">
      <c r="B40" s="36">
        <f>-IF(B12&gt;=B24,0,IF(B12&lt;B24,IF((B12+B4)&gt;B24,(B24-B12)*D18,B4*D18)))</f>
        <v>0</v>
      </c>
      <c r="C40" t="s">
        <v>33</v>
      </c>
      <c r="H40" s="41"/>
      <c r="K40" s="4"/>
      <c r="L40" s="16"/>
    </row>
    <row r="41" spans="1:17" x14ac:dyDescent="0.3">
      <c r="B41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AND((B4+B12)&gt;B31,(B4+B12)&lt;=C31),IF((B4+B12-B31)&gt;B4,B4*D31,IF((B4+B12-B30)&gt;B4,(((B4+B12-B31)*D31)+((B4-(B4+B12-B31))*D30)),IF((B4+B12-B29)&gt;B4,(((B4+B12-B31)*D31)+((C30-B30)*D30)+((B4-(B4+B12-B30))*D29)),((B4+B12-B31)*D31)+((C30-B30)*D30)+((C29-B29)*D29)+((B4-(B4+B12-B29))*D28)))),IF((B4+B12)&gt;B32,IF((B4+B12-B32)&gt;B4,B4*D32,IF((B4+B12-B31)&gt;B4,(((B4+B12-B32)*D32)+((B4-(B4+B12-B32))*D31)),IF((B4+B12-B30)&gt;B4,(((B4+B12-B32)*D32)+((C31-B31)*D31)+((B4-(B4+B12-B31))*D30)),IF((B4+B12-B29)&gt;B4,(((B4+B12-B32)*D32)+((C31-B31)*D31)+((C30-B30)*D30)+((B4-(B4+B12-B30))*D29)),((B4+B12-B32)*D32)+((C31-B31)*D31)+((C30-B30)*D30)+((C29-B29)*D29)+((B4-(B4+B12-B29))*D28))))))))))</f>
        <v>109</v>
      </c>
      <c r="C41" t="s">
        <v>16</v>
      </c>
    </row>
    <row r="42" spans="1:17" x14ac:dyDescent="0.3">
      <c r="B42" s="37">
        <f>-IF(B12&gt;=B34,0,IF(B12&lt;B34,IF((B12+B4)&gt;B34,(B34-B12)*D28,B4*D28)))</f>
        <v>0</v>
      </c>
      <c r="C42" t="s">
        <v>35</v>
      </c>
    </row>
    <row r="43" spans="1:17" x14ac:dyDescent="0.3">
      <c r="A43" s="10" t="s">
        <v>21</v>
      </c>
      <c r="B43" s="43">
        <f>SUM(B39:B42)</f>
        <v>369</v>
      </c>
      <c r="F43" s="45"/>
      <c r="G43" s="45"/>
      <c r="H43" s="44"/>
      <c r="I43" s="45"/>
      <c r="J43" s="45"/>
      <c r="K43" s="47"/>
      <c r="L43" s="46"/>
      <c r="M43" s="45"/>
    </row>
    <row r="44" spans="1:17" x14ac:dyDescent="0.3">
      <c r="E44" s="18"/>
      <c r="F44" s="47"/>
      <c r="G44" s="45"/>
      <c r="H44" s="44"/>
      <c r="I44" s="47"/>
      <c r="J44" s="47"/>
      <c r="K44" s="45"/>
      <c r="L44" s="45"/>
      <c r="M44" s="45"/>
      <c r="Q44" s="15"/>
    </row>
    <row r="45" spans="1:17" x14ac:dyDescent="0.3">
      <c r="B45" s="13"/>
      <c r="F45" s="45"/>
      <c r="G45" s="45"/>
      <c r="H45" s="44"/>
      <c r="I45" s="45"/>
      <c r="J45" s="45"/>
      <c r="K45" s="45"/>
      <c r="L45" s="45"/>
      <c r="M45" s="45"/>
    </row>
    <row r="46" spans="1:17" x14ac:dyDescent="0.3">
      <c r="A46" s="19" t="s">
        <v>38</v>
      </c>
      <c r="B46" s="13"/>
      <c r="F46" s="45"/>
      <c r="G46" s="45"/>
      <c r="H46" s="44"/>
      <c r="I46" s="44"/>
      <c r="J46" s="47"/>
      <c r="K46" s="45"/>
      <c r="L46" s="45"/>
      <c r="M46" s="45"/>
    </row>
    <row r="47" spans="1:17" x14ac:dyDescent="0.3">
      <c r="A47" t="s">
        <v>107</v>
      </c>
      <c r="B47" s="13">
        <f>SUM(B39:B40)</f>
        <v>260</v>
      </c>
      <c r="F47" s="45"/>
      <c r="G47" s="45"/>
      <c r="H47" s="44"/>
      <c r="I47" s="45"/>
      <c r="J47" s="45"/>
      <c r="K47" s="45"/>
      <c r="L47" s="45"/>
      <c r="M47" s="45"/>
    </row>
    <row r="48" spans="1:17" x14ac:dyDescent="0.3">
      <c r="A48" t="s">
        <v>108</v>
      </c>
      <c r="B48" s="34">
        <f>SUM(B41:B42)</f>
        <v>109</v>
      </c>
      <c r="F48" s="45"/>
      <c r="G48" s="45"/>
      <c r="H48" s="44"/>
      <c r="I48" s="47"/>
      <c r="J48" s="47"/>
      <c r="K48" s="45"/>
      <c r="L48" s="45"/>
      <c r="M48" s="45"/>
    </row>
    <row r="49" spans="2:13" x14ac:dyDescent="0.3">
      <c r="B49" s="13">
        <f>SUM(B47:B48)</f>
        <v>369</v>
      </c>
      <c r="F49" s="45"/>
      <c r="G49" s="45"/>
      <c r="H49" s="44"/>
      <c r="I49" s="45"/>
      <c r="J49" s="45"/>
      <c r="K49" s="45"/>
      <c r="L49" s="45"/>
      <c r="M49" s="45"/>
    </row>
    <row r="50" spans="2:13" x14ac:dyDescent="0.3">
      <c r="B50" s="13"/>
      <c r="F50" s="45"/>
      <c r="G50" s="45"/>
      <c r="H50" s="44"/>
      <c r="I50" s="44"/>
      <c r="J50" s="47"/>
      <c r="K50" s="45"/>
      <c r="L50" s="45"/>
      <c r="M50" s="45"/>
    </row>
    <row r="51" spans="2:13" x14ac:dyDescent="0.3">
      <c r="B51" s="13"/>
      <c r="F51" s="45"/>
      <c r="G51" s="45"/>
      <c r="H51" s="44"/>
      <c r="I51" s="45"/>
      <c r="J51" s="45"/>
      <c r="K51" s="45"/>
      <c r="L51" s="45"/>
      <c r="M51" s="45"/>
    </row>
    <row r="52" spans="2:13" x14ac:dyDescent="0.3">
      <c r="B52" s="13"/>
      <c r="F52" s="45"/>
      <c r="G52" s="45"/>
      <c r="H52" s="44"/>
      <c r="I52" s="47"/>
      <c r="J52" s="47"/>
      <c r="K52" s="45"/>
      <c r="L52" s="45"/>
      <c r="M52" s="45"/>
    </row>
    <row r="53" spans="2:13" x14ac:dyDescent="0.3">
      <c r="B53" s="13"/>
      <c r="F53" s="45"/>
      <c r="G53" s="45"/>
      <c r="H53" s="44"/>
      <c r="I53" s="45"/>
      <c r="J53" s="45"/>
      <c r="K53" s="45"/>
      <c r="L53" s="45"/>
      <c r="M53" s="45"/>
    </row>
    <row r="54" spans="2:13" x14ac:dyDescent="0.3">
      <c r="B54" s="15"/>
      <c r="F54" s="45"/>
      <c r="G54" s="45"/>
      <c r="H54" s="48"/>
      <c r="I54" s="45"/>
      <c r="J54" s="45"/>
      <c r="K54" s="45"/>
      <c r="L54" s="45"/>
      <c r="M54" s="45"/>
    </row>
    <row r="55" spans="2:13" x14ac:dyDescent="0.3">
      <c r="F55" s="45"/>
      <c r="G55" s="45"/>
      <c r="H55" s="44"/>
      <c r="I55" s="45"/>
      <c r="J55" s="45"/>
      <c r="K55" s="45"/>
      <c r="L55" s="45"/>
      <c r="M55" s="45"/>
    </row>
    <row r="56" spans="2:13" x14ac:dyDescent="0.3">
      <c r="F56" s="45"/>
      <c r="G56" s="45"/>
      <c r="H56" s="44"/>
      <c r="I56" s="46"/>
      <c r="J56" s="46"/>
      <c r="K56" s="45"/>
      <c r="L56" s="45"/>
      <c r="M56" s="45"/>
    </row>
    <row r="57" spans="2:13" x14ac:dyDescent="0.3">
      <c r="F57" s="45"/>
      <c r="G57" s="45"/>
      <c r="H57" s="44"/>
      <c r="I57" s="45"/>
      <c r="J57" s="45"/>
      <c r="K57" s="45"/>
      <c r="L57" s="45"/>
      <c r="M57" s="45"/>
    </row>
    <row r="58" spans="2:13" x14ac:dyDescent="0.3">
      <c r="H58" s="12"/>
    </row>
    <row r="60" spans="2:13" x14ac:dyDescent="0.3">
      <c r="H60" s="39"/>
      <c r="M60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7" zoomScale="85" zoomScaleNormal="85" workbookViewId="0">
      <selection activeCell="B21" sqref="B21:D38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29</v>
      </c>
      <c r="I1" s="29" t="s">
        <v>32</v>
      </c>
    </row>
    <row r="2" spans="1:14" x14ac:dyDescent="0.3">
      <c r="A2" s="2" t="s">
        <v>1</v>
      </c>
      <c r="E2" t="s">
        <v>25</v>
      </c>
      <c r="F2" t="s">
        <v>28</v>
      </c>
      <c r="I2" s="29" t="s">
        <v>72</v>
      </c>
    </row>
    <row r="3" spans="1:14" x14ac:dyDescent="0.3">
      <c r="A3" s="3" t="s">
        <v>27</v>
      </c>
      <c r="H3" s="44"/>
      <c r="I3" s="44"/>
      <c r="J3" s="47"/>
      <c r="K3" s="45"/>
      <c r="L3" s="21"/>
      <c r="M3" s="21"/>
      <c r="N3" s="21"/>
    </row>
    <row r="4" spans="1:14" x14ac:dyDescent="0.3">
      <c r="E4" t="s">
        <v>57</v>
      </c>
      <c r="F4" t="s">
        <v>24</v>
      </c>
      <c r="H4" s="45"/>
      <c r="I4" s="44"/>
      <c r="J4" s="44"/>
      <c r="K4" s="47"/>
      <c r="L4" s="21"/>
      <c r="M4" s="21"/>
      <c r="N4" s="21"/>
    </row>
    <row r="5" spans="1:14" x14ac:dyDescent="0.3">
      <c r="A5" t="s">
        <v>27</v>
      </c>
      <c r="B5" s="54">
        <v>2000</v>
      </c>
      <c r="E5" t="s">
        <v>58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ht="28.8" x14ac:dyDescent="0.3">
      <c r="A6" s="27" t="s">
        <v>41</v>
      </c>
      <c r="B6" s="33" t="s">
        <v>28</v>
      </c>
      <c r="E6" s="29"/>
      <c r="F6" t="s">
        <v>62</v>
      </c>
      <c r="H6" s="21"/>
      <c r="I6" s="12"/>
      <c r="J6" s="36"/>
      <c r="K6" s="36"/>
      <c r="L6" s="21"/>
      <c r="M6" s="21"/>
      <c r="N6" s="21"/>
    </row>
    <row r="7" spans="1:14" x14ac:dyDescent="0.3">
      <c r="A7" s="27" t="s">
        <v>40</v>
      </c>
      <c r="B7" s="33" t="s">
        <v>25</v>
      </c>
      <c r="E7" s="29"/>
      <c r="F7" s="29"/>
      <c r="H7" s="21"/>
      <c r="I7" s="44"/>
      <c r="J7" s="45"/>
      <c r="K7" s="38"/>
      <c r="L7" s="21"/>
      <c r="M7" s="21"/>
      <c r="N7" s="21"/>
    </row>
    <row r="8" spans="1:14" x14ac:dyDescent="0.3">
      <c r="A8" s="27"/>
      <c r="E8" s="45"/>
      <c r="F8" s="45"/>
      <c r="G8" s="45"/>
      <c r="H8" s="45"/>
      <c r="I8" s="47"/>
      <c r="J8" s="44"/>
      <c r="K8" s="44"/>
      <c r="L8" s="21"/>
      <c r="M8" s="21"/>
      <c r="N8" s="21"/>
    </row>
    <row r="9" spans="1:14" x14ac:dyDescent="0.3">
      <c r="A9" s="29" t="s">
        <v>61</v>
      </c>
      <c r="D9" s="45"/>
      <c r="E9" s="45"/>
      <c r="F9" s="44"/>
      <c r="G9" s="45"/>
      <c r="H9" s="74"/>
      <c r="I9" s="74"/>
      <c r="J9" s="45"/>
      <c r="K9" s="45"/>
      <c r="L9" s="45"/>
      <c r="M9" s="45"/>
      <c r="N9" s="21"/>
    </row>
    <row r="10" spans="1:14" x14ac:dyDescent="0.3">
      <c r="A10" s="27" t="s">
        <v>59</v>
      </c>
      <c r="B10" s="1" t="s">
        <v>57</v>
      </c>
      <c r="D10" s="45"/>
      <c r="E10" s="45"/>
      <c r="F10" s="44"/>
      <c r="G10" s="45"/>
      <c r="H10" s="74"/>
      <c r="I10" s="74"/>
      <c r="J10" s="78"/>
      <c r="K10" s="78"/>
      <c r="L10" s="78"/>
      <c r="M10" s="78"/>
      <c r="N10" s="21"/>
    </row>
    <row r="11" spans="1:14" x14ac:dyDescent="0.3">
      <c r="A11" s="27" t="s">
        <v>60</v>
      </c>
      <c r="B11" s="1">
        <v>200</v>
      </c>
      <c r="D11" s="45"/>
      <c r="E11" s="45"/>
      <c r="F11" s="44"/>
      <c r="G11" s="45"/>
      <c r="H11" s="74"/>
      <c r="I11" s="74"/>
      <c r="J11" s="78"/>
      <c r="K11" s="78"/>
      <c r="L11" s="78"/>
      <c r="M11" s="78"/>
      <c r="N11" s="21"/>
    </row>
    <row r="12" spans="1:14" s="21" customFormat="1" x14ac:dyDescent="0.3">
      <c r="A12" s="55"/>
      <c r="B12"/>
      <c r="D12" s="45"/>
      <c r="E12" s="45"/>
      <c r="F12" s="44"/>
      <c r="G12" s="45"/>
      <c r="H12" s="74"/>
      <c r="I12" s="74"/>
      <c r="J12" s="78"/>
      <c r="K12" s="78"/>
      <c r="L12" s="78"/>
      <c r="M12" s="78"/>
    </row>
    <row r="13" spans="1:14" x14ac:dyDescent="0.3">
      <c r="A13" s="2" t="s">
        <v>4</v>
      </c>
      <c r="D13" s="45"/>
      <c r="E13" s="45"/>
      <c r="F13" s="44"/>
      <c r="G13" s="74"/>
      <c r="H13" s="74"/>
      <c r="I13" s="74"/>
      <c r="J13" s="38"/>
      <c r="K13" s="38"/>
      <c r="L13" s="45"/>
      <c r="M13" s="45"/>
      <c r="N13" s="21"/>
    </row>
    <row r="14" spans="1:14" x14ac:dyDescent="0.3">
      <c r="A14" t="s">
        <v>5</v>
      </c>
      <c r="B14" s="1" t="s">
        <v>92</v>
      </c>
      <c r="D14" s="45"/>
      <c r="E14" s="45"/>
      <c r="F14" s="44"/>
      <c r="G14" s="45"/>
      <c r="H14" s="74"/>
      <c r="I14" s="74"/>
      <c r="J14" s="45"/>
      <c r="K14" s="45"/>
      <c r="L14" s="45"/>
      <c r="M14" s="45"/>
      <c r="N14" s="21"/>
    </row>
    <row r="15" spans="1:14" x14ac:dyDescent="0.3">
      <c r="D15" s="45"/>
      <c r="E15" s="45"/>
      <c r="F15" s="45"/>
      <c r="G15" s="45"/>
      <c r="H15" s="74"/>
      <c r="I15" s="74"/>
      <c r="J15" s="45"/>
      <c r="K15" s="45"/>
      <c r="L15" s="45"/>
      <c r="M15" s="45"/>
      <c r="N15" s="21"/>
    </row>
    <row r="16" spans="1:14" x14ac:dyDescent="0.3">
      <c r="D16" s="45"/>
      <c r="E16" s="45"/>
      <c r="F16" s="76"/>
      <c r="G16" s="45"/>
      <c r="H16" s="74"/>
      <c r="I16" s="74"/>
      <c r="J16" s="45"/>
      <c r="K16" s="45"/>
      <c r="L16" s="45"/>
      <c r="M16" s="45"/>
      <c r="N16" s="21"/>
    </row>
    <row r="17" spans="1:14" x14ac:dyDescent="0.3">
      <c r="D17" s="45"/>
      <c r="E17" s="45"/>
      <c r="F17" s="45"/>
      <c r="G17" s="74"/>
      <c r="H17" s="74"/>
      <c r="I17" s="74"/>
      <c r="J17" s="45"/>
      <c r="K17" s="45"/>
      <c r="L17" s="45"/>
      <c r="M17" s="45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  <c r="F20" s="21"/>
      <c r="G20" s="21"/>
      <c r="H20" s="12"/>
    </row>
    <row r="21" spans="1:14" x14ac:dyDescent="0.3">
      <c r="B21" s="89" t="s">
        <v>20</v>
      </c>
      <c r="C21" s="21"/>
      <c r="D21" s="21"/>
      <c r="F21" s="89"/>
      <c r="G21" s="21"/>
      <c r="H21" s="21"/>
    </row>
    <row r="22" spans="1:14" ht="15.6" x14ac:dyDescent="0.3">
      <c r="A22" t="s">
        <v>9</v>
      </c>
      <c r="B22" s="50">
        <v>0</v>
      </c>
      <c r="C22" s="26">
        <v>45282</v>
      </c>
      <c r="D22" s="90">
        <v>0.15</v>
      </c>
      <c r="F22" s="50"/>
      <c r="G22" s="26"/>
      <c r="H22" s="90"/>
      <c r="N22" s="6"/>
    </row>
    <row r="23" spans="1:14" ht="15.6" x14ac:dyDescent="0.3">
      <c r="A23" t="s">
        <v>10</v>
      </c>
      <c r="B23" s="26">
        <f>C22</f>
        <v>45282</v>
      </c>
      <c r="C23" s="26">
        <v>90563</v>
      </c>
      <c r="D23" s="64">
        <v>0.20499999999999999</v>
      </c>
      <c r="F23" s="26"/>
      <c r="G23" s="26"/>
      <c r="H23" s="64"/>
      <c r="N23" s="7"/>
    </row>
    <row r="24" spans="1:14" ht="15.6" x14ac:dyDescent="0.3">
      <c r="A24" t="s">
        <v>10</v>
      </c>
      <c r="B24" s="26">
        <f>C23</f>
        <v>90563</v>
      </c>
      <c r="C24" s="26">
        <v>140388</v>
      </c>
      <c r="D24" s="64">
        <v>0.26</v>
      </c>
      <c r="F24" s="26"/>
      <c r="G24" s="26"/>
      <c r="H24" s="64"/>
      <c r="N24" s="7"/>
    </row>
    <row r="25" spans="1:14" ht="15.6" x14ac:dyDescent="0.3">
      <c r="A25" t="s">
        <v>10</v>
      </c>
      <c r="B25" s="26">
        <f>C24</f>
        <v>140388</v>
      </c>
      <c r="C25" s="26">
        <v>200000</v>
      </c>
      <c r="D25" s="64">
        <v>0.28999999999999998</v>
      </c>
      <c r="F25" s="26"/>
      <c r="G25" s="26"/>
      <c r="H25" s="64"/>
      <c r="N25" s="7"/>
    </row>
    <row r="26" spans="1:14" ht="15.6" x14ac:dyDescent="0.3">
      <c r="B26" s="26">
        <f>C25</f>
        <v>200000</v>
      </c>
      <c r="C26" s="21"/>
      <c r="D26" s="64">
        <v>0.33</v>
      </c>
      <c r="F26" s="26"/>
      <c r="G26" s="21"/>
      <c r="H26" s="64"/>
      <c r="N26" s="7"/>
    </row>
    <row r="27" spans="1:14" x14ac:dyDescent="0.3">
      <c r="B27" s="21"/>
      <c r="C27" s="89"/>
      <c r="D27" s="21"/>
      <c r="F27" s="21"/>
      <c r="G27" s="21"/>
      <c r="H27" s="12"/>
    </row>
    <row r="28" spans="1:14" ht="15.6" x14ac:dyDescent="0.3">
      <c r="A28" t="s">
        <v>37</v>
      </c>
      <c r="B28" s="26">
        <v>11474</v>
      </c>
      <c r="C28" s="26"/>
      <c r="D28" s="21"/>
      <c r="F28" s="21"/>
      <c r="G28" s="50"/>
      <c r="H28" s="12"/>
    </row>
    <row r="29" spans="1:14" x14ac:dyDescent="0.3">
      <c r="B29" s="21"/>
      <c r="C29" s="21"/>
      <c r="D29" s="21"/>
      <c r="F29" s="21"/>
      <c r="G29" s="21"/>
      <c r="H29" s="12"/>
    </row>
    <row r="30" spans="1:14" x14ac:dyDescent="0.3">
      <c r="A30" s="3" t="s">
        <v>11</v>
      </c>
      <c r="B30" s="21"/>
      <c r="C30" s="21"/>
      <c r="D30" s="21"/>
      <c r="F30" s="21"/>
      <c r="G30" s="21"/>
      <c r="H30" s="12"/>
    </row>
    <row r="31" spans="1:14" x14ac:dyDescent="0.3">
      <c r="A31" s="10" t="s">
        <v>92</v>
      </c>
      <c r="B31" s="89" t="s">
        <v>20</v>
      </c>
      <c r="C31" s="21"/>
      <c r="D31" s="21"/>
      <c r="F31" s="89"/>
      <c r="G31" s="21"/>
      <c r="H31" s="21"/>
      <c r="I31" s="45"/>
      <c r="J31" s="31"/>
      <c r="K31" s="68"/>
    </row>
    <row r="32" spans="1:14" ht="15.6" x14ac:dyDescent="0.3">
      <c r="A32" t="s">
        <v>9</v>
      </c>
      <c r="B32" s="21">
        <v>0</v>
      </c>
      <c r="C32" s="26">
        <v>45282</v>
      </c>
      <c r="D32" s="64">
        <v>6.4000000000000001E-2</v>
      </c>
      <c r="F32" s="21"/>
      <c r="G32" s="26"/>
      <c r="H32" s="64"/>
      <c r="I32" s="45"/>
      <c r="J32" s="64"/>
      <c r="K32" s="21"/>
    </row>
    <row r="33" spans="1:17" ht="15.6" x14ac:dyDescent="0.3">
      <c r="A33" t="s">
        <v>10</v>
      </c>
      <c r="B33" s="26">
        <f>C32</f>
        <v>45282</v>
      </c>
      <c r="C33" s="26">
        <v>90563</v>
      </c>
      <c r="D33" s="64">
        <v>0.09</v>
      </c>
      <c r="F33" s="26"/>
      <c r="G33" s="26"/>
      <c r="H33" s="64"/>
      <c r="I33" s="45"/>
      <c r="J33" s="69"/>
      <c r="K33" s="51"/>
      <c r="L33" s="15"/>
    </row>
    <row r="34" spans="1:17" ht="15.6" x14ac:dyDescent="0.3">
      <c r="A34" t="s">
        <v>10</v>
      </c>
      <c r="B34" s="26">
        <f>C33</f>
        <v>90563</v>
      </c>
      <c r="C34" s="26">
        <v>140388</v>
      </c>
      <c r="D34" s="64">
        <v>0.109</v>
      </c>
      <c r="F34" s="26"/>
      <c r="G34" s="26"/>
      <c r="H34" s="64"/>
      <c r="I34" s="45"/>
      <c r="J34" s="69"/>
      <c r="K34" s="50"/>
      <c r="L34" s="13"/>
      <c r="N34" s="18"/>
    </row>
    <row r="35" spans="1:17" ht="15.6" x14ac:dyDescent="0.3">
      <c r="A35" t="s">
        <v>10</v>
      </c>
      <c r="B35" s="26">
        <f>C34</f>
        <v>140388</v>
      </c>
      <c r="C35" s="26">
        <v>500000</v>
      </c>
      <c r="D35" s="64">
        <v>0.128</v>
      </c>
      <c r="F35" s="26"/>
      <c r="G35" s="26"/>
      <c r="H35" s="64"/>
      <c r="I35" s="45"/>
      <c r="J35" s="69"/>
      <c r="K35" s="50"/>
      <c r="L35" s="13"/>
      <c r="N35" s="4"/>
    </row>
    <row r="36" spans="1:17" ht="15.6" x14ac:dyDescent="0.3">
      <c r="B36" s="26">
        <f>C35</f>
        <v>500000</v>
      </c>
      <c r="C36" s="21"/>
      <c r="D36" s="64">
        <v>0.15</v>
      </c>
      <c r="F36" s="26"/>
      <c r="G36" s="21"/>
      <c r="H36" s="64"/>
      <c r="I36" s="45"/>
      <c r="J36" s="69"/>
      <c r="K36" s="50"/>
      <c r="L36" s="13"/>
    </row>
    <row r="37" spans="1:17" x14ac:dyDescent="0.3">
      <c r="B37" s="21"/>
      <c r="C37" s="89"/>
      <c r="D37" s="21"/>
      <c r="F37" s="21"/>
      <c r="G37" s="21"/>
      <c r="H37" s="43"/>
      <c r="I37" s="45"/>
      <c r="J37" s="70"/>
      <c r="K37" s="20"/>
      <c r="L37" s="25"/>
    </row>
    <row r="38" spans="1:17" ht="15.6" x14ac:dyDescent="0.3">
      <c r="A38" t="s">
        <v>35</v>
      </c>
      <c r="B38" s="26">
        <v>11474</v>
      </c>
      <c r="C38" s="26"/>
      <c r="D38" s="21"/>
      <c r="F38" s="21"/>
      <c r="G38" s="21"/>
      <c r="H38" s="43"/>
      <c r="I38" s="45"/>
      <c r="J38" s="70"/>
      <c r="K38" s="20"/>
      <c r="L38" s="25"/>
    </row>
    <row r="39" spans="1:17" x14ac:dyDescent="0.3">
      <c r="B39" s="4"/>
      <c r="C39" s="4"/>
      <c r="D39" t="s">
        <v>36</v>
      </c>
      <c r="E39" s="13"/>
      <c r="F39" s="42"/>
      <c r="H39" s="16"/>
      <c r="I39" s="45"/>
      <c r="J39" s="21"/>
      <c r="K39" s="21"/>
    </row>
    <row r="40" spans="1:17" x14ac:dyDescent="0.3">
      <c r="B40" s="4"/>
      <c r="C40" s="4"/>
      <c r="E40" s="13"/>
      <c r="F40" s="42"/>
      <c r="H40" s="16"/>
      <c r="I40" s="45"/>
      <c r="J40" s="21"/>
      <c r="K40" s="21"/>
    </row>
    <row r="41" spans="1:17" x14ac:dyDescent="0.3">
      <c r="A41" s="3" t="s">
        <v>49</v>
      </c>
      <c r="B41" s="36"/>
      <c r="C41" s="4"/>
      <c r="E41" s="13"/>
      <c r="F41" s="13"/>
      <c r="G41" s="42"/>
      <c r="H41"/>
      <c r="I41" s="45"/>
      <c r="J41" s="31" t="s">
        <v>90</v>
      </c>
      <c r="K41" s="21"/>
      <c r="Q41" s="18"/>
    </row>
    <row r="42" spans="1:17" x14ac:dyDescent="0.3">
      <c r="B42" s="36"/>
      <c r="C42" s="67" t="s">
        <v>88</v>
      </c>
      <c r="D42" s="89"/>
      <c r="E42" s="13"/>
      <c r="F42" s="3" t="s">
        <v>93</v>
      </c>
      <c r="G42" s="42"/>
      <c r="H42"/>
      <c r="I42" s="45" t="s">
        <v>64</v>
      </c>
      <c r="J42" s="71" t="s">
        <v>63</v>
      </c>
      <c r="K42" s="71" t="s">
        <v>65</v>
      </c>
      <c r="Q42" s="18"/>
    </row>
    <row r="43" spans="1:17" ht="15.6" x14ac:dyDescent="0.3">
      <c r="A43" s="27" t="s">
        <v>89</v>
      </c>
      <c r="B43" s="32">
        <v>0.38</v>
      </c>
      <c r="D43" s="93"/>
      <c r="E43" s="29"/>
      <c r="F43">
        <v>0</v>
      </c>
      <c r="G43" s="5">
        <f t="shared" ref="G43:H46" si="0">C32</f>
        <v>45282</v>
      </c>
      <c r="H43" s="7">
        <f t="shared" si="0"/>
        <v>6.4000000000000001E-2</v>
      </c>
      <c r="I43" s="12">
        <v>0</v>
      </c>
      <c r="J43" s="12">
        <f ca="1">IF(AND(($B$18+$B$5+$B$67)&gt;=F43,($B$18+$B$5+$B$67)&lt;G43),($B$18+$B$5+$B$67-F43)*H43,0)</f>
        <v>0</v>
      </c>
      <c r="K43" s="51">
        <f t="shared" ref="K43:K47" ca="1" si="1">(IF(J43=0,0,I43+J43))</f>
        <v>0</v>
      </c>
    </row>
    <row r="44" spans="1:17" ht="15.6" x14ac:dyDescent="0.3">
      <c r="A44" s="27" t="s">
        <v>43</v>
      </c>
      <c r="B44" s="32">
        <v>0.17</v>
      </c>
      <c r="D44" s="93"/>
      <c r="E44" s="29"/>
      <c r="F44" s="5">
        <f>G43</f>
        <v>45282</v>
      </c>
      <c r="G44" s="5">
        <f t="shared" si="0"/>
        <v>90563</v>
      </c>
      <c r="H44" s="7">
        <f t="shared" si="0"/>
        <v>0.09</v>
      </c>
      <c r="I44" s="12">
        <f>(G43-F43)*H43</f>
        <v>2898.0480000000002</v>
      </c>
      <c r="J44" s="12">
        <f ca="1">IF(AND(($B$18+$B$5+$B$67)&gt;=F44,($B$18+$B$5+$B$67)&lt;G44),($B$18+$B$5+$B$67-F44)*H44,0)</f>
        <v>0</v>
      </c>
      <c r="K44" s="51">
        <f t="shared" ca="1" si="1"/>
        <v>0</v>
      </c>
    </row>
    <row r="45" spans="1:17" ht="15.6" x14ac:dyDescent="0.3">
      <c r="A45" s="27" t="s">
        <v>42</v>
      </c>
      <c r="B45" s="13">
        <f>IF(AND(B6="canadian corporation",B7="yes"),B5*B43,0)</f>
        <v>0</v>
      </c>
      <c r="D45" s="21"/>
      <c r="E45" s="29"/>
      <c r="F45" s="26">
        <f>G44</f>
        <v>90563</v>
      </c>
      <c r="G45" s="5">
        <f t="shared" si="0"/>
        <v>140388</v>
      </c>
      <c r="H45" s="7">
        <f t="shared" si="0"/>
        <v>0.109</v>
      </c>
      <c r="I45" s="12">
        <f>((G44-F44)*H44)+I44</f>
        <v>6973.3379999999997</v>
      </c>
      <c r="J45" s="12">
        <f ca="1">IF(AND(($B$18+$B$5+$B$67)&gt;=F45,($B$18+$B$5+$B$67)&lt;G45),($B$18+$B$5+$B$67-F45)*H45,0)</f>
        <v>0</v>
      </c>
      <c r="K45" s="51">
        <f t="shared" ca="1" si="1"/>
        <v>0</v>
      </c>
    </row>
    <row r="46" spans="1:17" ht="15.6" x14ac:dyDescent="0.3">
      <c r="A46" s="27" t="s">
        <v>44</v>
      </c>
      <c r="B46" s="13">
        <f>IF(AND(B6="canadian corporation",B7="no"),B5*B44,0)</f>
        <v>0</v>
      </c>
      <c r="D46" s="21"/>
      <c r="E46" s="29"/>
      <c r="F46" s="5">
        <f>G45</f>
        <v>140388</v>
      </c>
      <c r="G46" s="5">
        <f t="shared" si="0"/>
        <v>500000</v>
      </c>
      <c r="H46" s="7">
        <f t="shared" si="0"/>
        <v>0.128</v>
      </c>
      <c r="I46" s="12">
        <f t="shared" ref="I46:I47" si="2">((G45-F45)*H45)+I45</f>
        <v>12404.262999999999</v>
      </c>
      <c r="J46" s="12">
        <f ca="1">IF(AND(($B$18+$B$5+$B$67)&gt;=F46,($B$18+$B$5+$B$67)&lt;G46),($B$18+$B$5+$B$67-F46)*H46,0)</f>
        <v>78.335999999999999</v>
      </c>
      <c r="K46" s="51">
        <f t="shared" ca="1" si="1"/>
        <v>12482.598999999998</v>
      </c>
    </row>
    <row r="47" spans="1:17" ht="15.6" x14ac:dyDescent="0.3">
      <c r="A47" s="27" t="s">
        <v>45</v>
      </c>
      <c r="B47" s="40">
        <f>IF(B6="non-canadian corporation",B5,0)</f>
        <v>2000</v>
      </c>
      <c r="D47" s="21"/>
      <c r="E47" s="29"/>
      <c r="F47" s="5">
        <f>G46</f>
        <v>500000</v>
      </c>
      <c r="H47" s="7">
        <f>D36</f>
        <v>0.15</v>
      </c>
      <c r="I47" s="12">
        <f t="shared" si="2"/>
        <v>58434.599000000002</v>
      </c>
      <c r="J47" s="12">
        <f ca="1">IF(($B$18+$B$5+$B$67)&gt;=F47,($B$18+$B$5+$B$67-F47)*H47,0)</f>
        <v>0</v>
      </c>
      <c r="K47" s="72">
        <f t="shared" ca="1" si="1"/>
        <v>0</v>
      </c>
    </row>
    <row r="48" spans="1:17" x14ac:dyDescent="0.3">
      <c r="B48" s="18">
        <f>SUM(B45:B47)</f>
        <v>2000</v>
      </c>
      <c r="D48" s="21"/>
      <c r="F48" s="13"/>
      <c r="G48" s="42"/>
      <c r="H48"/>
      <c r="I48" s="45"/>
      <c r="J48" s="21"/>
      <c r="K48" s="51">
        <f ca="1">SUM(K43:K47)</f>
        <v>12482.598999999998</v>
      </c>
    </row>
    <row r="49" spans="1:17" x14ac:dyDescent="0.3">
      <c r="B49" s="18"/>
      <c r="D49" s="21"/>
      <c r="F49" s="13"/>
      <c r="G49" s="42"/>
      <c r="H49" s="61" t="s">
        <v>34</v>
      </c>
      <c r="I49" s="12">
        <f>B38</f>
        <v>11474</v>
      </c>
      <c r="J49" s="20">
        <f>D32</f>
        <v>6.4000000000000001E-2</v>
      </c>
      <c r="K49" s="52">
        <f ca="1">IF(($B$18+$B$5+$B$67)&lt;I49,($B$18+$B$5+$B$67)*J49,I49*J49)</f>
        <v>734.33600000000001</v>
      </c>
    </row>
    <row r="50" spans="1:17" x14ac:dyDescent="0.3">
      <c r="A50" s="19" t="s">
        <v>39</v>
      </c>
      <c r="B50" s="36"/>
      <c r="C50" s="4"/>
      <c r="D50" s="21"/>
      <c r="E50" s="13"/>
      <c r="F50" s="13"/>
      <c r="G50" s="42"/>
      <c r="H50"/>
      <c r="I50" s="45"/>
      <c r="J50" s="21"/>
      <c r="K50" s="13">
        <f ca="1">IF((K48-K49)&lt;=0,0,K48-K49)</f>
        <v>11748.262999999999</v>
      </c>
      <c r="Q50" s="18"/>
    </row>
    <row r="51" spans="1:17" x14ac:dyDescent="0.3">
      <c r="A51" t="s">
        <v>46</v>
      </c>
      <c r="B51" s="36">
        <f ca="1">MIN(J71,IF(B45&gt;0,B5*C51,0))</f>
        <v>0</v>
      </c>
      <c r="C51" s="53">
        <v>0.1502</v>
      </c>
      <c r="D51" s="94"/>
      <c r="E51" s="13"/>
      <c r="F51" s="42"/>
      <c r="H51" s="61" t="s">
        <v>94</v>
      </c>
      <c r="I51" s="45"/>
      <c r="J51" s="21"/>
      <c r="K51" s="73">
        <f ca="1">MIN(B58,K50)</f>
        <v>0</v>
      </c>
      <c r="Q51" s="18"/>
    </row>
    <row r="52" spans="1:17" x14ac:dyDescent="0.3">
      <c r="A52" t="s">
        <v>47</v>
      </c>
      <c r="B52" s="37">
        <f ca="1">MIN(J71,IF(B46&gt;0,B5*C52,0))</f>
        <v>0</v>
      </c>
      <c r="C52" s="53">
        <v>0.105217</v>
      </c>
      <c r="D52" s="94"/>
      <c r="E52" s="13"/>
      <c r="I52" s="45"/>
      <c r="J52" s="21"/>
      <c r="K52" s="12">
        <f ca="1">K50-K51</f>
        <v>11748.262999999999</v>
      </c>
      <c r="Q52" s="18"/>
    </row>
    <row r="53" spans="1:17" x14ac:dyDescent="0.3">
      <c r="B53" s="36">
        <f ca="1">SUM(B51:B52)</f>
        <v>0</v>
      </c>
      <c r="C53" s="4"/>
      <c r="D53" s="21"/>
      <c r="E53" s="13"/>
      <c r="H53" s="61" t="s">
        <v>95</v>
      </c>
      <c r="I53" s="45"/>
      <c r="J53" s="21"/>
      <c r="K53" s="73">
        <f ca="1">MIN(B99,K52)</f>
        <v>0</v>
      </c>
      <c r="Q53" s="18"/>
    </row>
    <row r="54" spans="1:17" x14ac:dyDescent="0.3">
      <c r="B54" s="36"/>
      <c r="C54" s="4"/>
      <c r="D54" s="21"/>
      <c r="E54" s="13"/>
      <c r="I54" s="45"/>
      <c r="J54" s="21"/>
      <c r="K54" s="12">
        <f ca="1">K52-K53</f>
        <v>11748.262999999999</v>
      </c>
      <c r="Q54" s="18"/>
    </row>
    <row r="55" spans="1:17" x14ac:dyDescent="0.3">
      <c r="A55" s="19" t="s">
        <v>96</v>
      </c>
      <c r="B55" s="36"/>
      <c r="C55" s="4"/>
      <c r="D55" s="21"/>
      <c r="E55" s="13"/>
      <c r="F55" s="18"/>
      <c r="G55" s="4"/>
      <c r="H55" s="16"/>
      <c r="I55" s="45"/>
      <c r="J55" s="21"/>
      <c r="K55" s="21"/>
      <c r="Q55" s="18"/>
    </row>
    <row r="56" spans="1:17" x14ac:dyDescent="0.3">
      <c r="A56" t="s">
        <v>46</v>
      </c>
      <c r="B56" s="36">
        <f ca="1">MIN(K50,IF(B45&gt;0,B5*C56,0))</f>
        <v>0</v>
      </c>
      <c r="C56" s="53">
        <v>0.15</v>
      </c>
      <c r="D56" s="94"/>
      <c r="I56" s="45"/>
      <c r="J56" s="21"/>
      <c r="K56" s="21"/>
      <c r="Q56" s="18"/>
    </row>
    <row r="57" spans="1:17" x14ac:dyDescent="0.3">
      <c r="A57" t="s">
        <v>47</v>
      </c>
      <c r="B57" s="37">
        <f ca="1">MIN(K50,IF(B46&gt;0,B5*C57,0))</f>
        <v>0</v>
      </c>
      <c r="C57" s="56">
        <v>3.1399999999999997E-2</v>
      </c>
      <c r="D57" s="95"/>
      <c r="I57" s="45"/>
      <c r="J57" s="21"/>
      <c r="K57" s="21"/>
      <c r="Q57" s="18"/>
    </row>
    <row r="58" spans="1:17" x14ac:dyDescent="0.3">
      <c r="B58" s="36">
        <f ca="1">SUM(B56:B57)</f>
        <v>0</v>
      </c>
      <c r="C58" s="4"/>
      <c r="D58" s="21"/>
      <c r="I58" s="45"/>
      <c r="J58" s="21"/>
      <c r="K58" s="21"/>
      <c r="Q58" s="18"/>
    </row>
    <row r="59" spans="1:17" x14ac:dyDescent="0.3">
      <c r="B59" s="36"/>
      <c r="C59" s="4"/>
      <c r="D59" s="21"/>
      <c r="I59" s="45"/>
      <c r="J59" s="21"/>
      <c r="K59" s="21"/>
      <c r="Q59" s="18"/>
    </row>
    <row r="60" spans="1:17" x14ac:dyDescent="0.3">
      <c r="A60" s="3" t="s">
        <v>52</v>
      </c>
      <c r="B60" s="36"/>
      <c r="C60" s="4"/>
      <c r="I60" s="45"/>
      <c r="J60" s="21"/>
      <c r="K60" s="21"/>
      <c r="Q60" s="18"/>
    </row>
    <row r="61" spans="1:17" x14ac:dyDescent="0.3">
      <c r="B61" s="36"/>
      <c r="C61" s="4"/>
      <c r="I61" s="45"/>
      <c r="J61" s="21"/>
      <c r="K61" s="21"/>
      <c r="Q61" s="18"/>
    </row>
    <row r="62" spans="1:17" x14ac:dyDescent="0.3">
      <c r="A62" s="19" t="s">
        <v>53</v>
      </c>
      <c r="B62" s="36"/>
      <c r="C62" s="4"/>
      <c r="H62" s="12"/>
      <c r="I62" s="45"/>
      <c r="J62" s="21"/>
      <c r="K62" s="21"/>
      <c r="Q62" s="18"/>
    </row>
    <row r="63" spans="1:17" x14ac:dyDescent="0.3">
      <c r="A63" t="s">
        <v>73</v>
      </c>
      <c r="B63" s="36">
        <f>$B$5</f>
        <v>2000</v>
      </c>
      <c r="C63" s="58" t="s">
        <v>30</v>
      </c>
      <c r="D63" s="19" t="s">
        <v>54</v>
      </c>
      <c r="E63" s="13"/>
      <c r="F63" s="18"/>
      <c r="G63" s="4"/>
      <c r="H63" s="65" t="s">
        <v>64</v>
      </c>
      <c r="I63" s="45" t="s">
        <v>63</v>
      </c>
      <c r="J63" s="71" t="s">
        <v>65</v>
      </c>
      <c r="K63" s="21"/>
      <c r="Q63" s="18"/>
    </row>
    <row r="64" spans="1:17" ht="15.6" x14ac:dyDescent="0.3">
      <c r="A64" t="s">
        <v>74</v>
      </c>
      <c r="B64" s="36">
        <f>IF($B$10="US",-IF(($B$11/$B$5)&gt;15%,$B$11-($B$5*15%),0),0)</f>
        <v>0</v>
      </c>
      <c r="C64" s="58" t="s">
        <v>31</v>
      </c>
      <c r="D64" t="s">
        <v>9</v>
      </c>
      <c r="E64" s="4">
        <v>0</v>
      </c>
      <c r="F64" s="5">
        <f t="shared" ref="F64:G67" si="3">C22</f>
        <v>45282</v>
      </c>
      <c r="G64" s="6">
        <f t="shared" si="3"/>
        <v>0.15</v>
      </c>
      <c r="H64" s="12">
        <v>0</v>
      </c>
      <c r="I64" s="12">
        <f ca="1">IF(AND(($B$18+$B$5+$B$67)&gt;=E64,($B$18+$B$5+$B$67)&lt;F64),($B$18+$B$5+$B$67-E64)*G64,0)</f>
        <v>0</v>
      </c>
      <c r="J64" s="12">
        <f ca="1">(IF(I64=0,0,H64+I64))</f>
        <v>0</v>
      </c>
      <c r="K64" s="21"/>
      <c r="Q64" s="18"/>
    </row>
    <row r="65" spans="1:17" ht="15.6" x14ac:dyDescent="0.3">
      <c r="A65" t="s">
        <v>75</v>
      </c>
      <c r="B65" s="36">
        <f>IF(B6="Canadian Corporation",0,IF($B$10="non-US",-IF(($B$11/$B$5)&gt;15%,$B$11-($B$5*15%),0),0))</f>
        <v>0</v>
      </c>
      <c r="C65" s="4"/>
      <c r="D65" t="s">
        <v>10</v>
      </c>
      <c r="E65" s="5">
        <f>F64</f>
        <v>45282</v>
      </c>
      <c r="F65" s="5">
        <f t="shared" si="3"/>
        <v>90563</v>
      </c>
      <c r="G65" s="6">
        <f t="shared" si="3"/>
        <v>0.20499999999999999</v>
      </c>
      <c r="H65" s="12">
        <f>(F64-E64)*G64</f>
        <v>6792.3</v>
      </c>
      <c r="I65" s="12">
        <f ca="1">IF(AND(($B$18+$B$5+$B$67)&gt;=E65,($B$18+$B$5+$B$67)&lt;F65),($B$18+$B$5+$B$67-E65)*G65,0)</f>
        <v>0</v>
      </c>
      <c r="J65" s="12">
        <f t="shared" ref="J65:J68" ca="1" si="4">(IF(I65=0,0,H65+I65))</f>
        <v>0</v>
      </c>
      <c r="K65" s="21"/>
      <c r="Q65" s="18"/>
    </row>
    <row r="66" spans="1:17" ht="15.6" x14ac:dyDescent="0.3">
      <c r="A66" t="s">
        <v>80</v>
      </c>
      <c r="B66" s="37">
        <f ca="1">-B101</f>
        <v>0</v>
      </c>
      <c r="C66" s="4"/>
      <c r="D66" t="s">
        <v>10</v>
      </c>
      <c r="E66" s="5">
        <f>F65</f>
        <v>90563</v>
      </c>
      <c r="F66" s="5">
        <f t="shared" si="3"/>
        <v>140388</v>
      </c>
      <c r="G66" s="6">
        <f t="shared" si="3"/>
        <v>0.26</v>
      </c>
      <c r="H66" s="12">
        <f>((F65-E65)*G65)+H65</f>
        <v>16074.904999999999</v>
      </c>
      <c r="I66" s="12">
        <f ca="1">IF(AND(($B$18+$B$5+$B$67)&gt;=E66,($B$18+$B$5+$B$67)&lt;F66),($B$18+$B$5+$B$67-E66)*G66,0)</f>
        <v>0</v>
      </c>
      <c r="J66" s="12">
        <f t="shared" ca="1" si="4"/>
        <v>0</v>
      </c>
      <c r="K66" s="21"/>
      <c r="Q66" s="18"/>
    </row>
    <row r="67" spans="1:17" ht="15.6" x14ac:dyDescent="0.3">
      <c r="A67" t="s">
        <v>82</v>
      </c>
      <c r="B67" s="37">
        <f ca="1">SUM(B65:B66)</f>
        <v>0</v>
      </c>
      <c r="C67" s="58" t="s">
        <v>81</v>
      </c>
      <c r="D67" t="s">
        <v>10</v>
      </c>
      <c r="E67" s="5">
        <f>F66</f>
        <v>140388</v>
      </c>
      <c r="F67" s="5">
        <f t="shared" si="3"/>
        <v>200000</v>
      </c>
      <c r="G67" s="6">
        <f t="shared" si="3"/>
        <v>0.28999999999999998</v>
      </c>
      <c r="H67" s="12">
        <f>((F66-E66)*G66)+H66</f>
        <v>29029.404999999999</v>
      </c>
      <c r="I67" s="12">
        <f ca="1">IF(AND(($B$18+$B$5+$B$67)&gt;=E67,($B$18+$B$5+$B$67)&lt;F67),($B$18+$B$5+$B$67-E67)*G67,0)</f>
        <v>177.48</v>
      </c>
      <c r="J67" s="12">
        <f t="shared" ca="1" si="4"/>
        <v>29206.884999999998</v>
      </c>
      <c r="K67" s="21"/>
      <c r="Q67" s="18"/>
    </row>
    <row r="68" spans="1:17" ht="15.6" x14ac:dyDescent="0.3">
      <c r="A68" t="s">
        <v>55</v>
      </c>
      <c r="B68" s="36">
        <f ca="1">B63+B64+B67</f>
        <v>2000</v>
      </c>
      <c r="C68" s="58" t="s">
        <v>83</v>
      </c>
      <c r="E68" s="5">
        <f>F67</f>
        <v>200000</v>
      </c>
      <c r="G68" s="6">
        <f>D26</f>
        <v>0.33</v>
      </c>
      <c r="H68" s="12">
        <f>((F67-E67)*G67)+H67</f>
        <v>46316.884999999995</v>
      </c>
      <c r="I68" s="12">
        <f ca="1">IF(($B$18+$B$5+$B$67)&gt;=E68,($B$18+$B$5+$B$67-E68)*G68,0)</f>
        <v>0</v>
      </c>
      <c r="J68" s="52">
        <f t="shared" ca="1" si="4"/>
        <v>0</v>
      </c>
      <c r="K68" s="21"/>
      <c r="Q68" s="18"/>
    </row>
    <row r="69" spans="1:17" x14ac:dyDescent="0.3">
      <c r="B69" s="36"/>
      <c r="C69" s="4"/>
      <c r="E69" s="13"/>
      <c r="F69" s="18"/>
      <c r="G69" s="4"/>
      <c r="H69" s="16"/>
      <c r="I69" s="45"/>
      <c r="J69" s="12">
        <f ca="1">SUM(J64:J68)</f>
        <v>29206.884999999998</v>
      </c>
      <c r="K69" s="21"/>
      <c r="Q69" s="18"/>
    </row>
    <row r="70" spans="1:17" x14ac:dyDescent="0.3">
      <c r="A70" t="s">
        <v>6</v>
      </c>
      <c r="B70" s="38">
        <f>$B$5+$B$18</f>
        <v>141000</v>
      </c>
      <c r="C70" s="58" t="s">
        <v>30</v>
      </c>
      <c r="G70" s="61" t="s">
        <v>34</v>
      </c>
      <c r="H70" s="13">
        <f>B28</f>
        <v>11474</v>
      </c>
      <c r="I70" s="76">
        <f>D22</f>
        <v>0.15</v>
      </c>
      <c r="J70" s="52">
        <f ca="1">IF(($B$5+$B$18+B67)&lt;H70,($B$5+$B$18+B67)*I70,H70*I70)</f>
        <v>1721.1</v>
      </c>
      <c r="K70" s="21"/>
      <c r="Q70" s="18"/>
    </row>
    <row r="71" spans="1:17" x14ac:dyDescent="0.3">
      <c r="A71" t="s">
        <v>75</v>
      </c>
      <c r="B71" s="38">
        <f>IF($B$10="non-US",-IF(($B$11/$B$5)&gt;15%,$B$11-($B$5*15%),0),0)</f>
        <v>0</v>
      </c>
      <c r="C71" s="4"/>
      <c r="G71" s="61"/>
      <c r="I71" s="45"/>
      <c r="J71" s="13">
        <f ca="1">IF((J69-J70)&lt;=0,0,J69-J70)</f>
        <v>27485.785</v>
      </c>
      <c r="K71" s="21"/>
      <c r="Q71" s="18"/>
    </row>
    <row r="72" spans="1:17" x14ac:dyDescent="0.3">
      <c r="A72" t="s">
        <v>80</v>
      </c>
      <c r="B72" s="37">
        <f ca="1">B66</f>
        <v>0</v>
      </c>
      <c r="C72" s="4"/>
      <c r="G72" s="61"/>
      <c r="I72" s="45"/>
      <c r="J72" s="44"/>
      <c r="K72" s="21"/>
      <c r="Q72" s="18"/>
    </row>
    <row r="73" spans="1:17" x14ac:dyDescent="0.3">
      <c r="A73" t="s">
        <v>82</v>
      </c>
      <c r="B73" s="37">
        <f ca="1">SUM(B71:B72)</f>
        <v>0</v>
      </c>
      <c r="C73" s="58" t="s">
        <v>31</v>
      </c>
      <c r="E73" s="13"/>
      <c r="F73" s="18"/>
      <c r="I73" s="45"/>
      <c r="J73" s="21"/>
      <c r="K73" s="21"/>
      <c r="Q73" s="18"/>
    </row>
    <row r="74" spans="1:17" x14ac:dyDescent="0.3">
      <c r="A74" t="s">
        <v>76</v>
      </c>
      <c r="B74" s="36">
        <f ca="1">B70+B73</f>
        <v>141000</v>
      </c>
      <c r="C74" s="58" t="s">
        <v>84</v>
      </c>
      <c r="I74" s="45"/>
      <c r="J74" s="21"/>
      <c r="K74" s="21"/>
      <c r="Q74" s="18"/>
    </row>
    <row r="75" spans="1:17" x14ac:dyDescent="0.3">
      <c r="B75" s="36"/>
      <c r="C75" s="4"/>
      <c r="I75" s="45"/>
      <c r="J75" s="21"/>
      <c r="K75" s="21"/>
      <c r="Q75" s="18"/>
    </row>
    <row r="76" spans="1:17" x14ac:dyDescent="0.3">
      <c r="A76" t="s">
        <v>56</v>
      </c>
      <c r="B76" s="57">
        <f ca="1">B68/B74</f>
        <v>1.4184397163120567E-2</v>
      </c>
      <c r="C76" s="4"/>
      <c r="I76" s="45"/>
      <c r="J76" s="21"/>
      <c r="K76" s="21"/>
      <c r="Q76" s="18"/>
    </row>
    <row r="77" spans="1:17" x14ac:dyDescent="0.3">
      <c r="B77" s="36"/>
      <c r="C77" s="4"/>
      <c r="I77" s="45"/>
      <c r="J77" s="21"/>
      <c r="K77" s="21"/>
      <c r="Q77" s="18"/>
    </row>
    <row r="78" spans="1:17" x14ac:dyDescent="0.3">
      <c r="A78" t="s">
        <v>54</v>
      </c>
      <c r="B78" s="36">
        <f ca="1">J71</f>
        <v>27485.785</v>
      </c>
      <c r="C78" s="4"/>
      <c r="I78" s="45"/>
      <c r="J78" s="21"/>
      <c r="K78" s="21"/>
      <c r="Q78" s="18"/>
    </row>
    <row r="79" spans="1:17" x14ac:dyDescent="0.3">
      <c r="B79" s="36"/>
      <c r="C79" s="4"/>
      <c r="E79" s="63"/>
      <c r="F79" s="38"/>
      <c r="G79" s="4"/>
      <c r="H79" s="59"/>
      <c r="I79" s="45"/>
      <c r="J79" s="71"/>
      <c r="K79" s="21"/>
      <c r="Q79" s="18"/>
    </row>
    <row r="80" spans="1:17" ht="15.6" x14ac:dyDescent="0.3">
      <c r="A80" t="s">
        <v>66</v>
      </c>
      <c r="B80" s="36">
        <f ca="1">B78*B76</f>
        <v>389.86929078014185</v>
      </c>
      <c r="C80" s="58" t="s">
        <v>30</v>
      </c>
      <c r="E80" s="4"/>
      <c r="G80" s="6"/>
      <c r="H80" s="38"/>
      <c r="I80" s="45"/>
      <c r="J80" s="38"/>
      <c r="K80" s="21"/>
      <c r="Q80" s="18"/>
    </row>
    <row r="81" spans="1:17" ht="15.6" x14ac:dyDescent="0.3">
      <c r="A81" t="s">
        <v>67</v>
      </c>
      <c r="B81" s="36">
        <f>IF(B6="Canadian Corporation",0,MIN($B$11,$B$5*15%))</f>
        <v>200</v>
      </c>
      <c r="C81" s="58" t="s">
        <v>31</v>
      </c>
      <c r="E81" s="5"/>
      <c r="G81" s="7"/>
      <c r="H81" s="38"/>
      <c r="I81" s="45"/>
      <c r="J81" s="38"/>
      <c r="K81" s="21"/>
      <c r="Q81" s="18"/>
    </row>
    <row r="82" spans="1:17" ht="15.6" x14ac:dyDescent="0.3">
      <c r="B82" s="36"/>
      <c r="C82" s="4"/>
      <c r="E82" s="5"/>
      <c r="G82" s="7"/>
      <c r="H82" s="38"/>
      <c r="I82" s="45"/>
      <c r="J82" s="38"/>
      <c r="K82" s="21"/>
      <c r="Q82" s="18"/>
    </row>
    <row r="83" spans="1:17" ht="15.6" x14ac:dyDescent="0.3">
      <c r="A83" t="s">
        <v>68</v>
      </c>
      <c r="B83" s="60">
        <f ca="1">MIN(B80,B81)</f>
        <v>200</v>
      </c>
      <c r="C83" s="58" t="s">
        <v>86</v>
      </c>
      <c r="E83" s="5"/>
      <c r="G83" s="7"/>
      <c r="H83" s="38"/>
      <c r="I83" s="45"/>
      <c r="J83" s="38"/>
      <c r="K83" s="21"/>
      <c r="Q83" s="18"/>
    </row>
    <row r="84" spans="1:17" ht="15.6" x14ac:dyDescent="0.3">
      <c r="B84" s="60"/>
      <c r="C84" s="4"/>
      <c r="E84" s="5"/>
      <c r="F84" s="5"/>
      <c r="G84" s="7"/>
      <c r="H84" s="38"/>
      <c r="I84" s="45"/>
      <c r="J84" s="38"/>
      <c r="K84" s="21"/>
      <c r="Q84" s="18"/>
    </row>
    <row r="85" spans="1:17" ht="15.6" x14ac:dyDescent="0.3">
      <c r="B85" s="60"/>
      <c r="C85" s="4"/>
      <c r="E85" s="13"/>
      <c r="F85" s="5"/>
      <c r="G85" s="4"/>
      <c r="H85" s="16"/>
      <c r="I85" s="45"/>
      <c r="J85" s="38"/>
      <c r="K85" s="21"/>
      <c r="Q85" s="18"/>
    </row>
    <row r="86" spans="1:17" x14ac:dyDescent="0.3">
      <c r="A86" s="19" t="s">
        <v>69</v>
      </c>
      <c r="B86" s="36"/>
      <c r="C86" s="4"/>
      <c r="H86" s="12"/>
      <c r="I86" s="45"/>
      <c r="J86" s="21"/>
      <c r="K86" s="21"/>
      <c r="L86" s="19"/>
      <c r="Q86" s="18"/>
    </row>
    <row r="87" spans="1:17" x14ac:dyDescent="0.3">
      <c r="A87" t="s">
        <v>55</v>
      </c>
      <c r="B87" s="36">
        <f ca="1">B68</f>
        <v>2000</v>
      </c>
      <c r="C87" s="4"/>
      <c r="D87" s="19" t="s">
        <v>70</v>
      </c>
      <c r="E87" s="13"/>
      <c r="F87" s="18"/>
      <c r="G87" s="4"/>
      <c r="H87" s="65" t="s">
        <v>64</v>
      </c>
      <c r="I87" s="45" t="s">
        <v>63</v>
      </c>
      <c r="J87" s="71" t="s">
        <v>65</v>
      </c>
      <c r="K87" s="51"/>
      <c r="Q87" s="18"/>
    </row>
    <row r="88" spans="1:17" ht="15.6" x14ac:dyDescent="0.3">
      <c r="A88" t="s">
        <v>23</v>
      </c>
      <c r="B88" s="38">
        <f ca="1">B74</f>
        <v>141000</v>
      </c>
      <c r="C88" s="4"/>
      <c r="D88" t="s">
        <v>9</v>
      </c>
      <c r="E88">
        <v>0</v>
      </c>
      <c r="F88" s="5">
        <f t="shared" ref="F88:G91" si="5">C32</f>
        <v>45282</v>
      </c>
      <c r="G88" s="7">
        <f t="shared" si="5"/>
        <v>6.4000000000000001E-2</v>
      </c>
      <c r="H88" s="12">
        <v>0</v>
      </c>
      <c r="I88" s="44">
        <f ca="1">IF(AND(($B$18+$B$5+$B$67)&gt;=E88,($B$18+$B$5+$B$67)&lt;F88),($B$18+$B$5+$B$67-E88)*G88,0)</f>
        <v>0</v>
      </c>
      <c r="J88" s="12">
        <f ca="1">(IF(I88=0,0,H88+I88))</f>
        <v>0</v>
      </c>
      <c r="K88" s="21"/>
      <c r="Q88" s="18"/>
    </row>
    <row r="89" spans="1:17" ht="15.6" x14ac:dyDescent="0.3">
      <c r="A89" t="s">
        <v>56</v>
      </c>
      <c r="B89" s="57">
        <f ca="1">B87/B88</f>
        <v>1.4184397163120567E-2</v>
      </c>
      <c r="C89" s="4"/>
      <c r="D89" t="s">
        <v>10</v>
      </c>
      <c r="E89" s="5">
        <f>F88</f>
        <v>45282</v>
      </c>
      <c r="F89" s="5">
        <f t="shared" si="5"/>
        <v>90563</v>
      </c>
      <c r="G89" s="7">
        <f t="shared" si="5"/>
        <v>0.09</v>
      </c>
      <c r="H89" s="12">
        <f>(F88-E88)*G88</f>
        <v>2898.0480000000002</v>
      </c>
      <c r="I89" s="44">
        <f ca="1">IF(AND(($B$18+$B$5+$B$67)&gt;=E89,($B$18+$B$5+$B$67)&lt;F89),($B$18+$B$5+$B$67-E89)*G89,0)</f>
        <v>0</v>
      </c>
      <c r="J89" s="12">
        <f t="shared" ref="J89:J92" ca="1" si="6">(IF(I89=0,0,H89+I89))</f>
        <v>0</v>
      </c>
      <c r="K89" s="21"/>
      <c r="Q89" s="18"/>
    </row>
    <row r="90" spans="1:17" ht="15.6" x14ac:dyDescent="0.3">
      <c r="B90" s="36"/>
      <c r="C90" s="4"/>
      <c r="D90" t="s">
        <v>10</v>
      </c>
      <c r="E90" s="26">
        <f>F89</f>
        <v>90563</v>
      </c>
      <c r="F90" s="5">
        <f t="shared" si="5"/>
        <v>140388</v>
      </c>
      <c r="G90" s="7">
        <f t="shared" si="5"/>
        <v>0.109</v>
      </c>
      <c r="H90" s="12">
        <f>((F89-E89)*G89)+H89</f>
        <v>6973.3379999999997</v>
      </c>
      <c r="I90" s="44">
        <f ca="1">IF(AND(($B$18+$B$5+$B$67)&gt;=E90,($B$18+$B$5+$B$67)&lt;F90),($B$18+$B$5+$B$67-E90)*G90,0)</f>
        <v>0</v>
      </c>
      <c r="J90" s="12">
        <f t="shared" ca="1" si="6"/>
        <v>0</v>
      </c>
      <c r="K90" s="21"/>
      <c r="Q90" s="18"/>
    </row>
    <row r="91" spans="1:17" ht="15.6" x14ac:dyDescent="0.3">
      <c r="A91" t="s">
        <v>70</v>
      </c>
      <c r="B91" s="36">
        <f ca="1">J95</f>
        <v>11748.262999999999</v>
      </c>
      <c r="C91" s="4"/>
      <c r="D91" t="s">
        <v>10</v>
      </c>
      <c r="E91" s="5">
        <f>F90</f>
        <v>140388</v>
      </c>
      <c r="F91" s="5">
        <f t="shared" si="5"/>
        <v>500000</v>
      </c>
      <c r="G91" s="7">
        <f t="shared" si="5"/>
        <v>0.128</v>
      </c>
      <c r="H91" s="12">
        <f>((F90-E90)*G90)+H90</f>
        <v>12404.262999999999</v>
      </c>
      <c r="I91" s="44">
        <f ca="1">IF(AND(($B$18+$B$5+$B$67)&gt;=E91,($B$18+$B$5+$B$67)&lt;F91),($B$18+$B$5+$B$67-E91)*G91,0)</f>
        <v>78.335999999999999</v>
      </c>
      <c r="J91" s="12">
        <f ca="1">(IF(I91=0,0,H91+I91))</f>
        <v>12482.598999999998</v>
      </c>
      <c r="K91" s="21"/>
      <c r="Q91" s="18"/>
    </row>
    <row r="92" spans="1:17" ht="15.6" x14ac:dyDescent="0.3">
      <c r="B92" s="36"/>
      <c r="C92" s="4"/>
      <c r="E92" s="5">
        <f>F91</f>
        <v>500000</v>
      </c>
      <c r="G92" s="7">
        <f>D36</f>
        <v>0.15</v>
      </c>
      <c r="H92" s="12">
        <f>((F91-E91)*G91)+H91</f>
        <v>58434.599000000002</v>
      </c>
      <c r="I92" s="44">
        <f ca="1">IF(($B$18+$B$5+$B$67)&gt;=E92,($B$18+$B$5+$B$67-E92)*G92,0)</f>
        <v>0</v>
      </c>
      <c r="J92" s="52">
        <f t="shared" ca="1" si="6"/>
        <v>0</v>
      </c>
      <c r="K92" s="21"/>
      <c r="Q92" s="18"/>
    </row>
    <row r="93" spans="1:17" x14ac:dyDescent="0.3">
      <c r="A93" t="s">
        <v>66</v>
      </c>
      <c r="B93" s="36">
        <f ca="1">B91*B89</f>
        <v>166.64202836879431</v>
      </c>
      <c r="C93" s="58" t="s">
        <v>30</v>
      </c>
      <c r="E93" s="13"/>
      <c r="F93" s="18"/>
      <c r="G93" s="4"/>
      <c r="H93" s="20"/>
      <c r="I93" s="45"/>
      <c r="J93" s="51">
        <f ca="1">SUM(J88:J92)</f>
        <v>12482.598999999998</v>
      </c>
      <c r="K93" s="21"/>
      <c r="Q93" s="18"/>
    </row>
    <row r="94" spans="1:17" x14ac:dyDescent="0.3">
      <c r="B94" s="36"/>
      <c r="C94" s="58"/>
      <c r="E94" s="13"/>
      <c r="F94" s="18"/>
      <c r="G94" s="61" t="s">
        <v>34</v>
      </c>
      <c r="H94" s="13">
        <f>B38</f>
        <v>11474</v>
      </c>
      <c r="I94" s="76">
        <f>D32</f>
        <v>6.4000000000000001E-2</v>
      </c>
      <c r="J94" s="52">
        <f ca="1">IF(($B$5+$B$18+$B$67)&lt;H94,($B$5+$B$18+$B$67)*I94,H94*I94)</f>
        <v>734.33600000000001</v>
      </c>
      <c r="K94" s="21"/>
      <c r="Q94" s="18"/>
    </row>
    <row r="95" spans="1:17" x14ac:dyDescent="0.3">
      <c r="A95" t="s">
        <v>67</v>
      </c>
      <c r="B95" s="36">
        <f>B81</f>
        <v>200</v>
      </c>
      <c r="E95" s="35"/>
      <c r="F95" s="21"/>
      <c r="G95" s="4"/>
      <c r="H95" s="4"/>
      <c r="I95" s="45"/>
      <c r="J95" s="13">
        <f ca="1">IF((J93-J94)&lt;=0,0,J93-J94)</f>
        <v>11748.262999999999</v>
      </c>
      <c r="K95" s="21"/>
    </row>
    <row r="96" spans="1:17" x14ac:dyDescent="0.3">
      <c r="A96" t="s">
        <v>77</v>
      </c>
      <c r="B96" s="37">
        <f ca="1">-B83</f>
        <v>-200</v>
      </c>
      <c r="C96" s="58"/>
      <c r="F96" s="38"/>
      <c r="G96" s="62"/>
      <c r="H96" s="18"/>
      <c r="I96" s="45"/>
      <c r="J96" s="47"/>
      <c r="K96" s="21"/>
    </row>
    <row r="97" spans="1:12" x14ac:dyDescent="0.3">
      <c r="B97" s="36">
        <f ca="1">SUM(B95:B96)</f>
        <v>0</v>
      </c>
      <c r="C97" s="58" t="s">
        <v>31</v>
      </c>
      <c r="G97" s="18"/>
      <c r="H97" s="18"/>
      <c r="I97" s="45"/>
      <c r="J97" s="12"/>
      <c r="K97" s="21"/>
    </row>
    <row r="98" spans="1:12" x14ac:dyDescent="0.3">
      <c r="B98" s="36"/>
      <c r="C98" s="4"/>
      <c r="H98" s="18"/>
      <c r="I98" s="45"/>
      <c r="J98" s="51"/>
      <c r="K98" s="50"/>
      <c r="L98" s="16"/>
    </row>
    <row r="99" spans="1:12" x14ac:dyDescent="0.3">
      <c r="A99" t="s">
        <v>71</v>
      </c>
      <c r="B99" s="60">
        <f ca="1">MIN(B93,B97)</f>
        <v>0</v>
      </c>
      <c r="C99" s="58" t="s">
        <v>86</v>
      </c>
      <c r="I99" s="45"/>
      <c r="J99" s="21"/>
      <c r="K99" s="50"/>
      <c r="L99" s="16"/>
    </row>
    <row r="100" spans="1:12" x14ac:dyDescent="0.3">
      <c r="B100" s="36"/>
      <c r="C100" s="4"/>
      <c r="I100" s="45"/>
      <c r="J100" s="21"/>
      <c r="K100" s="50"/>
      <c r="L100" s="16"/>
    </row>
    <row r="101" spans="1:12" x14ac:dyDescent="0.3">
      <c r="A101" t="s">
        <v>85</v>
      </c>
      <c r="B101" s="60">
        <f ca="1">B81-B83-B99</f>
        <v>0</v>
      </c>
      <c r="C101" s="58" t="s">
        <v>87</v>
      </c>
      <c r="G101" s="18"/>
      <c r="H101" s="18"/>
      <c r="I101" s="45"/>
      <c r="J101" s="51"/>
      <c r="K101" s="50"/>
      <c r="L101" s="16"/>
    </row>
    <row r="102" spans="1:12" x14ac:dyDescent="0.3">
      <c r="B102" s="36"/>
      <c r="C102" s="4"/>
      <c r="G102" s="18"/>
      <c r="H102" s="18"/>
      <c r="I102" s="45"/>
      <c r="J102" s="51"/>
      <c r="K102" s="50"/>
      <c r="L102" s="16"/>
    </row>
    <row r="103" spans="1:12" x14ac:dyDescent="0.3">
      <c r="A103" s="2" t="s">
        <v>12</v>
      </c>
      <c r="G103" s="18"/>
      <c r="H103" s="47"/>
      <c r="I103" s="74"/>
      <c r="J103" s="47"/>
      <c r="K103" s="46"/>
      <c r="L103" s="16"/>
    </row>
    <row r="104" spans="1:12" x14ac:dyDescent="0.3">
      <c r="B104" s="11"/>
      <c r="C104" t="s">
        <v>13</v>
      </c>
      <c r="G104" s="18"/>
      <c r="H104" s="47"/>
      <c r="I104" s="79"/>
      <c r="J104" s="47"/>
      <c r="K104" s="46"/>
      <c r="L104" s="16"/>
    </row>
    <row r="105" spans="1:12" x14ac:dyDescent="0.3">
      <c r="B105" s="36"/>
      <c r="C105" s="4"/>
      <c r="H105" s="44"/>
      <c r="I105" s="45"/>
      <c r="J105" s="45"/>
      <c r="K105" s="45"/>
      <c r="L105" s="16"/>
    </row>
    <row r="106" spans="1:12" x14ac:dyDescent="0.3">
      <c r="A106" t="s">
        <v>19</v>
      </c>
      <c r="B106" s="36">
        <f ca="1">IF(AND((B5+B67+B18)&gt;=B22,(B5+B67+B18)&lt;=C22),(B5+B67)*D22,IF(AND((B5+B67+B18)&gt;B23,(B5+B67+B18)&lt;=C23),IF((B5+B67+B18-B23)&gt;(B5+B67),(B5+B67)*D23,((B5+B67+B18-B23)*D23)+((B5+B67-(B5+B67+B18-B23))*D22)),IF(AND((B5+B67+B18)&gt;B24,(B5+B67+B18)&lt;=C24),IF((B5+B67+B18-B24)&gt;(B5+B67),(B5+B67)*D24,IF((B5+B67+B18-B23)&gt;(B5+B67),(((B5+B67+B18-B24)*D24)+((B5+B67-(B5+B67+B18-B24))*D23)),((B5+B67+B18-B24)*D24)+((C23-B23)*D23)+((B5+B67-(B5+B67+B18-B23))*D22))),IF(AND((B5+B67+B18)&gt;B25,(B5+B67+B18)&lt;=C25),IF((B5+B67+B18-B25)&gt;(B5+B67),(B5+B67)*D25,IF((B5+B67+B18-B24)&gt;(B5+B67),((B5+B67+B18-B25)*D25)+(((B5+B67-(B5+B67+B18-B25))*D24)),IF((B5+B67+B18-B23)&gt;(B5+B67),(((B5+B67+B18-B25)*D25)+((C24-B24)*D24)+((B5+B67-(B5+B67+B18-B24))*D23)),((B5+B67+B18-B25)*D25)+((C24-B24)*D24)+((C23-B23)*D23)+((B5+B67-(B5+B67+B18-B23))*D22)))),IF((B5+B67+B18)&gt;B26,IF((B5+B67+B18-B26)&gt;(B5+B67),(B5+B67)*D26,IF((B5+B67+B18-B25)&gt;(B5+B67),(((B5+B67+B18-B26)*D26)+((B5+B67-(B5+B67+B18-B26))*D25)),IF((B5+B67+B18-B24)&gt;(B5+B67),(((B5+B67+B18-B26)*D26)+((C25-B25)*D25)+((B5+B67-(B5+B67+B18-B25))*D24)),IF((B5+B67+B18-B23)&gt;(B5+B67),(((B5+B67+B18-B26)*D26)+((C25-B25)*D25)+((C24-B24)*D24)+((B5+B67-(B5+B67+B18-B24))*D23)),((B5+B67+B18-B26)*D26)+((C25-B25)*D25)+((C24-B24)*D24)+((C23-B23)*D23)+((B5+B67-(B5+B67+B18-B23))*D22))))))))))</f>
        <v>538.36</v>
      </c>
      <c r="C106" t="s">
        <v>15</v>
      </c>
      <c r="G106" s="28"/>
      <c r="H106" s="45"/>
      <c r="I106" s="45"/>
      <c r="J106" s="45"/>
      <c r="K106" s="45"/>
      <c r="L106" s="13"/>
    </row>
    <row r="107" spans="1:12" x14ac:dyDescent="0.3">
      <c r="B107" s="36">
        <f>-IF(B18&gt;=B28,0,IF(B18&lt;B28,IF((B18+B5+B67)&gt;B28,(B28-B18)*D22,((B5+B67)*D22))))</f>
        <v>0</v>
      </c>
      <c r="C107" t="s">
        <v>33</v>
      </c>
      <c r="G107" s="28"/>
      <c r="H107" s="75"/>
      <c r="I107" s="45"/>
      <c r="J107" s="47"/>
      <c r="K107" s="46"/>
      <c r="L107" s="16"/>
    </row>
    <row r="108" spans="1:12" x14ac:dyDescent="0.3">
      <c r="B108" s="36">
        <f ca="1">-B53</f>
        <v>0</v>
      </c>
      <c r="C108" t="s">
        <v>48</v>
      </c>
      <c r="G108" s="28"/>
      <c r="H108" s="21"/>
      <c r="I108" s="51"/>
      <c r="J108" s="51"/>
      <c r="K108" s="50"/>
      <c r="L108" s="16"/>
    </row>
    <row r="109" spans="1:12" x14ac:dyDescent="0.3">
      <c r="B109" s="36">
        <f ca="1">IF(B83=0,0,-MIN(B83,SUM(B106:B108)))</f>
        <v>-200</v>
      </c>
      <c r="C109" t="s">
        <v>78</v>
      </c>
      <c r="G109" s="28"/>
      <c r="H109" s="21"/>
      <c r="I109" s="51"/>
      <c r="J109" s="51"/>
      <c r="K109" s="50"/>
      <c r="L109" s="16"/>
    </row>
    <row r="110" spans="1:12" x14ac:dyDescent="0.3">
      <c r="B110" s="36">
        <f ca="1">IF(AND((B5+B67+B18)&gt;=B32,(B5+B67+B18)&lt;=C32),(B5+B67)*D32,IF(AND((B5+B67+B18)&gt;B33,(B5+B67+B18)&lt;=C33),IF((B5+B67+B18-B33)&gt;(B5+B67),(B5+B67)*D33,((B5+B67+B18-B33)*D33)+((B5+B67-(B5+B67+B18-B33))*D32)),IF(AND((B5+B67+B18)&gt;B34,(B5+B67+B18)&lt;=C34),IF((B5+B67+B18-B34)&gt;(B5+B67),(B5+B67)*D34,IF((B5+B67+B18-B33)&gt;(B5+B67),(((B5+B67+B18-B34)*D34)+((B5+B67-(B5+B67+B18-B34))*D33)),((B5+B67+B18-B34)*D34)+((C33-B33)*D33)+((B5+B67-(B5+B67+B18-B33))*D32))),IF(AND((B5+B67+B18)&gt;B35,(B5+B67+B18)&lt;=C35),IF((B5+B67+B18-B35)&gt;(B5+B67),(B5+B67)*D35,IF((B5+B67+B18-B34)&gt;(B5+B67),(((B5+B67+B18-B35)*D35)+((B5+B67-(B5+B67+B18-B35))*D34)),IF((B5+B67+B18-B33)&gt;(B5+B67),(((B5+B67+B18-B35)*D35)+((C34-B34)*D34)+((B5+B67-(B5+B67+B18-B34))*D33)),((B5+B67+B18-B35)*D35)+((C34-B34)*D34)+((C33-B33)*D33)+((B5+B67-(B5+B67+B18-B33))*D32)))),IF((B5+B67+B18)&gt;B36,IF((B5+B67+B18-B36)&gt;(B5+B67),(B5+B67)*D36,IF((B5+B67+B18-B35)&gt;(B5+B67),(((B5+B67+B18-B36)*D36)+((B5+B67-(B5+B67+B18-B36))*D35)),IF((B5+B67+B18-B34)&gt;(B5+B67),(((B5+B67+B18-B36)*D36)+((C35-B35)*D35)+((B5+B67-(B5+B67+B18-B35))*D34)),IF((B5+B67+B18-B33)&gt;(B5+B67),(((B5+B67+B18-B36)*D36)+((C35-B35)*D35)+((C34-B34)*D34)+((B5+B67-(B5+B67+B18-B34))*D33)),((B5+B67+B18-B36)*D36)+((C35-B35)*D35)+((C34-B34)*D34)+((C33-B33)*D33)+((B5+B67-(B5+B67+B18-B33))*D32))))))))))</f>
        <v>229.62799999999999</v>
      </c>
      <c r="C110" t="s">
        <v>16</v>
      </c>
      <c r="G110" s="28"/>
      <c r="H110" s="21"/>
      <c r="I110" s="51"/>
      <c r="J110" s="51"/>
      <c r="K110" s="21"/>
    </row>
    <row r="111" spans="1:12" x14ac:dyDescent="0.3">
      <c r="B111" s="36">
        <f>-IF(B18&gt;=B38,0,IF(B18&lt;B38,IF((B18+B5+B67)&gt;B38,(B38-B18)*D32,((B5+B67)*D32))))</f>
        <v>0</v>
      </c>
      <c r="C111" t="s">
        <v>35</v>
      </c>
      <c r="G111" s="28"/>
      <c r="H111"/>
      <c r="I111" s="21"/>
      <c r="J111" s="51"/>
      <c r="K111" s="50"/>
      <c r="L111" s="13"/>
    </row>
    <row r="112" spans="1:12" x14ac:dyDescent="0.3">
      <c r="B112" s="36">
        <f ca="1">-B58</f>
        <v>0</v>
      </c>
      <c r="C112" t="s">
        <v>50</v>
      </c>
      <c r="G112" s="28"/>
      <c r="H112"/>
      <c r="I112" s="21"/>
      <c r="J112" s="21"/>
      <c r="K112" s="21"/>
    </row>
    <row r="113" spans="1:17" x14ac:dyDescent="0.3">
      <c r="B113" s="37">
        <f ca="1">IF(B99=0,0,-MIN(B99,SUM(B110,B111,B112)))</f>
        <v>0</v>
      </c>
      <c r="C113" t="s">
        <v>79</v>
      </c>
      <c r="G113" s="28"/>
      <c r="H113"/>
      <c r="I113" s="12"/>
      <c r="J113" s="51"/>
      <c r="K113" s="21"/>
      <c r="L113" s="13"/>
    </row>
    <row r="114" spans="1:17" x14ac:dyDescent="0.3">
      <c r="A114" s="10" t="s">
        <v>21</v>
      </c>
      <c r="B114" s="77">
        <f ca="1">SUM(B106:B113)</f>
        <v>567.98800000000006</v>
      </c>
      <c r="F114" s="45"/>
      <c r="I114" s="21"/>
      <c r="J114" s="21"/>
      <c r="K114" s="47"/>
      <c r="L114" s="46"/>
      <c r="M114" s="45"/>
    </row>
    <row r="115" spans="1:17" x14ac:dyDescent="0.3">
      <c r="E115" s="18"/>
      <c r="F115" s="47"/>
      <c r="K115" s="45"/>
      <c r="L115" s="45"/>
      <c r="M115" s="45"/>
      <c r="Q115" s="15"/>
    </row>
    <row r="116" spans="1:17" x14ac:dyDescent="0.3">
      <c r="B116" s="13"/>
      <c r="F116" s="45"/>
      <c r="K116" s="45"/>
      <c r="L116" s="45"/>
      <c r="M116" s="45"/>
    </row>
    <row r="117" spans="1:17" x14ac:dyDescent="0.3">
      <c r="A117" s="19" t="s">
        <v>38</v>
      </c>
      <c r="B117" s="13"/>
      <c r="F117" s="45"/>
      <c r="K117" s="45"/>
      <c r="L117" s="45"/>
      <c r="M117" s="45"/>
    </row>
    <row r="118" spans="1:17" x14ac:dyDescent="0.3">
      <c r="A118" t="s">
        <v>107</v>
      </c>
      <c r="B118" s="36">
        <f ca="1">SUM(B106:B109)</f>
        <v>338.36</v>
      </c>
      <c r="F118" s="45"/>
      <c r="K118" s="45"/>
      <c r="L118" s="45"/>
      <c r="M118" s="45"/>
    </row>
    <row r="119" spans="1:17" x14ac:dyDescent="0.3">
      <c r="A119" t="s">
        <v>108</v>
      </c>
      <c r="B119" s="37">
        <f ca="1">SUM(B110:B113)</f>
        <v>229.62799999999999</v>
      </c>
      <c r="F119" s="45"/>
      <c r="K119" s="45"/>
      <c r="L119" s="45"/>
      <c r="M119" s="45"/>
    </row>
    <row r="120" spans="1:17" x14ac:dyDescent="0.3">
      <c r="B120" s="36">
        <f ca="1">SUM(B118:B119)</f>
        <v>567.98800000000006</v>
      </c>
      <c r="F120" s="45"/>
      <c r="K120" s="45"/>
      <c r="L120" s="45"/>
      <c r="M120" s="45"/>
    </row>
    <row r="121" spans="1:17" x14ac:dyDescent="0.3">
      <c r="B121" s="13"/>
      <c r="F121" s="45"/>
      <c r="K121" s="45"/>
      <c r="L121" s="45"/>
      <c r="M121" s="45"/>
    </row>
    <row r="122" spans="1:17" x14ac:dyDescent="0.3">
      <c r="B122" s="13"/>
      <c r="F122" s="45"/>
      <c r="K122" s="45"/>
      <c r="L122" s="45"/>
      <c r="M122" s="45"/>
    </row>
    <row r="123" spans="1:17" x14ac:dyDescent="0.3">
      <c r="B123" s="13"/>
      <c r="F123" s="45"/>
      <c r="K123" s="45"/>
      <c r="L123" s="45"/>
      <c r="M123" s="45"/>
    </row>
    <row r="124" spans="1:17" x14ac:dyDescent="0.3">
      <c r="B124" s="13"/>
      <c r="F124" s="45"/>
      <c r="K124" s="45"/>
      <c r="L124" s="45"/>
      <c r="M124" s="45"/>
    </row>
    <row r="125" spans="1:17" x14ac:dyDescent="0.3">
      <c r="B125" s="15"/>
      <c r="F125" s="45"/>
      <c r="K125" s="47"/>
      <c r="L125" s="45"/>
      <c r="M125" s="47"/>
      <c r="N125" s="18"/>
    </row>
    <row r="126" spans="1:17" x14ac:dyDescent="0.3">
      <c r="F126" s="45"/>
      <c r="K126" s="45"/>
      <c r="L126" s="45"/>
      <c r="M126" s="45"/>
    </row>
    <row r="127" spans="1:17" x14ac:dyDescent="0.3">
      <c r="F127" s="45"/>
      <c r="K127" s="45"/>
      <c r="L127" s="45"/>
      <c r="M127" s="45"/>
    </row>
    <row r="128" spans="1:17" x14ac:dyDescent="0.3">
      <c r="F128" s="45"/>
      <c r="G128" s="45"/>
      <c r="H128" s="44"/>
      <c r="I128" s="45"/>
      <c r="J128" s="45"/>
      <c r="K128" s="45"/>
      <c r="L128" s="45"/>
      <c r="M128" s="45"/>
    </row>
    <row r="129" spans="8:13" x14ac:dyDescent="0.3">
      <c r="H129" s="12"/>
    </row>
    <row r="131" spans="8:13" x14ac:dyDescent="0.3">
      <c r="H131" s="39"/>
      <c r="M131" s="22"/>
    </row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10" zoomScale="85" zoomScaleNormal="85" workbookViewId="0">
      <selection activeCell="D34" sqref="B17:D34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29</v>
      </c>
      <c r="I1" s="29" t="s">
        <v>32</v>
      </c>
    </row>
    <row r="2" spans="1:14" x14ac:dyDescent="0.3">
      <c r="A2" s="2" t="s">
        <v>1</v>
      </c>
      <c r="E2" t="s">
        <v>25</v>
      </c>
      <c r="F2" t="s">
        <v>28</v>
      </c>
      <c r="I2" s="29" t="s">
        <v>72</v>
      </c>
    </row>
    <row r="3" spans="1:14" x14ac:dyDescent="0.3">
      <c r="A3" s="3" t="s">
        <v>91</v>
      </c>
      <c r="H3" s="44"/>
      <c r="I3" s="44"/>
      <c r="J3" s="47"/>
      <c r="K3" s="45"/>
      <c r="L3" s="21"/>
      <c r="M3" s="21"/>
      <c r="N3" s="21"/>
    </row>
    <row r="4" spans="1:14" x14ac:dyDescent="0.3">
      <c r="E4" t="s">
        <v>57</v>
      </c>
      <c r="F4" t="s">
        <v>24</v>
      </c>
      <c r="H4" s="45"/>
      <c r="I4" s="44"/>
      <c r="J4" s="44"/>
      <c r="K4" s="47"/>
      <c r="L4" s="21"/>
      <c r="M4" s="21"/>
      <c r="N4" s="21"/>
    </row>
    <row r="5" spans="1:14" x14ac:dyDescent="0.3">
      <c r="A5" t="s">
        <v>51</v>
      </c>
      <c r="B5" s="54">
        <v>2000</v>
      </c>
      <c r="E5" t="s">
        <v>58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x14ac:dyDescent="0.3">
      <c r="A6" s="27" t="s">
        <v>59</v>
      </c>
      <c r="B6" s="1" t="s">
        <v>57</v>
      </c>
      <c r="D6" s="45"/>
      <c r="E6" s="45"/>
      <c r="F6" s="44"/>
      <c r="G6" s="45"/>
      <c r="H6" s="74"/>
      <c r="I6" s="74"/>
      <c r="J6" s="78"/>
      <c r="K6" s="78"/>
      <c r="L6" s="78"/>
      <c r="M6" s="78"/>
      <c r="N6" s="21"/>
    </row>
    <row r="7" spans="1:14" x14ac:dyDescent="0.3">
      <c r="A7" s="27" t="s">
        <v>60</v>
      </c>
      <c r="B7" s="1">
        <v>200</v>
      </c>
      <c r="D7" s="45"/>
      <c r="E7" s="45"/>
      <c r="F7" s="44"/>
      <c r="G7" s="45"/>
      <c r="H7" s="74"/>
      <c r="I7" s="74"/>
      <c r="J7" s="78"/>
      <c r="K7" s="78"/>
      <c r="L7" s="78"/>
      <c r="M7" s="78"/>
      <c r="N7" s="21"/>
    </row>
    <row r="8" spans="1:14" s="21" customFormat="1" x14ac:dyDescent="0.3">
      <c r="A8" s="55"/>
      <c r="B8"/>
      <c r="D8" s="45"/>
      <c r="E8" s="45"/>
      <c r="F8" s="44"/>
      <c r="G8" s="45"/>
      <c r="H8" s="74"/>
      <c r="I8" s="74"/>
      <c r="J8" s="78"/>
      <c r="K8" s="78"/>
      <c r="L8" s="78"/>
      <c r="M8" s="78"/>
    </row>
    <row r="9" spans="1:14" x14ac:dyDescent="0.3">
      <c r="A9" s="2" t="s">
        <v>4</v>
      </c>
      <c r="D9" s="45"/>
      <c r="E9" s="45"/>
      <c r="F9" s="44"/>
      <c r="G9" s="74"/>
      <c r="H9" s="74"/>
      <c r="I9" s="74"/>
      <c r="J9" s="38"/>
      <c r="K9" s="38"/>
      <c r="L9" s="45"/>
      <c r="M9" s="45"/>
      <c r="N9" s="21"/>
    </row>
    <row r="10" spans="1:14" x14ac:dyDescent="0.3">
      <c r="A10" t="s">
        <v>5</v>
      </c>
      <c r="B10" s="1" t="s">
        <v>92</v>
      </c>
      <c r="D10" s="45"/>
      <c r="E10" s="45"/>
      <c r="F10" s="44"/>
      <c r="G10" s="45"/>
      <c r="H10" s="74"/>
      <c r="I10" s="74"/>
      <c r="J10" s="45"/>
      <c r="K10" s="45"/>
      <c r="L10" s="45"/>
      <c r="M10" s="45"/>
      <c r="N10" s="21"/>
    </row>
    <row r="11" spans="1:14" x14ac:dyDescent="0.3">
      <c r="D11" s="45"/>
      <c r="E11" s="45"/>
      <c r="F11" s="45"/>
      <c r="G11" s="45"/>
      <c r="H11" s="74"/>
      <c r="I11" s="74"/>
      <c r="J11" s="45"/>
      <c r="K11" s="45"/>
      <c r="L11" s="45"/>
      <c r="M11" s="45"/>
      <c r="N11" s="21"/>
    </row>
    <row r="12" spans="1:14" x14ac:dyDescent="0.3">
      <c r="D12" s="45"/>
      <c r="E12" s="45"/>
      <c r="F12" s="76"/>
      <c r="G12" s="45"/>
      <c r="H12" s="74"/>
      <c r="I12" s="74"/>
      <c r="J12" s="45"/>
      <c r="K12" s="45"/>
      <c r="L12" s="45"/>
      <c r="M12" s="45"/>
      <c r="N12" s="21"/>
    </row>
    <row r="13" spans="1:14" x14ac:dyDescent="0.3">
      <c r="D13" s="45"/>
      <c r="E13" s="45"/>
      <c r="F13" s="45"/>
      <c r="G13" s="74"/>
      <c r="H13" s="74"/>
      <c r="I13" s="74"/>
      <c r="J13" s="45"/>
      <c r="K13" s="45"/>
      <c r="L13" s="45"/>
      <c r="M13" s="45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  <c r="F15" s="21"/>
      <c r="G15" s="21"/>
      <c r="H15" s="12"/>
      <c r="I15" s="21"/>
    </row>
    <row r="16" spans="1:14" x14ac:dyDescent="0.3">
      <c r="A16" s="3" t="s">
        <v>8</v>
      </c>
      <c r="F16" s="21"/>
      <c r="G16" s="21"/>
      <c r="H16" s="12"/>
      <c r="I16" s="21"/>
    </row>
    <row r="17" spans="1:14" x14ac:dyDescent="0.3">
      <c r="B17" s="89" t="s">
        <v>20</v>
      </c>
      <c r="C17" s="21"/>
      <c r="D17" s="21"/>
      <c r="F17" s="89"/>
      <c r="G17" s="21"/>
      <c r="H17" s="21"/>
      <c r="I17" s="21"/>
    </row>
    <row r="18" spans="1:14" ht="15.6" x14ac:dyDescent="0.3">
      <c r="A18" t="s">
        <v>9</v>
      </c>
      <c r="B18" s="50">
        <v>0</v>
      </c>
      <c r="C18" s="26">
        <v>45282</v>
      </c>
      <c r="D18" s="90">
        <v>0.15</v>
      </c>
      <c r="F18" s="50"/>
      <c r="G18" s="26"/>
      <c r="H18" s="90"/>
      <c r="I18" s="21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4">
        <v>0.20499999999999999</v>
      </c>
      <c r="F19" s="26"/>
      <c r="G19" s="26"/>
      <c r="H19" s="64"/>
      <c r="I19" s="21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4">
        <v>0.26</v>
      </c>
      <c r="F20" s="26"/>
      <c r="G20" s="26"/>
      <c r="H20" s="64"/>
      <c r="I20" s="21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4">
        <v>0.28999999999999998</v>
      </c>
      <c r="F21" s="26"/>
      <c r="G21" s="26"/>
      <c r="H21" s="64"/>
      <c r="I21" s="21"/>
      <c r="N21" s="7"/>
    </row>
    <row r="22" spans="1:14" ht="15.6" x14ac:dyDescent="0.3">
      <c r="B22" s="26">
        <f>C21</f>
        <v>200000</v>
      </c>
      <c r="C22" s="21"/>
      <c r="D22" s="64">
        <v>0.33</v>
      </c>
      <c r="F22" s="26"/>
      <c r="G22" s="21"/>
      <c r="H22" s="64"/>
      <c r="I22" s="21"/>
      <c r="N22" s="7"/>
    </row>
    <row r="23" spans="1:14" x14ac:dyDescent="0.3">
      <c r="B23" s="21"/>
      <c r="C23" s="89"/>
      <c r="D23" s="21"/>
      <c r="F23" s="21"/>
      <c r="G23" s="21"/>
      <c r="H23" s="12"/>
      <c r="I23" s="21"/>
    </row>
    <row r="24" spans="1:14" ht="15.6" x14ac:dyDescent="0.3">
      <c r="A24" t="s">
        <v>37</v>
      </c>
      <c r="B24" s="26">
        <v>11474</v>
      </c>
      <c r="C24" s="26"/>
      <c r="D24" s="21"/>
      <c r="F24" s="21"/>
      <c r="G24" s="50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92</v>
      </c>
      <c r="B27" s="89" t="s">
        <v>20</v>
      </c>
      <c r="C27" s="21"/>
      <c r="D27" s="21"/>
      <c r="F27" s="89"/>
      <c r="G27" s="21"/>
      <c r="H27" s="21"/>
      <c r="I27" s="45"/>
      <c r="J27" s="31"/>
      <c r="K27" s="68"/>
    </row>
    <row r="28" spans="1:14" ht="15.6" x14ac:dyDescent="0.3">
      <c r="A28" t="s">
        <v>9</v>
      </c>
      <c r="B28" s="21">
        <v>0</v>
      </c>
      <c r="C28" s="26">
        <v>45282</v>
      </c>
      <c r="D28" s="64">
        <v>6.4000000000000001E-2</v>
      </c>
      <c r="F28" s="21"/>
      <c r="G28" s="26"/>
      <c r="H28" s="64"/>
      <c r="I28" s="45"/>
      <c r="J28" s="64"/>
      <c r="K28" s="21"/>
    </row>
    <row r="29" spans="1:14" ht="15.6" x14ac:dyDescent="0.3">
      <c r="A29" t="s">
        <v>10</v>
      </c>
      <c r="B29" s="26">
        <f>C28</f>
        <v>45282</v>
      </c>
      <c r="C29" s="26">
        <v>90563</v>
      </c>
      <c r="D29" s="64">
        <v>0.09</v>
      </c>
      <c r="F29" s="26"/>
      <c r="G29" s="26"/>
      <c r="H29" s="64"/>
      <c r="I29" s="45"/>
      <c r="J29" s="69"/>
      <c r="K29" s="51"/>
      <c r="L29" s="15"/>
    </row>
    <row r="30" spans="1:14" ht="15.6" x14ac:dyDescent="0.3">
      <c r="A30" t="s">
        <v>10</v>
      </c>
      <c r="B30" s="26">
        <f>C29</f>
        <v>90563</v>
      </c>
      <c r="C30" s="26">
        <v>140388</v>
      </c>
      <c r="D30" s="64">
        <v>0.109</v>
      </c>
      <c r="F30" s="26"/>
      <c r="G30" s="26"/>
      <c r="H30" s="64"/>
      <c r="I30" s="45"/>
      <c r="J30" s="69"/>
      <c r="K30" s="50"/>
      <c r="L30" s="13"/>
      <c r="N30" s="18"/>
    </row>
    <row r="31" spans="1:14" ht="15.6" x14ac:dyDescent="0.3">
      <c r="A31" t="s">
        <v>10</v>
      </c>
      <c r="B31" s="26">
        <f>C30</f>
        <v>140388</v>
      </c>
      <c r="C31" s="26">
        <v>500000</v>
      </c>
      <c r="D31" s="64">
        <v>0.128</v>
      </c>
      <c r="F31" s="26"/>
      <c r="G31" s="26"/>
      <c r="H31" s="64"/>
      <c r="I31" s="45"/>
      <c r="J31" s="69"/>
      <c r="K31" s="50"/>
      <c r="L31" s="13"/>
      <c r="N31" s="4"/>
    </row>
    <row r="32" spans="1:14" ht="15.6" x14ac:dyDescent="0.3">
      <c r="B32" s="26">
        <f>C31</f>
        <v>500000</v>
      </c>
      <c r="C32" s="21"/>
      <c r="D32" s="64">
        <v>0.15</v>
      </c>
      <c r="F32" s="26"/>
      <c r="G32" s="21"/>
      <c r="H32" s="64"/>
      <c r="I32" s="45"/>
      <c r="J32" s="69"/>
      <c r="K32" s="50"/>
      <c r="L32" s="13"/>
    </row>
    <row r="33" spans="1:17" x14ac:dyDescent="0.3">
      <c r="B33" s="21"/>
      <c r="C33" s="89"/>
      <c r="D33" s="21"/>
      <c r="F33" s="21"/>
      <c r="G33" s="21"/>
      <c r="H33" s="43"/>
      <c r="I33" s="45"/>
      <c r="J33" s="70"/>
      <c r="K33" s="20"/>
      <c r="L33" s="25"/>
    </row>
    <row r="34" spans="1:17" ht="15.6" x14ac:dyDescent="0.3">
      <c r="A34" t="s">
        <v>35</v>
      </c>
      <c r="B34" s="26">
        <v>11474</v>
      </c>
      <c r="C34" s="26"/>
      <c r="D34" s="21"/>
      <c r="F34" s="21"/>
      <c r="G34" s="21"/>
      <c r="H34" s="43"/>
      <c r="I34" s="45"/>
      <c r="J34" s="70"/>
      <c r="K34" s="20"/>
      <c r="L34" s="25"/>
    </row>
    <row r="35" spans="1:17" x14ac:dyDescent="0.3">
      <c r="B35" s="4"/>
      <c r="C35" s="4"/>
      <c r="D35" t="s">
        <v>36</v>
      </c>
      <c r="E35" s="13"/>
      <c r="F35" s="92"/>
      <c r="G35" s="21"/>
      <c r="H35" s="20"/>
      <c r="I35" s="45"/>
      <c r="J35" s="21"/>
      <c r="K35" s="21"/>
    </row>
    <row r="36" spans="1:17" x14ac:dyDescent="0.3">
      <c r="B36" s="36"/>
      <c r="C36" s="4"/>
      <c r="I36" s="45"/>
      <c r="J36" s="21"/>
      <c r="K36" s="21"/>
      <c r="Q36" s="18"/>
    </row>
    <row r="37" spans="1:17" x14ac:dyDescent="0.3">
      <c r="A37" s="3" t="s">
        <v>52</v>
      </c>
      <c r="B37" s="36"/>
      <c r="C37" s="4"/>
      <c r="I37" s="45"/>
      <c r="J37" s="21"/>
      <c r="K37" s="21"/>
      <c r="Q37" s="18"/>
    </row>
    <row r="38" spans="1:17" x14ac:dyDescent="0.3">
      <c r="B38" s="36"/>
      <c r="C38" s="4"/>
      <c r="I38" s="45"/>
      <c r="J38" s="21"/>
      <c r="K38" s="21"/>
      <c r="Q38" s="18"/>
    </row>
    <row r="39" spans="1:17" x14ac:dyDescent="0.3">
      <c r="A39" s="19" t="s">
        <v>53</v>
      </c>
      <c r="B39" s="36"/>
      <c r="C39" s="4"/>
      <c r="H39" s="12"/>
      <c r="I39" s="45"/>
      <c r="J39" s="21"/>
      <c r="K39" s="21"/>
      <c r="Q39" s="18"/>
    </row>
    <row r="40" spans="1:17" x14ac:dyDescent="0.3">
      <c r="A40" t="s">
        <v>73</v>
      </c>
      <c r="B40" s="36">
        <f>$B$5</f>
        <v>2000</v>
      </c>
      <c r="C40" s="58" t="s">
        <v>30</v>
      </c>
      <c r="D40" s="19" t="s">
        <v>54</v>
      </c>
      <c r="E40" s="13"/>
      <c r="F40" s="18"/>
      <c r="G40" s="4"/>
      <c r="H40" s="65" t="s">
        <v>64</v>
      </c>
      <c r="I40" s="45" t="s">
        <v>63</v>
      </c>
      <c r="J40" s="71" t="s">
        <v>65</v>
      </c>
      <c r="K40" s="21"/>
      <c r="Q40" s="18"/>
    </row>
    <row r="41" spans="1:17" ht="15.6" x14ac:dyDescent="0.3">
      <c r="A41" t="s">
        <v>74</v>
      </c>
      <c r="B41" s="36">
        <f>IF($B$6="US",-IF(($B$7/$B$5)&gt;15%,$B$7-($B$5*15%),0),0)</f>
        <v>0</v>
      </c>
      <c r="C41" s="58" t="s">
        <v>31</v>
      </c>
      <c r="D41" t="s">
        <v>9</v>
      </c>
      <c r="E41" s="4">
        <v>0</v>
      </c>
      <c r="F41" s="5">
        <f t="shared" ref="F41:G44" si="0">C18</f>
        <v>45282</v>
      </c>
      <c r="G41" s="6">
        <f t="shared" si="0"/>
        <v>0.15</v>
      </c>
      <c r="H41" s="12">
        <v>0</v>
      </c>
      <c r="I41" s="12">
        <f ca="1">IF(AND(($B$14+$B$5+$B$44)&gt;=E41,($B$14+$B$5+$B$44)&lt;F41),($B$14+$B$5+$B$44-E41)*G41,0)</f>
        <v>0</v>
      </c>
      <c r="J41" s="12">
        <f ca="1">(IF(I41=0,0,H41+I41))</f>
        <v>0</v>
      </c>
      <c r="K41" s="21"/>
      <c r="Q41" s="18"/>
    </row>
    <row r="42" spans="1:17" ht="15.6" x14ac:dyDescent="0.3">
      <c r="A42" t="s">
        <v>75</v>
      </c>
      <c r="B42" s="36">
        <f>IF($B$6="non-US",-IF(($B$7/$B$5)&gt;15%,$B$7-($B$5*15%),0),0)</f>
        <v>0</v>
      </c>
      <c r="C42" s="4"/>
      <c r="D42" t="s">
        <v>10</v>
      </c>
      <c r="E42" s="5">
        <f>F41</f>
        <v>45282</v>
      </c>
      <c r="F42" s="5">
        <f t="shared" si="0"/>
        <v>90563</v>
      </c>
      <c r="G42" s="6">
        <f t="shared" si="0"/>
        <v>0.20499999999999999</v>
      </c>
      <c r="H42" s="12">
        <f>(F41-E41)*G41</f>
        <v>6792.3</v>
      </c>
      <c r="I42" s="12">
        <f ca="1">IF(AND(($B$14+$B$5+$B$44)&gt;=E42,($B$14+$B$5+$B$44)&lt;F42),($B$14+$B$5+$B$44-E42)*G42,0)</f>
        <v>0</v>
      </c>
      <c r="J42" s="12">
        <f t="shared" ref="J42:J45" ca="1" si="1">(IF(I42=0,0,H42+I42))</f>
        <v>0</v>
      </c>
      <c r="K42" s="21"/>
      <c r="Q42" s="18"/>
    </row>
    <row r="43" spans="1:17" ht="15.6" x14ac:dyDescent="0.3">
      <c r="A43" t="s">
        <v>80</v>
      </c>
      <c r="B43" s="37">
        <f ca="1">-B78</f>
        <v>0</v>
      </c>
      <c r="C43" s="4"/>
      <c r="D43" t="s">
        <v>10</v>
      </c>
      <c r="E43" s="5">
        <f>F42</f>
        <v>90563</v>
      </c>
      <c r="F43" s="5">
        <f t="shared" si="0"/>
        <v>140388</v>
      </c>
      <c r="G43" s="6">
        <f t="shared" si="0"/>
        <v>0.26</v>
      </c>
      <c r="H43" s="12">
        <f>((F42-E42)*G42)+H42</f>
        <v>16074.904999999999</v>
      </c>
      <c r="I43" s="12">
        <f ca="1">IF(AND(($B$14+$B$5+$B$44)&gt;=E43,($B$14+$B$5+$B$44)&lt;F43),($B$14+$B$5+$B$44-E43)*G43,0)</f>
        <v>0</v>
      </c>
      <c r="J43" s="12">
        <f t="shared" ca="1" si="1"/>
        <v>0</v>
      </c>
      <c r="K43" s="21"/>
      <c r="Q43" s="18"/>
    </row>
    <row r="44" spans="1:17" ht="15.6" x14ac:dyDescent="0.3">
      <c r="A44" t="s">
        <v>82</v>
      </c>
      <c r="B44" s="37">
        <f ca="1">SUM(B42:B43)</f>
        <v>0</v>
      </c>
      <c r="C44" s="58" t="s">
        <v>81</v>
      </c>
      <c r="D44" t="s">
        <v>10</v>
      </c>
      <c r="E44" s="5">
        <f>F43</f>
        <v>140388</v>
      </c>
      <c r="F44" s="5">
        <f t="shared" si="0"/>
        <v>200000</v>
      </c>
      <c r="G44" s="6">
        <f t="shared" si="0"/>
        <v>0.28999999999999998</v>
      </c>
      <c r="H44" s="12">
        <f>((F43-E43)*G43)+H43</f>
        <v>29029.404999999999</v>
      </c>
      <c r="I44" s="12">
        <f ca="1">IF(AND(($B$14+$B$5+$B$44)&gt;=E44,($B$14+$B$5+$B$44)&lt;F44),($B$14+$B$5+$B$44-E44)*G44,0)</f>
        <v>177.48</v>
      </c>
      <c r="J44" s="12">
        <f t="shared" ca="1" si="1"/>
        <v>29206.884999999998</v>
      </c>
      <c r="K44" s="21"/>
      <c r="Q44" s="18"/>
    </row>
    <row r="45" spans="1:17" ht="15.6" x14ac:dyDescent="0.3">
      <c r="A45" t="s">
        <v>55</v>
      </c>
      <c r="B45" s="36">
        <f ca="1">B40+B41+B44</f>
        <v>2000</v>
      </c>
      <c r="C45" s="58" t="s">
        <v>83</v>
      </c>
      <c r="E45" s="5">
        <f>F44</f>
        <v>200000</v>
      </c>
      <c r="G45" s="6">
        <f>D22</f>
        <v>0.33</v>
      </c>
      <c r="H45" s="12">
        <f>((F44-E44)*G44)+H44</f>
        <v>46316.884999999995</v>
      </c>
      <c r="I45" s="12">
        <f ca="1">IF(($B$14+$B$5+$B$44)&gt;=E45,($B$14+$B$5+$B$44-E45)*G45,0)</f>
        <v>0</v>
      </c>
      <c r="J45" s="52">
        <f t="shared" ca="1" si="1"/>
        <v>0</v>
      </c>
      <c r="K45" s="21"/>
      <c r="Q45" s="18"/>
    </row>
    <row r="46" spans="1:17" x14ac:dyDescent="0.3">
      <c r="B46" s="36"/>
      <c r="C46" s="4"/>
      <c r="E46" s="13"/>
      <c r="F46" s="18"/>
      <c r="G46" s="4"/>
      <c r="H46" s="16"/>
      <c r="I46" s="45"/>
      <c r="J46" s="12">
        <f ca="1">SUM(J41:J45)</f>
        <v>29206.884999999998</v>
      </c>
      <c r="K46" s="21"/>
      <c r="Q46" s="18"/>
    </row>
    <row r="47" spans="1:17" x14ac:dyDescent="0.3">
      <c r="A47" t="s">
        <v>6</v>
      </c>
      <c r="B47" s="38">
        <f>$B$5+$B$14</f>
        <v>141000</v>
      </c>
      <c r="C47" s="58" t="s">
        <v>30</v>
      </c>
      <c r="G47" s="61" t="s">
        <v>34</v>
      </c>
      <c r="H47" s="13">
        <f>B24</f>
        <v>11474</v>
      </c>
      <c r="I47" s="76">
        <f>D18</f>
        <v>0.15</v>
      </c>
      <c r="J47" s="52">
        <f ca="1">IF(($B$5+$B$14+B44)&lt;H47,($B$5+$B$14+B44)*I47,H47*I47)</f>
        <v>1721.1</v>
      </c>
      <c r="K47" s="21"/>
      <c r="Q47" s="18"/>
    </row>
    <row r="48" spans="1:17" x14ac:dyDescent="0.3">
      <c r="A48" t="s">
        <v>75</v>
      </c>
      <c r="B48" s="38">
        <f>IF($B$6="non-US",-IF(($B$7/$B$5)&gt;15%,$B$7-($B$5*15%),0),0)</f>
        <v>0</v>
      </c>
      <c r="C48" s="4"/>
      <c r="G48" s="61"/>
      <c r="I48" s="45"/>
      <c r="J48" s="13">
        <f ca="1">IF((J46-J47)&lt;=0,0,J46-J47)</f>
        <v>27485.785</v>
      </c>
      <c r="K48" s="21"/>
      <c r="Q48" s="18"/>
    </row>
    <row r="49" spans="1:17" x14ac:dyDescent="0.3">
      <c r="A49" t="s">
        <v>80</v>
      </c>
      <c r="B49" s="37">
        <f ca="1">B43</f>
        <v>0</v>
      </c>
      <c r="C49" s="4"/>
      <c r="G49" s="61"/>
      <c r="I49" s="45"/>
      <c r="J49" s="44"/>
      <c r="K49" s="21"/>
      <c r="Q49" s="18"/>
    </row>
    <row r="50" spans="1:17" x14ac:dyDescent="0.3">
      <c r="A50" t="s">
        <v>82</v>
      </c>
      <c r="B50" s="37">
        <f ca="1">SUM(B48:B49)</f>
        <v>0</v>
      </c>
      <c r="C50" s="58" t="s">
        <v>31</v>
      </c>
      <c r="E50" s="13"/>
      <c r="F50" s="18"/>
      <c r="I50" s="45"/>
      <c r="J50" s="21"/>
      <c r="K50" s="21"/>
      <c r="Q50" s="18"/>
    </row>
    <row r="51" spans="1:17" x14ac:dyDescent="0.3">
      <c r="A51" t="s">
        <v>76</v>
      </c>
      <c r="B51" s="36">
        <f ca="1">B47+B50</f>
        <v>141000</v>
      </c>
      <c r="C51" s="58" t="s">
        <v>84</v>
      </c>
      <c r="I51" s="45"/>
      <c r="J51" s="21"/>
      <c r="K51" s="21"/>
      <c r="Q51" s="18"/>
    </row>
    <row r="52" spans="1:17" x14ac:dyDescent="0.3">
      <c r="B52" s="36"/>
      <c r="C52" s="4"/>
      <c r="I52" s="45"/>
      <c r="J52" s="21"/>
      <c r="K52" s="21"/>
      <c r="Q52" s="18"/>
    </row>
    <row r="53" spans="1:17" x14ac:dyDescent="0.3">
      <c r="A53" t="s">
        <v>56</v>
      </c>
      <c r="B53" s="57">
        <f ca="1">B45/B51</f>
        <v>1.4184397163120567E-2</v>
      </c>
      <c r="C53" s="4"/>
      <c r="I53" s="45"/>
      <c r="J53" s="21"/>
      <c r="K53" s="21"/>
      <c r="Q53" s="18"/>
    </row>
    <row r="54" spans="1:17" x14ac:dyDescent="0.3">
      <c r="B54" s="36"/>
      <c r="C54" s="4"/>
      <c r="I54" s="45"/>
      <c r="J54" s="21"/>
      <c r="K54" s="21"/>
      <c r="Q54" s="18"/>
    </row>
    <row r="55" spans="1:17" x14ac:dyDescent="0.3">
      <c r="A55" t="s">
        <v>54</v>
      </c>
      <c r="B55" s="36">
        <f ca="1">J48</f>
        <v>27485.785</v>
      </c>
      <c r="C55" s="4"/>
      <c r="I55" s="45"/>
      <c r="J55" s="21"/>
      <c r="K55" s="21"/>
      <c r="Q55" s="18"/>
    </row>
    <row r="56" spans="1:17" x14ac:dyDescent="0.3">
      <c r="B56" s="36"/>
      <c r="C56" s="4"/>
      <c r="E56" s="63"/>
      <c r="F56" s="38"/>
      <c r="G56" s="4"/>
      <c r="H56" s="59"/>
      <c r="I56" s="45"/>
      <c r="J56" s="71"/>
      <c r="K56" s="21"/>
      <c r="Q56" s="18"/>
    </row>
    <row r="57" spans="1:17" ht="15.6" x14ac:dyDescent="0.3">
      <c r="A57" t="s">
        <v>66</v>
      </c>
      <c r="B57" s="36">
        <f ca="1">B55*B53</f>
        <v>389.86929078014185</v>
      </c>
      <c r="C57" s="58" t="s">
        <v>30</v>
      </c>
      <c r="E57" s="4"/>
      <c r="G57" s="6"/>
      <c r="H57" s="38"/>
      <c r="I57" s="45"/>
      <c r="J57" s="38"/>
      <c r="K57" s="21"/>
      <c r="Q57" s="18"/>
    </row>
    <row r="58" spans="1:17" ht="15.6" x14ac:dyDescent="0.3">
      <c r="A58" t="s">
        <v>67</v>
      </c>
      <c r="B58" s="36">
        <f>MIN($B$7,$B$5*15%)</f>
        <v>200</v>
      </c>
      <c r="C58" s="58" t="s">
        <v>31</v>
      </c>
      <c r="E58" s="5"/>
      <c r="G58" s="7"/>
      <c r="H58" s="38"/>
      <c r="I58" s="45"/>
      <c r="J58" s="38"/>
      <c r="K58" s="21"/>
      <c r="Q58" s="18"/>
    </row>
    <row r="59" spans="1:17" ht="15.6" x14ac:dyDescent="0.3">
      <c r="B59" s="36"/>
      <c r="C59" s="4"/>
      <c r="E59" s="5"/>
      <c r="G59" s="7"/>
      <c r="H59" s="38"/>
      <c r="I59" s="45"/>
      <c r="J59" s="38"/>
      <c r="K59" s="21"/>
      <c r="Q59" s="18"/>
    </row>
    <row r="60" spans="1:17" ht="15.6" x14ac:dyDescent="0.3">
      <c r="A60" t="s">
        <v>68</v>
      </c>
      <c r="B60" s="60">
        <f ca="1">MIN(B57,B58)</f>
        <v>200</v>
      </c>
      <c r="C60" s="58" t="s">
        <v>86</v>
      </c>
      <c r="E60" s="5"/>
      <c r="G60" s="7"/>
      <c r="H60" s="38"/>
      <c r="I60" s="45"/>
      <c r="J60" s="38"/>
      <c r="K60" s="21"/>
      <c r="Q60" s="18"/>
    </row>
    <row r="61" spans="1:17" ht="15.6" x14ac:dyDescent="0.3">
      <c r="B61" s="60"/>
      <c r="C61" s="4"/>
      <c r="E61" s="5"/>
      <c r="F61" s="5"/>
      <c r="G61" s="7"/>
      <c r="H61" s="38"/>
      <c r="I61" s="45"/>
      <c r="J61" s="38"/>
      <c r="K61" s="21"/>
      <c r="Q61" s="18"/>
    </row>
    <row r="62" spans="1:17" ht="15.6" x14ac:dyDescent="0.3">
      <c r="B62" s="60"/>
      <c r="C62" s="4"/>
      <c r="E62" s="13"/>
      <c r="F62" s="5"/>
      <c r="G62" s="4"/>
      <c r="H62" s="16"/>
      <c r="I62" s="45"/>
      <c r="J62" s="38"/>
      <c r="K62" s="21"/>
      <c r="Q62" s="18"/>
    </row>
    <row r="63" spans="1:17" x14ac:dyDescent="0.3">
      <c r="A63" s="19" t="s">
        <v>69</v>
      </c>
      <c r="B63" s="36"/>
      <c r="C63" s="4"/>
      <c r="H63" s="12"/>
      <c r="I63" s="45"/>
      <c r="J63" s="21"/>
      <c r="K63" s="21"/>
      <c r="L63" s="19"/>
      <c r="Q63" s="18"/>
    </row>
    <row r="64" spans="1:17" x14ac:dyDescent="0.3">
      <c r="A64" t="s">
        <v>55</v>
      </c>
      <c r="B64" s="36">
        <f ca="1">B45</f>
        <v>2000</v>
      </c>
      <c r="C64" s="4"/>
      <c r="D64" s="19" t="s">
        <v>70</v>
      </c>
      <c r="E64" s="13"/>
      <c r="F64" s="18"/>
      <c r="G64" s="4"/>
      <c r="H64" s="65" t="s">
        <v>64</v>
      </c>
      <c r="I64" s="45" t="s">
        <v>63</v>
      </c>
      <c r="J64" s="71" t="s">
        <v>65</v>
      </c>
      <c r="K64" s="51"/>
      <c r="Q64" s="18"/>
    </row>
    <row r="65" spans="1:17" ht="15.6" x14ac:dyDescent="0.3">
      <c r="A65" t="s">
        <v>23</v>
      </c>
      <c r="B65" s="38">
        <f ca="1">B51</f>
        <v>141000</v>
      </c>
      <c r="C65" s="4"/>
      <c r="D65" t="s">
        <v>9</v>
      </c>
      <c r="E65">
        <v>0</v>
      </c>
      <c r="F65" s="5">
        <f t="shared" ref="F65:G68" si="2">C28</f>
        <v>45282</v>
      </c>
      <c r="G65" s="7">
        <f t="shared" si="2"/>
        <v>6.4000000000000001E-2</v>
      </c>
      <c r="H65" s="12">
        <v>0</v>
      </c>
      <c r="I65" s="44">
        <f ca="1">IF(AND(($B$14+$B$5+$B$44)&gt;=E65,($B$14+$B$5+$B$44)&lt;F65),($B$14+$B$5+$B$44-E65)*G65,0)</f>
        <v>0</v>
      </c>
      <c r="J65" s="12">
        <f ca="1">(IF(I65=0,0,H65+I65))</f>
        <v>0</v>
      </c>
      <c r="K65" s="21"/>
      <c r="Q65" s="18"/>
    </row>
    <row r="66" spans="1:17" ht="15.6" x14ac:dyDescent="0.3">
      <c r="A66" t="s">
        <v>56</v>
      </c>
      <c r="B66" s="57">
        <f ca="1">B64/B65</f>
        <v>1.4184397163120567E-2</v>
      </c>
      <c r="C66" s="4"/>
      <c r="D66" t="s">
        <v>10</v>
      </c>
      <c r="E66" s="5">
        <f>F65</f>
        <v>45282</v>
      </c>
      <c r="F66" s="5">
        <f t="shared" si="2"/>
        <v>90563</v>
      </c>
      <c r="G66" s="7">
        <f t="shared" si="2"/>
        <v>0.09</v>
      </c>
      <c r="H66" s="12">
        <f>(F65-E65)*G65</f>
        <v>2898.0480000000002</v>
      </c>
      <c r="I66" s="44">
        <f ca="1">IF(AND(($B$14+$B$5+$B$44)&gt;=E66,($B$14+$B$5+$B$44)&lt;F66),($B$14+$B$5+$B$44-E66)*G66,0)</f>
        <v>0</v>
      </c>
      <c r="J66" s="12">
        <f t="shared" ref="J66:J69" ca="1" si="3">(IF(I66=0,0,H66+I66))</f>
        <v>0</v>
      </c>
      <c r="K66" s="21"/>
      <c r="Q66" s="18"/>
    </row>
    <row r="67" spans="1:17" ht="15.6" x14ac:dyDescent="0.3">
      <c r="B67" s="36"/>
      <c r="C67" s="4"/>
      <c r="D67" t="s">
        <v>10</v>
      </c>
      <c r="E67" s="26">
        <f>F66</f>
        <v>90563</v>
      </c>
      <c r="F67" s="5">
        <f t="shared" si="2"/>
        <v>140388</v>
      </c>
      <c r="G67" s="7">
        <f t="shared" si="2"/>
        <v>0.109</v>
      </c>
      <c r="H67" s="12">
        <f>((F66-E66)*G66)+H66</f>
        <v>6973.3379999999997</v>
      </c>
      <c r="I67" s="44">
        <f ca="1">IF(AND(($B$14+$B$5+$B$44)&gt;=E67,($B$14+$B$5+$B$44)&lt;F67),($B$14+$B$5+$B$44-E67)*G67,0)</f>
        <v>0</v>
      </c>
      <c r="J67" s="12">
        <f t="shared" ca="1" si="3"/>
        <v>0</v>
      </c>
      <c r="K67" s="21"/>
      <c r="Q67" s="18"/>
    </row>
    <row r="68" spans="1:17" ht="15.6" x14ac:dyDescent="0.3">
      <c r="A68" t="s">
        <v>70</v>
      </c>
      <c r="B68" s="36">
        <f ca="1">J72</f>
        <v>11748.262999999999</v>
      </c>
      <c r="C68" s="4"/>
      <c r="D68" t="s">
        <v>10</v>
      </c>
      <c r="E68" s="5">
        <f>F67</f>
        <v>140388</v>
      </c>
      <c r="F68" s="5">
        <f t="shared" si="2"/>
        <v>500000</v>
      </c>
      <c r="G68" s="7">
        <f t="shared" si="2"/>
        <v>0.128</v>
      </c>
      <c r="H68" s="12">
        <f>((F67-E67)*G67)+H67</f>
        <v>12404.262999999999</v>
      </c>
      <c r="I68" s="44">
        <f ca="1">IF(AND(($B$14+$B$5+$B$44)&gt;=E68,($B$14+$B$5+$B$44)&lt;F68),($B$14+$B$5+$B$44-E68)*G68,0)</f>
        <v>78.335999999999999</v>
      </c>
      <c r="J68" s="12">
        <f ca="1">(IF(I68=0,0,H68+I68))</f>
        <v>12482.598999999998</v>
      </c>
      <c r="K68" s="21"/>
      <c r="Q68" s="18"/>
    </row>
    <row r="69" spans="1:17" ht="15.6" x14ac:dyDescent="0.3">
      <c r="B69" s="36"/>
      <c r="C69" s="4"/>
      <c r="E69" s="5">
        <f>F68</f>
        <v>500000</v>
      </c>
      <c r="G69" s="7">
        <f>D32</f>
        <v>0.15</v>
      </c>
      <c r="H69" s="12">
        <f>((F68-E68)*G68)+H68</f>
        <v>58434.599000000002</v>
      </c>
      <c r="I69" s="44">
        <f ca="1">IF(($B$14+$B$5+$B$44)&gt;=E69,($B$14+$B$5+$B$44-E69)*G69,0)</f>
        <v>0</v>
      </c>
      <c r="J69" s="52">
        <f t="shared" ca="1" si="3"/>
        <v>0</v>
      </c>
      <c r="K69" s="21"/>
      <c r="Q69" s="18"/>
    </row>
    <row r="70" spans="1:17" x14ac:dyDescent="0.3">
      <c r="A70" t="s">
        <v>66</v>
      </c>
      <c r="B70" s="36">
        <f ca="1">B68*B66</f>
        <v>166.64202836879431</v>
      </c>
      <c r="C70" s="58" t="s">
        <v>30</v>
      </c>
      <c r="E70" s="13"/>
      <c r="F70" s="18"/>
      <c r="G70" s="4"/>
      <c r="H70" s="20"/>
      <c r="I70" s="45"/>
      <c r="J70" s="51">
        <f ca="1">SUM(J65:J69)</f>
        <v>12482.598999999998</v>
      </c>
      <c r="K70" s="21"/>
      <c r="Q70" s="18"/>
    </row>
    <row r="71" spans="1:17" x14ac:dyDescent="0.3">
      <c r="B71" s="36"/>
      <c r="C71" s="58"/>
      <c r="E71" s="13"/>
      <c r="F71" s="18"/>
      <c r="G71" s="61" t="s">
        <v>34</v>
      </c>
      <c r="H71" s="13">
        <f>B34</f>
        <v>11474</v>
      </c>
      <c r="I71" s="76">
        <f>D28</f>
        <v>6.4000000000000001E-2</v>
      </c>
      <c r="J71" s="52">
        <f ca="1">IF(($B$5+$B$14+$B$44)&lt;H71,($B$5+$B$14+$B$44)*I71,H71*I71)</f>
        <v>734.33600000000001</v>
      </c>
      <c r="K71" s="21"/>
      <c r="Q71" s="18"/>
    </row>
    <row r="72" spans="1:17" x14ac:dyDescent="0.3">
      <c r="A72" t="s">
        <v>67</v>
      </c>
      <c r="B72" s="36">
        <f>B58</f>
        <v>200</v>
      </c>
      <c r="E72" s="35"/>
      <c r="F72" s="21"/>
      <c r="G72" s="4"/>
      <c r="H72" s="4"/>
      <c r="I72" s="45"/>
      <c r="J72" s="13">
        <f ca="1">IF((J70-J71)&lt;=0,0,J70-J71)</f>
        <v>11748.262999999999</v>
      </c>
      <c r="K72" s="21"/>
    </row>
    <row r="73" spans="1:17" x14ac:dyDescent="0.3">
      <c r="A73" t="s">
        <v>77</v>
      </c>
      <c r="B73" s="37">
        <f ca="1">-B60</f>
        <v>-200</v>
      </c>
      <c r="C73" s="58"/>
      <c r="F73" s="38"/>
      <c r="G73" s="62"/>
      <c r="H73" s="18"/>
      <c r="I73" s="45"/>
      <c r="J73" s="47"/>
      <c r="K73" s="21"/>
    </row>
    <row r="74" spans="1:17" x14ac:dyDescent="0.3">
      <c r="B74" s="36">
        <f ca="1">SUM(B72:B73)</f>
        <v>0</v>
      </c>
      <c r="C74" s="58" t="s">
        <v>31</v>
      </c>
      <c r="G74" s="18"/>
      <c r="H74" s="18"/>
      <c r="I74" s="45"/>
      <c r="J74" s="12"/>
      <c r="K74" s="21"/>
    </row>
    <row r="75" spans="1:17" x14ac:dyDescent="0.3">
      <c r="B75" s="36"/>
      <c r="C75" s="4"/>
      <c r="H75" s="18"/>
      <c r="I75" s="45"/>
      <c r="J75" s="51"/>
      <c r="K75" s="50"/>
      <c r="L75" s="16"/>
    </row>
    <row r="76" spans="1:17" x14ac:dyDescent="0.3">
      <c r="A76" t="s">
        <v>71</v>
      </c>
      <c r="B76" s="60">
        <f ca="1">MIN(B70,B74)</f>
        <v>0</v>
      </c>
      <c r="C76" s="58" t="s">
        <v>86</v>
      </c>
      <c r="I76" s="45"/>
      <c r="J76" s="21"/>
      <c r="K76" s="50"/>
      <c r="L76" s="16"/>
    </row>
    <row r="77" spans="1:17" x14ac:dyDescent="0.3">
      <c r="B77" s="36"/>
      <c r="C77" s="4"/>
      <c r="I77" s="45"/>
      <c r="J77" s="21"/>
      <c r="K77" s="50"/>
      <c r="L77" s="16"/>
    </row>
    <row r="78" spans="1:17" x14ac:dyDescent="0.3">
      <c r="A78" t="s">
        <v>85</v>
      </c>
      <c r="B78" s="60">
        <f ca="1">B58-B60-B76</f>
        <v>0</v>
      </c>
      <c r="C78" s="58" t="s">
        <v>87</v>
      </c>
      <c r="G78" s="18"/>
      <c r="H78" s="18"/>
      <c r="I78" s="45"/>
      <c r="J78" s="51"/>
      <c r="K78" s="50"/>
      <c r="L78" s="16"/>
    </row>
    <row r="79" spans="1:17" x14ac:dyDescent="0.3">
      <c r="B79" s="36"/>
      <c r="C79" s="4"/>
      <c r="G79" s="18"/>
      <c r="H79" s="18"/>
      <c r="I79" s="45"/>
      <c r="J79" s="51"/>
      <c r="K79" s="50"/>
      <c r="L79" s="16"/>
    </row>
    <row r="80" spans="1:17" x14ac:dyDescent="0.3">
      <c r="A80" s="2" t="s">
        <v>12</v>
      </c>
      <c r="G80" s="18"/>
      <c r="H80" s="47"/>
      <c r="I80" s="74"/>
      <c r="J80" s="47"/>
      <c r="K80" s="46"/>
      <c r="L80" s="16"/>
    </row>
    <row r="81" spans="1:17" x14ac:dyDescent="0.3">
      <c r="B81" s="11"/>
      <c r="C81" t="s">
        <v>13</v>
      </c>
      <c r="G81" s="18"/>
      <c r="H81" s="47"/>
      <c r="I81" s="79"/>
      <c r="J81" s="47"/>
      <c r="K81" s="46"/>
      <c r="L81" s="16"/>
    </row>
    <row r="82" spans="1:17" x14ac:dyDescent="0.3">
      <c r="B82" s="36"/>
      <c r="C82" s="4"/>
      <c r="H82" s="44"/>
      <c r="I82" s="45"/>
      <c r="J82" s="45"/>
      <c r="K82" s="45"/>
      <c r="L82" s="16"/>
    </row>
    <row r="83" spans="1:17" x14ac:dyDescent="0.3">
      <c r="A83" t="s">
        <v>19</v>
      </c>
      <c r="B83" s="36">
        <f ca="1">IF(AND((B5+B44+B14)&gt;=B18,(B5+B44+B14)&lt;=C18),(B5+B44)*D18,IF(AND((B5+B44+B14)&gt;B19,(B5+B44+B14)&lt;=C19),IF((B5+B44+B14-B19)&gt;(B5+B44),(B5+B44)*D19,((B5+B44+B14-B19)*D19)+((B5+B44-(B5+B44+B14-B19))*D18)),IF(AND((B5+B44+B14)&gt;B20,(B5+B44+B14)&lt;=C20),IF((B5+B44+B14-B20)&gt;(B5+B44),(B5+B44)*D20,IF((B5+B44+B14-B19)&gt;(B5+B44),(((B5+B44+B14-B20)*D20)+((B5+B44-(B5+B44+B14-B20))*D19)),((B5+B44+B14-B20)*D20)+((C19-B19)*D19)+((B5+B44-(B5+B44+B14-B19))*D18))),IF(AND((B5+B44+B14)&gt;B21,(B5+B44+B14)&lt;=C21),IF((B5+B44+B14-B21)&gt;(B5+B44),(B5+B44)*D21,IF((B5+B44+B14-B20)&gt;(B5+B44),((B5+B44+B14-B21)*D21)+(((B5+B44-(B5+B44+B14-B21))*D20)),IF((B5+B44+B14-B19)&gt;(B5+B44),(((B5+B44+B14-B21)*D21)+((C20-B20)*D20)+((B5+B44-(B5+B44+B14-B20))*D19)),((B5+B44+B14-B21)*D21)+((C20-B20)*D20)+((C19-B19)*D19)+((B5+B44-(B5+B44+B14-B19))*D18)))),IF((B5+B44+B14)&gt;B22,IF((B5+B44+B14-B22)&gt;(B5+B44),(B5+B44)*D22,IF((B5+B44+B14-B21)&gt;(B5+B44),(((B5+B44+B14-B22)*D22)+((B5+B44-(B5+B44+B14-B22))*D21)),IF((B5+B44+B14-B20)&gt;(B5+B44),(((B5+B44+B14-B22)*D22)+((C21-B21)*D21)+((B5+B44-(B5+B44+B14-B21))*D20)),IF((B5+B44+B14-B19)&gt;(B5+B44),(((B5+B44+B14-B22)*D22)+((C21-B21)*D21)+((C20-B20)*D20)+((B5+B44-(B5+B44+B14-B20))*D19)),((B5+B44+B14-B22)*D22)+((C21-B21)*D21)+((C20-B20)*D20)+((C19-B19)*D19)+((B5+B44-(B5+B44+B14-B19))*D18))))))))))</f>
        <v>538.36</v>
      </c>
      <c r="C83" t="s">
        <v>15</v>
      </c>
      <c r="G83" s="28"/>
      <c r="H83" s="45"/>
      <c r="I83" s="45"/>
      <c r="J83" s="45"/>
      <c r="K83" s="45"/>
      <c r="L83" s="13"/>
    </row>
    <row r="84" spans="1:17" x14ac:dyDescent="0.3">
      <c r="B84" s="36">
        <f>-IF(B14&gt;=B24,0,IF(B14&lt;B24,IF((B14+B5+B44)&gt;B24,(B24-B14)*D18,((B5+B44)*D18))))</f>
        <v>0</v>
      </c>
      <c r="C84" t="s">
        <v>33</v>
      </c>
      <c r="G84" s="28"/>
      <c r="H84" s="75"/>
      <c r="I84" s="45"/>
      <c r="J84" s="47"/>
      <c r="K84" s="46"/>
      <c r="L84" s="16"/>
    </row>
    <row r="85" spans="1:17" x14ac:dyDescent="0.3">
      <c r="B85" s="36">
        <f ca="1">IF(B60=0,0,-MIN(B60,SUM(B83:B84)))</f>
        <v>-200</v>
      </c>
      <c r="C85" t="s">
        <v>78</v>
      </c>
      <c r="G85" s="28"/>
      <c r="H85" s="21"/>
      <c r="I85" s="51"/>
      <c r="J85" s="51"/>
      <c r="K85" s="50"/>
      <c r="L85" s="16"/>
    </row>
    <row r="86" spans="1:17" x14ac:dyDescent="0.3">
      <c r="B86" s="36">
        <f ca="1">IF(AND((B5+B44+B14)&gt;=B28,(B5+B44+B14)&lt;=C28),(B5+B44)*D28,IF(AND((B5+B44+B14)&gt;B29,(B5+B44+B14)&lt;=C29),IF((B5+B44+B14-B29)&gt;(B5+B44),(B5+B44)*D29,((B5+B44+B14-B29)*D29)+((B5+B44-(B5+B44+B14-B29))*D28)),IF(AND((B5+B44+B14)&gt;B30,(B5+B44+B14)&lt;=C30),IF((B5+B44+B14-B30)&gt;(B5+B44),(B5+B44)*D30,IF((B5+B44+B14-B29)&gt;(B5+B44),(((B5+B44+B14-B30)*D30)+((B5+B44-(B5+B44+B14-B30))*D29)),((B5+B44+B14-B30)*D30)+((C29-B29)*D29)+((B5+B44-(B5+B44+B14-B29))*D28))),IF(AND((B5+B44+B14)&gt;B31,(B5+B44+B14)&lt;=C31),IF((B5+B44+B14-B31)&gt;(B5+B44),(B5+B44)*D31,IF((B5+B44+B14-B30)&gt;(B5+B44),(((B5+B44+B14-B31)*D31)+((B5+B44-(B5+B44+B14-B31))*D30)),IF((B5+B44+B14-B29)&gt;(B5+B44),(((B5+B44+B14-B31)*D31)+((C30-B30)*D30)+((B5+B44-(B5+B44+B14-B30))*D29)),((B5+B44+B14-B31)*D31)+((C30-B30)*D30)+((C29-B29)*D29)+((B5+B44-(B5+B44+B14-B29))*D28)))),IF((B5+B44+B14)&gt;B32,IF((B5+B44+B14-B32)&gt;(B5+B44),(B5+B44)*D32,IF((B5+B44+B14-B31)&gt;(B5+B44),(((B5+B44+B14-B32)*D32)+((B5+B44-(B5+B44+B14-B32))*D31)),IF((B5+B44+B14-B30)&gt;(B5+B44),(((B5+B44+B14-B32)*D32)+((C31-B31)*D31)+((B5+B44-(B5+B44+B14-B31))*D30)),IF((B5+B44+B14-B29)&gt;(B5+B44),(((B5+B44+B14-B32)*D32)+((C31-B31)*D31)+((C30-B30)*D30)+((B5+B44-(B5+B44+B14-B30))*D29)),((B5+B44+B14-B32)*D32)+((C31-B31)*D31)+((C30-B30)*D30)+((C29-B29)*D29)+((B5+B44-(B5+B44+B14-B29))*D28))))))))))</f>
        <v>229.62799999999999</v>
      </c>
      <c r="C86" t="s">
        <v>16</v>
      </c>
      <c r="G86" s="28"/>
      <c r="H86" s="21"/>
      <c r="I86" s="51"/>
      <c r="J86" s="51"/>
      <c r="K86" s="21"/>
    </row>
    <row r="87" spans="1:17" x14ac:dyDescent="0.3">
      <c r="B87" s="36">
        <f>-IF(B14&gt;=B34,0,IF(B14&lt;B34,IF((B14+B5+B44)&gt;B34,(B34-B14)*D28,((B5+B44)*D28))))</f>
        <v>0</v>
      </c>
      <c r="C87" t="s">
        <v>35</v>
      </c>
      <c r="G87" s="28"/>
      <c r="H87"/>
      <c r="I87" s="21"/>
      <c r="J87" s="51"/>
      <c r="K87" s="50"/>
      <c r="L87" s="13"/>
    </row>
    <row r="88" spans="1:17" x14ac:dyDescent="0.3">
      <c r="B88" s="37">
        <f ca="1">IF(B76=0,0,-MIN(B76,SUM(B86,B87)))</f>
        <v>0</v>
      </c>
      <c r="C88" t="s">
        <v>79</v>
      </c>
      <c r="G88" s="28"/>
      <c r="H88"/>
      <c r="I88" s="12"/>
      <c r="J88" s="51"/>
      <c r="K88" s="21"/>
      <c r="L88" s="13"/>
    </row>
    <row r="89" spans="1:17" x14ac:dyDescent="0.3">
      <c r="A89" s="10" t="s">
        <v>21</v>
      </c>
      <c r="B89" s="77">
        <f ca="1">SUM(B83:B88)</f>
        <v>567.98800000000006</v>
      </c>
      <c r="F89" s="45"/>
      <c r="I89" s="21"/>
      <c r="J89" s="21"/>
      <c r="K89" s="47"/>
      <c r="L89" s="46"/>
      <c r="M89" s="45"/>
    </row>
    <row r="90" spans="1:17" x14ac:dyDescent="0.3">
      <c r="E90" s="18"/>
      <c r="F90" s="47"/>
      <c r="K90" s="45"/>
      <c r="L90" s="45"/>
      <c r="M90" s="45"/>
      <c r="Q90" s="15"/>
    </row>
    <row r="91" spans="1:17" x14ac:dyDescent="0.3">
      <c r="B91" s="13"/>
      <c r="F91" s="45"/>
      <c r="K91" s="45"/>
      <c r="L91" s="45"/>
      <c r="M91" s="45"/>
    </row>
    <row r="92" spans="1:17" x14ac:dyDescent="0.3">
      <c r="A92" s="19" t="s">
        <v>38</v>
      </c>
      <c r="B92" s="13"/>
      <c r="F92" s="45"/>
      <c r="K92" s="45"/>
      <c r="L92" s="45"/>
      <c r="M92" s="45"/>
    </row>
    <row r="93" spans="1:17" x14ac:dyDescent="0.3">
      <c r="A93" t="s">
        <v>107</v>
      </c>
      <c r="B93" s="36">
        <f ca="1">SUM(B83:B85)</f>
        <v>338.36</v>
      </c>
      <c r="F93" s="45"/>
      <c r="K93" s="45"/>
      <c r="L93" s="45"/>
      <c r="M93" s="45"/>
    </row>
    <row r="94" spans="1:17" x14ac:dyDescent="0.3">
      <c r="A94" t="s">
        <v>108</v>
      </c>
      <c r="B94" s="37">
        <f ca="1">SUM(B86:B88)</f>
        <v>229.62799999999999</v>
      </c>
      <c r="F94" s="45"/>
      <c r="K94" s="45"/>
      <c r="L94" s="45"/>
      <c r="M94" s="45"/>
    </row>
    <row r="95" spans="1:17" x14ac:dyDescent="0.3">
      <c r="B95" s="36">
        <f ca="1">SUM(B93:B94)</f>
        <v>567.98800000000006</v>
      </c>
      <c r="F95" s="45"/>
      <c r="K95" s="45"/>
      <c r="L95" s="45"/>
      <c r="M95" s="45"/>
    </row>
    <row r="96" spans="1:17" x14ac:dyDescent="0.3">
      <c r="B96" s="13"/>
      <c r="F96" s="45"/>
      <c r="K96" s="45"/>
      <c r="L96" s="45"/>
      <c r="M96" s="45"/>
    </row>
    <row r="97" spans="2:14" x14ac:dyDescent="0.3">
      <c r="B97" s="13"/>
      <c r="F97" s="45"/>
      <c r="K97" s="45"/>
      <c r="L97" s="45"/>
      <c r="M97" s="45"/>
    </row>
    <row r="98" spans="2:14" x14ac:dyDescent="0.3">
      <c r="B98" s="13"/>
      <c r="F98" s="45"/>
      <c r="K98" s="45"/>
      <c r="L98" s="45"/>
      <c r="M98" s="45"/>
    </row>
    <row r="99" spans="2:14" x14ac:dyDescent="0.3">
      <c r="B99" s="13"/>
      <c r="F99" s="45"/>
      <c r="K99" s="45"/>
      <c r="L99" s="45"/>
      <c r="M99" s="45"/>
    </row>
    <row r="100" spans="2:14" x14ac:dyDescent="0.3">
      <c r="B100" s="15"/>
      <c r="F100" s="45"/>
      <c r="K100" s="47"/>
      <c r="L100" s="45"/>
      <c r="M100" s="47"/>
      <c r="N100" s="18"/>
    </row>
    <row r="101" spans="2:14" x14ac:dyDescent="0.3">
      <c r="F101" s="45"/>
      <c r="K101" s="45"/>
      <c r="L101" s="45"/>
      <c r="M101" s="45"/>
    </row>
    <row r="102" spans="2:14" x14ac:dyDescent="0.3">
      <c r="F102" s="45"/>
      <c r="K102" s="45"/>
      <c r="L102" s="45"/>
      <c r="M102" s="45"/>
    </row>
    <row r="103" spans="2:14" x14ac:dyDescent="0.3">
      <c r="F103" s="45"/>
      <c r="G103" s="45"/>
      <c r="H103" s="44"/>
      <c r="I103" s="45"/>
      <c r="J103" s="45"/>
      <c r="K103" s="45"/>
      <c r="L103" s="45"/>
      <c r="M103" s="45"/>
    </row>
    <row r="104" spans="2:14" x14ac:dyDescent="0.3">
      <c r="H104" s="12"/>
    </row>
    <row r="106" spans="2:14" x14ac:dyDescent="0.3">
      <c r="H106" s="39"/>
      <c r="M106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="85" zoomScaleNormal="85" workbookViewId="0">
      <selection activeCell="F30" sqref="F30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6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97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98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0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92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5"/>
      <c r="G10" s="45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3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72000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A17" s="21"/>
      <c r="B17" s="89" t="s">
        <v>20</v>
      </c>
      <c r="C17" s="21"/>
      <c r="D17" s="21"/>
      <c r="E17" s="21"/>
      <c r="F17" s="89"/>
      <c r="G17" s="21"/>
      <c r="H17" s="21"/>
      <c r="I17" s="21"/>
      <c r="J17" s="21"/>
    </row>
    <row r="18" spans="1:14" ht="15.6" x14ac:dyDescent="0.3">
      <c r="A18" s="21" t="s">
        <v>9</v>
      </c>
      <c r="B18" s="50">
        <v>0</v>
      </c>
      <c r="C18" s="26">
        <v>45282</v>
      </c>
      <c r="D18" s="90">
        <v>0.15</v>
      </c>
      <c r="E18" s="21"/>
      <c r="F18" s="50"/>
      <c r="G18" s="26"/>
      <c r="H18" s="90"/>
      <c r="I18" s="26"/>
      <c r="J18" s="90"/>
      <c r="K18" s="6"/>
      <c r="L18" s="4"/>
      <c r="M18" s="5"/>
      <c r="N18" s="6"/>
    </row>
    <row r="19" spans="1:14" ht="15.6" x14ac:dyDescent="0.3">
      <c r="A19" s="21" t="s">
        <v>10</v>
      </c>
      <c r="B19" s="26">
        <f>C18</f>
        <v>45282</v>
      </c>
      <c r="C19" s="26">
        <v>90563</v>
      </c>
      <c r="D19" s="64">
        <v>0.20499999999999999</v>
      </c>
      <c r="E19" s="21"/>
      <c r="F19" s="26"/>
      <c r="G19" s="26"/>
      <c r="H19" s="64"/>
      <c r="I19" s="26"/>
      <c r="J19" s="64"/>
      <c r="K19" s="7"/>
      <c r="L19" s="5"/>
      <c r="M19" s="5"/>
      <c r="N19" s="7"/>
    </row>
    <row r="20" spans="1:14" ht="15.6" x14ac:dyDescent="0.3">
      <c r="A20" s="21" t="s">
        <v>10</v>
      </c>
      <c r="B20" s="26">
        <f>C19</f>
        <v>90563</v>
      </c>
      <c r="C20" s="26">
        <v>140388</v>
      </c>
      <c r="D20" s="64">
        <v>0.26</v>
      </c>
      <c r="E20" s="21"/>
      <c r="F20" s="26"/>
      <c r="G20" s="26"/>
      <c r="H20" s="64"/>
      <c r="I20" s="26"/>
      <c r="J20" s="64"/>
      <c r="K20" s="7"/>
      <c r="L20" s="5"/>
      <c r="M20" s="5"/>
      <c r="N20" s="7"/>
    </row>
    <row r="21" spans="1:14" ht="15.6" x14ac:dyDescent="0.3">
      <c r="A21" s="21" t="s">
        <v>10</v>
      </c>
      <c r="B21" s="26">
        <f>C20</f>
        <v>140388</v>
      </c>
      <c r="C21" s="26">
        <v>200000</v>
      </c>
      <c r="D21" s="64">
        <v>0.28999999999999998</v>
      </c>
      <c r="E21" s="21"/>
      <c r="F21" s="26"/>
      <c r="G21" s="26"/>
      <c r="H21" s="64"/>
      <c r="I21" s="91"/>
      <c r="J21" s="64"/>
      <c r="K21" s="7"/>
      <c r="L21" s="5"/>
      <c r="M21" s="5"/>
      <c r="N21" s="7"/>
    </row>
    <row r="22" spans="1:14" ht="15.6" x14ac:dyDescent="0.3">
      <c r="A22" s="21"/>
      <c r="B22" s="26">
        <f>C21</f>
        <v>200000</v>
      </c>
      <c r="C22" s="21"/>
      <c r="D22" s="64">
        <v>0.33</v>
      </c>
      <c r="E22" s="21"/>
      <c r="F22" s="26"/>
      <c r="G22" s="21"/>
      <c r="H22" s="64"/>
      <c r="I22" s="50"/>
      <c r="J22" s="64"/>
      <c r="K22" s="7"/>
      <c r="L22" s="5"/>
      <c r="N22" s="7"/>
    </row>
    <row r="23" spans="1:14" x14ac:dyDescent="0.3">
      <c r="A23" s="21"/>
      <c r="B23" s="21"/>
      <c r="C23" s="89"/>
      <c r="D23" s="21"/>
      <c r="E23" s="21"/>
      <c r="F23" s="21"/>
      <c r="G23" s="21"/>
      <c r="H23" s="12"/>
      <c r="I23" s="21"/>
      <c r="J23" s="21"/>
    </row>
    <row r="24" spans="1:14" ht="15.6" x14ac:dyDescent="0.3">
      <c r="A24" s="21" t="s">
        <v>37</v>
      </c>
      <c r="B24" s="26">
        <v>11474</v>
      </c>
      <c r="C24" s="26"/>
      <c r="D24" s="21"/>
      <c r="E24" s="21"/>
      <c r="F24" s="21"/>
      <c r="G24" s="50"/>
      <c r="H24" s="12"/>
      <c r="I24" s="21"/>
      <c r="J24" s="21"/>
    </row>
    <row r="25" spans="1:14" x14ac:dyDescent="0.3">
      <c r="A25" s="21"/>
      <c r="B25" s="21"/>
      <c r="C25" s="21"/>
      <c r="D25" s="21"/>
      <c r="E25" s="21"/>
      <c r="F25" s="21"/>
      <c r="G25" s="21"/>
      <c r="H25" s="12"/>
      <c r="I25" s="21"/>
      <c r="J25" s="57"/>
    </row>
    <row r="26" spans="1:14" x14ac:dyDescent="0.3">
      <c r="A26" s="89" t="s">
        <v>11</v>
      </c>
      <c r="B26" s="21"/>
      <c r="C26" s="21"/>
      <c r="D26" s="21"/>
      <c r="E26" s="21"/>
      <c r="F26" s="21"/>
      <c r="G26" s="21"/>
      <c r="H26" s="12"/>
      <c r="I26" s="21"/>
      <c r="J26" s="21"/>
    </row>
    <row r="27" spans="1:14" x14ac:dyDescent="0.3">
      <c r="A27" s="31" t="s">
        <v>92</v>
      </c>
      <c r="B27" s="89" t="s">
        <v>20</v>
      </c>
      <c r="C27" s="21"/>
      <c r="D27" s="21"/>
      <c r="E27" s="21"/>
      <c r="F27" s="89"/>
      <c r="G27" s="21"/>
      <c r="H27" s="21"/>
      <c r="I27" s="68"/>
      <c r="J27" s="31"/>
      <c r="K27" s="24"/>
    </row>
    <row r="28" spans="1:14" ht="15.6" x14ac:dyDescent="0.3">
      <c r="A28" s="21" t="s">
        <v>9</v>
      </c>
      <c r="B28" s="21">
        <v>0</v>
      </c>
      <c r="C28" s="26">
        <v>45282</v>
      </c>
      <c r="D28" s="64">
        <v>6.4000000000000001E-2</v>
      </c>
      <c r="E28" s="21"/>
      <c r="F28" s="21"/>
      <c r="G28" s="26"/>
      <c r="H28" s="64"/>
      <c r="I28" s="26"/>
      <c r="J28" s="64"/>
    </row>
    <row r="29" spans="1:14" ht="15.6" x14ac:dyDescent="0.3">
      <c r="A29" s="21" t="s">
        <v>10</v>
      </c>
      <c r="B29" s="26">
        <f>C28</f>
        <v>45282</v>
      </c>
      <c r="C29" s="26">
        <v>90563</v>
      </c>
      <c r="D29" s="64">
        <v>0.09</v>
      </c>
      <c r="E29" s="21"/>
      <c r="F29" s="26"/>
      <c r="G29" s="26"/>
      <c r="H29" s="64"/>
      <c r="I29" s="26"/>
      <c r="J29" s="69"/>
      <c r="K29" s="18"/>
      <c r="L29" s="15"/>
    </row>
    <row r="30" spans="1:14" ht="15.6" x14ac:dyDescent="0.3">
      <c r="A30" s="21" t="s">
        <v>10</v>
      </c>
      <c r="B30" s="26">
        <f>C29</f>
        <v>90563</v>
      </c>
      <c r="C30" s="26">
        <v>140388</v>
      </c>
      <c r="D30" s="64">
        <v>0.109</v>
      </c>
      <c r="E30" s="21"/>
      <c r="F30" s="26"/>
      <c r="G30" s="26"/>
      <c r="H30" s="64"/>
      <c r="I30" s="50"/>
      <c r="J30" s="69"/>
      <c r="K30" s="4"/>
      <c r="L30" s="13"/>
      <c r="N30" s="18"/>
    </row>
    <row r="31" spans="1:14" ht="15.6" x14ac:dyDescent="0.3">
      <c r="A31" s="21" t="s">
        <v>10</v>
      </c>
      <c r="B31" s="26">
        <f>C30</f>
        <v>140388</v>
      </c>
      <c r="C31" s="26">
        <v>500000</v>
      </c>
      <c r="D31" s="64">
        <v>0.128</v>
      </c>
      <c r="E31" s="21"/>
      <c r="F31" s="26"/>
      <c r="G31" s="26"/>
      <c r="H31" s="64"/>
      <c r="I31" s="50"/>
      <c r="J31" s="69"/>
      <c r="K31" s="4"/>
      <c r="L31" s="13"/>
      <c r="N31" s="4"/>
    </row>
    <row r="32" spans="1:14" ht="15.6" x14ac:dyDescent="0.3">
      <c r="A32" s="21"/>
      <c r="B32" s="26">
        <f>C31</f>
        <v>500000</v>
      </c>
      <c r="C32" s="21"/>
      <c r="D32" s="64">
        <v>0.15</v>
      </c>
      <c r="E32" s="21"/>
      <c r="F32" s="26"/>
      <c r="G32" s="21"/>
      <c r="H32" s="64"/>
      <c r="I32" s="50"/>
      <c r="J32" s="69"/>
      <c r="K32" s="4"/>
      <c r="L32" s="13"/>
    </row>
    <row r="33" spans="1:12" x14ac:dyDescent="0.3">
      <c r="A33" s="21"/>
      <c r="B33" s="21"/>
      <c r="C33" s="89"/>
      <c r="D33" s="21"/>
      <c r="E33" s="21"/>
      <c r="F33" s="21"/>
      <c r="G33" s="21"/>
      <c r="H33" s="43"/>
      <c r="I33" s="50"/>
      <c r="J33" s="70"/>
      <c r="K33" s="16"/>
      <c r="L33" s="25"/>
    </row>
    <row r="34" spans="1:12" ht="15.6" x14ac:dyDescent="0.3">
      <c r="A34" s="21" t="s">
        <v>35</v>
      </c>
      <c r="B34" s="26">
        <v>11474</v>
      </c>
      <c r="C34" s="26"/>
      <c r="D34" s="21"/>
      <c r="E34" s="21"/>
      <c r="F34" s="21"/>
      <c r="G34" s="21"/>
      <c r="H34" s="43"/>
      <c r="I34" s="50"/>
      <c r="J34" s="70"/>
      <c r="K34" s="16"/>
      <c r="L34" s="25"/>
    </row>
    <row r="35" spans="1:12" x14ac:dyDescent="0.3">
      <c r="A35" s="21"/>
      <c r="B35" s="50"/>
      <c r="C35" s="50"/>
      <c r="D35" s="21" t="s">
        <v>36</v>
      </c>
      <c r="E35" s="12"/>
      <c r="F35" s="92"/>
      <c r="G35" s="21"/>
      <c r="H35" s="20"/>
      <c r="I35" s="21"/>
      <c r="J35" s="21"/>
    </row>
    <row r="36" spans="1:12" x14ac:dyDescent="0.3">
      <c r="A36" s="89" t="s">
        <v>99</v>
      </c>
      <c r="B36" s="50"/>
      <c r="C36" s="50"/>
      <c r="D36" s="21"/>
      <c r="E36" s="21"/>
      <c r="F36" s="21"/>
      <c r="G36" s="21"/>
      <c r="H36" s="12"/>
      <c r="I36" s="21"/>
      <c r="J36" s="21"/>
    </row>
    <row r="37" spans="1:12" x14ac:dyDescent="0.3">
      <c r="A37" s="89"/>
      <c r="B37" s="50"/>
      <c r="C37" s="50"/>
      <c r="D37" s="21"/>
      <c r="E37" s="21"/>
      <c r="F37" s="21"/>
      <c r="G37" s="21"/>
      <c r="H37" s="12"/>
      <c r="I37" s="21"/>
      <c r="J37" s="21"/>
    </row>
    <row r="38" spans="1:12" x14ac:dyDescent="0.3">
      <c r="A38" s="27" t="s">
        <v>100</v>
      </c>
      <c r="B38" s="4">
        <v>72809</v>
      </c>
      <c r="C38" s="4"/>
    </row>
    <row r="39" spans="1:12" x14ac:dyDescent="0.3">
      <c r="A39" s="27" t="s">
        <v>101</v>
      </c>
      <c r="B39" s="86">
        <v>0.15</v>
      </c>
      <c r="C39" s="4"/>
    </row>
    <row r="40" spans="1:12" x14ac:dyDescent="0.3">
      <c r="A40" s="3"/>
      <c r="B40" s="4"/>
      <c r="C40" s="4"/>
    </row>
    <row r="41" spans="1:12" ht="28.8" x14ac:dyDescent="0.3">
      <c r="A41" s="87" t="s">
        <v>102</v>
      </c>
      <c r="B41" s="4">
        <f>IF(B12&gt;B38,B4*B39,0)</f>
        <v>0</v>
      </c>
      <c r="C41" s="4"/>
    </row>
    <row r="42" spans="1:12" ht="28.8" x14ac:dyDescent="0.3">
      <c r="A42" s="87" t="s">
        <v>103</v>
      </c>
      <c r="B42" s="88">
        <f>IF(AND(B12&lt;=B38,(B4+B12)&gt;=B38),(B4+B12-B38)*B39,0)</f>
        <v>28.65</v>
      </c>
      <c r="C42" s="4"/>
    </row>
    <row r="43" spans="1:12" x14ac:dyDescent="0.3">
      <c r="A43" s="27" t="s">
        <v>104</v>
      </c>
      <c r="B43" s="4">
        <f>SUM(B41:B42)</f>
        <v>28.65</v>
      </c>
      <c r="C43" s="4"/>
    </row>
    <row r="44" spans="1:12" x14ac:dyDescent="0.3">
      <c r="B44" s="4"/>
      <c r="C44" s="4"/>
      <c r="E44" s="13"/>
      <c r="F44" s="42"/>
      <c r="H44" s="16"/>
    </row>
    <row r="45" spans="1:12" x14ac:dyDescent="0.3">
      <c r="B45" s="4"/>
      <c r="C45" s="4"/>
      <c r="E45" s="13"/>
      <c r="F45" s="42"/>
      <c r="H45" s="16"/>
    </row>
    <row r="46" spans="1:12" x14ac:dyDescent="0.3">
      <c r="A46" s="2" t="s">
        <v>12</v>
      </c>
      <c r="E46" s="35"/>
      <c r="F46" s="21"/>
      <c r="G46" s="4"/>
      <c r="H46" s="4"/>
      <c r="I46" s="16"/>
    </row>
    <row r="47" spans="1:12" x14ac:dyDescent="0.3">
      <c r="B47" s="11"/>
      <c r="C47" t="s">
        <v>13</v>
      </c>
      <c r="H47" s="35"/>
      <c r="J47" s="4"/>
      <c r="K47" s="4"/>
      <c r="L47" s="16"/>
    </row>
    <row r="48" spans="1:12" x14ac:dyDescent="0.3">
      <c r="H48" s="35"/>
      <c r="I48" s="18"/>
      <c r="J48" s="4"/>
      <c r="K48" s="4"/>
      <c r="L48" s="16"/>
    </row>
    <row r="49" spans="1:17" x14ac:dyDescent="0.3">
      <c r="A49" t="s">
        <v>19</v>
      </c>
      <c r="B49" s="17">
        <f>IF(AND((B4-B43+B12)&gt;=B18,(B4-B43+B12)&lt;=C18),(B4-B43)*D18,IF(AND((B4-B43+B12)&gt;B19,(B4-B43+B12)&lt;=C19),IF((B4-B43+B12-B19)&gt;(B4-B43),(B4-B43)*D19,((B4-B43+B12-B19)*D19)+((B4-B43-(B4-B43+B12-B19))*D18)),IF(AND((B4-B43+B12)&gt;B20,(B4-B43+B12)&lt;=C20),IF((B4-B43+B12-B20)&gt;(B4-B43),(B4-B43)*D20,IF((B4-B43+B12-B19)&gt;(B4-B43),(((B4-B43+B12-B20)*D20)+((B4-B43-(B4-B43+B12-B20))*D19)),((B4-B43+B12-B20)*D20)+((C19-B19)*D19)+((B4-B43-(B4-B43+B12-B19))*D18))),IF(AND((B4-B43+B12)&gt;B21,(B4-B43+B12)&lt;=C21),IF((B4-B43+B12-B21)&gt;(B4-B43),(B4-B43)*D21,IF((B4-B43+B12-B20)&gt;(B4-B43),((B4-B43+B12-B21)*D21)+(((B4-B43-(B4-B43+B12-B21))*D20)),IF((B4-B43+B12-B19)&gt;(B4-B43),(((B4-B43+B12-B21)*D21)+((C20-B20)*D20)+((B4-B43-(B4-B43+B12-B20))*D19)),((B4-B43+B12-B21)*D21)+((C20-B20)*D20)+((C19-B19)*D19)+((B4-B43-(B4-B43+B12-B19))*D18)))),IF((B4-B43+B12)&gt;B22,IF((B4-B43+B12-B22)&gt;(B4-B43),(B4-B43)*D22,IF((B4-B43+B12-B21)&gt;(B4-B43),(((B4-B43+B12-B22)*D22)+((B4-B43-(B4-B43+B12-B22))*D21)),IF((B4-B43+B12-B20)&gt;(B4-B43),(((B4-B43+B12-B22)*D22)+((C21-B21)*D21)+((B4-B43-(B4-B43+B12-B21))*D20)),IF((B4-B43+B12-B19)&gt;(B4-B43),(((B4-B43+B12-B22)*D22)+((C21-B21)*D21)+((C20-B20)*D20)+((B4-B43-(B4-B43+B12-B20))*D19)),((B4-B43+B12-B22)*D22)+((C21-B21)*D21)+((C20-B20)*D20)+((C19-B19)*D19)+((B4-B43-(B4-B43+B12-B19))*D18))))))))))</f>
        <v>199.12674999999999</v>
      </c>
      <c r="C49" t="s">
        <v>15</v>
      </c>
      <c r="H49" s="41"/>
      <c r="K49" s="4"/>
      <c r="L49" s="16"/>
    </row>
    <row r="50" spans="1:17" x14ac:dyDescent="0.3">
      <c r="B50" s="36">
        <f>-IF(B12&gt;=B24,0,IF(B12&lt;B24,IF((B12+B4-B43)&gt;B24,(B24-B12)*D18,(B4-B43)*D18)))</f>
        <v>0</v>
      </c>
      <c r="C50" t="s">
        <v>33</v>
      </c>
      <c r="H50" s="41"/>
      <c r="K50" s="4"/>
      <c r="L50" s="16"/>
    </row>
    <row r="51" spans="1:17" x14ac:dyDescent="0.3">
      <c r="B51" s="12">
        <f>IF(AND((B4-B43+B12)&gt;=B28,(B4-B43+B12)&lt;=C28),(B4-B43)*D28,IF(AND((B4-B43+B12)&gt;B29,(B4-B43+B12)&lt;=C29),IF((B4-B43+B12-B29)&gt;(B4-B43),(B4-B43)*D29,((B4-B43+B12-B29)*D29)+((B4-B43-(B4-B43+B12-B29))*D28)),IF(AND((B4-B43+B12)&gt;B30,(B4-B43+B12)&lt;=C30),IF((B4-B43+B12-B30)&gt;(B4-B43),(B4-B43)*D30,IF((B4-B43+B12-B29)&gt;(B4-B43),(((B4-B43+B12-B30)*D30)+((B4-B43-(B4-B43+B12-B30))*D29)),((B4-B43+B12-B30)*D30)+((C29-B29)*D29)+((B4-B43-(B4-B43+B12-B29))*D28))),IF(AND((B4-B43+B12)&gt;B31,(B4-B43+B12)&lt;=C31),IF((B4-B43+B12-B31)&gt;(B4-B43),(B4-B43)*D31,IF((B4-B43+B12-B30)&gt;(B4-B43),(((B4-B43+B12-B31)*D31)+((B4-B43-(B4-B43+B12-B31))*D30)),IF((B4-B43+B12-B29)&gt;(B4-B43),(((B4-B43+B12-B31)*D31)+((C30-B30)*D30)+((B4-B43-(B4-B43+B12-B30))*D29)),((B4-B43+B12-B31)*D31)+((C30-B30)*D30)+((C29-B29)*D29)+((B4-B43-(B4-B43+B12-B29))*D28)))),IF((B4-B43+B12)&gt;B32,IF((B4-B43+B12-B32)&gt;(B4-B43),(B4-B43)*D32,IF((B4-B43+B12-B31)&gt;(B4-B43),(((B4-B43+B12-B32)*D32)+((B4-B43-(B4-B43+B12-B32))*D31)),IF((B4-B43+B12-B30)&gt;(B4-B43),(((B4-B43+B12-B32)*D32)+((C31-B31)*D31)+((B4-B43-(B4-B43+B12-B31))*D30)),IF((B4-B43+B12-B29)&gt;(B4-B43),(((B4-B43+B12-B32)*D32)+((C31-B31)*D31)+((C30-B30)*D30)+((B4-B43-(B4-B43+B12-B30))*D29)),((B4-B43+B12-B32)*D32)+((C31-B31)*D31)+((C30-B30)*D30)+((C29-B29)*D29)+((B4-B43-(B4-B43+B12-B29))*D28))))))))))</f>
        <v>87.421499999999995</v>
      </c>
      <c r="C51" t="s">
        <v>16</v>
      </c>
    </row>
    <row r="52" spans="1:17" x14ac:dyDescent="0.3">
      <c r="B52" s="38">
        <f>-IF(B12&gt;=B34,0,IF(B12&lt;B34,IF((B12+B4-B43)&gt;B34,(B34-B12)*D28,(B4-B43)*D28)))</f>
        <v>0</v>
      </c>
      <c r="C52" t="s">
        <v>35</v>
      </c>
    </row>
    <row r="53" spans="1:17" x14ac:dyDescent="0.3">
      <c r="B53" s="82">
        <f>B43</f>
        <v>28.65</v>
      </c>
      <c r="C53" s="83" t="s">
        <v>99</v>
      </c>
    </row>
    <row r="54" spans="1:17" x14ac:dyDescent="0.3">
      <c r="A54" s="10" t="s">
        <v>21</v>
      </c>
      <c r="B54" s="43">
        <f>SUM(B49:B53)</f>
        <v>315.19824999999997</v>
      </c>
      <c r="F54" s="45"/>
      <c r="G54" s="45"/>
      <c r="H54" s="44"/>
      <c r="I54" s="45"/>
      <c r="J54" s="45"/>
      <c r="K54" s="47"/>
      <c r="L54" s="46"/>
      <c r="M54" s="45"/>
    </row>
    <row r="55" spans="1:17" x14ac:dyDescent="0.3">
      <c r="E55" s="18"/>
      <c r="F55" s="47"/>
      <c r="G55" s="45"/>
      <c r="H55" s="44"/>
      <c r="I55" s="47"/>
      <c r="J55" s="47"/>
      <c r="K55" s="45"/>
      <c r="L55" s="45"/>
      <c r="M55" s="45"/>
      <c r="Q55" s="15"/>
    </row>
    <row r="56" spans="1:17" x14ac:dyDescent="0.3">
      <c r="B56" s="13"/>
      <c r="F56" s="45"/>
      <c r="G56" s="45"/>
      <c r="H56" s="44"/>
      <c r="I56" s="45"/>
      <c r="J56" s="45"/>
      <c r="K56" s="45"/>
      <c r="L56" s="45"/>
      <c r="M56" s="45"/>
    </row>
    <row r="57" spans="1:17" x14ac:dyDescent="0.3">
      <c r="A57" s="19" t="s">
        <v>38</v>
      </c>
      <c r="B57" s="13"/>
      <c r="F57" s="45"/>
      <c r="G57" s="45"/>
      <c r="H57" s="44"/>
      <c r="I57" s="44"/>
      <c r="J57" s="47"/>
      <c r="K57" s="45"/>
      <c r="L57" s="45"/>
      <c r="M57" s="45"/>
    </row>
    <row r="58" spans="1:17" x14ac:dyDescent="0.3">
      <c r="A58" t="s">
        <v>107</v>
      </c>
      <c r="B58" s="13">
        <f>SUM(B49:B50)</f>
        <v>199.12674999999999</v>
      </c>
      <c r="F58" s="45"/>
      <c r="G58" s="45"/>
      <c r="H58" s="44"/>
      <c r="I58" s="45"/>
      <c r="J58" s="45"/>
      <c r="K58" s="45"/>
      <c r="L58" s="45"/>
      <c r="M58" s="45"/>
    </row>
    <row r="59" spans="1:17" x14ac:dyDescent="0.3">
      <c r="A59" t="s">
        <v>108</v>
      </c>
      <c r="B59" s="81">
        <f>SUM(B51:B52)</f>
        <v>87.421499999999995</v>
      </c>
      <c r="F59" s="45"/>
      <c r="G59" s="45"/>
      <c r="H59" s="44"/>
      <c r="I59" s="47"/>
      <c r="J59" s="47"/>
      <c r="K59" s="45"/>
      <c r="L59" s="45"/>
      <c r="M59" s="45"/>
    </row>
    <row r="60" spans="1:17" x14ac:dyDescent="0.3">
      <c r="A60" s="84" t="s">
        <v>99</v>
      </c>
      <c r="B60" s="85">
        <f>B53</f>
        <v>28.65</v>
      </c>
      <c r="F60" s="45"/>
      <c r="G60" s="45"/>
      <c r="H60" s="44"/>
      <c r="I60" s="47"/>
      <c r="J60" s="47"/>
      <c r="K60" s="45"/>
      <c r="L60" s="45"/>
      <c r="M60" s="45"/>
    </row>
    <row r="61" spans="1:17" x14ac:dyDescent="0.3">
      <c r="B61" s="13">
        <f>SUM(B58:B60)</f>
        <v>315.19824999999997</v>
      </c>
      <c r="F61" s="45"/>
      <c r="G61" s="45"/>
      <c r="H61" s="44"/>
      <c r="I61" s="45"/>
      <c r="J61" s="45"/>
      <c r="K61" s="45"/>
      <c r="L61" s="45"/>
      <c r="M61" s="45"/>
    </row>
    <row r="62" spans="1:17" x14ac:dyDescent="0.3">
      <c r="B62" s="13"/>
      <c r="F62" s="45"/>
      <c r="G62" s="45"/>
      <c r="H62" s="44"/>
      <c r="I62" s="44"/>
      <c r="J62" s="47"/>
      <c r="K62" s="45"/>
      <c r="L62" s="45"/>
      <c r="M62" s="45"/>
    </row>
    <row r="63" spans="1:17" x14ac:dyDescent="0.3">
      <c r="B63" s="13"/>
      <c r="F63" s="45"/>
      <c r="G63" s="45"/>
      <c r="H63" s="44"/>
      <c r="I63" s="45"/>
      <c r="J63" s="45"/>
      <c r="K63" s="45"/>
      <c r="L63" s="45"/>
      <c r="M63" s="45"/>
    </row>
    <row r="64" spans="1:17" x14ac:dyDescent="0.3">
      <c r="B64" s="13"/>
      <c r="F64" s="45"/>
      <c r="G64" s="45"/>
      <c r="H64" s="44"/>
      <c r="I64" s="47"/>
      <c r="J64" s="47"/>
      <c r="K64" s="45"/>
      <c r="L64" s="45"/>
      <c r="M64" s="45"/>
    </row>
    <row r="65" spans="2:13" x14ac:dyDescent="0.3">
      <c r="B65" s="13"/>
      <c r="F65" s="45"/>
      <c r="G65" s="45"/>
      <c r="H65" s="44"/>
      <c r="I65" s="45"/>
      <c r="J65" s="45"/>
      <c r="K65" s="45"/>
      <c r="L65" s="45"/>
      <c r="M65" s="45"/>
    </row>
    <row r="66" spans="2:13" x14ac:dyDescent="0.3">
      <c r="B66" s="15"/>
      <c r="F66" s="45"/>
      <c r="G66" s="45"/>
      <c r="H66" s="48"/>
      <c r="I66" s="45"/>
      <c r="J66" s="45"/>
      <c r="K66" s="45"/>
      <c r="L66" s="45"/>
      <c r="M66" s="45"/>
    </row>
    <row r="67" spans="2:13" x14ac:dyDescent="0.3">
      <c r="F67" s="45"/>
      <c r="G67" s="45"/>
      <c r="H67" s="44"/>
      <c r="I67" s="45"/>
      <c r="J67" s="45"/>
      <c r="K67" s="45"/>
      <c r="L67" s="45"/>
      <c r="M67" s="45"/>
    </row>
    <row r="68" spans="2:13" x14ac:dyDescent="0.3">
      <c r="F68" s="45"/>
      <c r="G68" s="45"/>
      <c r="H68" s="44"/>
      <c r="I68" s="46"/>
      <c r="J68" s="46"/>
      <c r="K68" s="45"/>
      <c r="L68" s="45"/>
      <c r="M68" s="45"/>
    </row>
    <row r="69" spans="2:13" x14ac:dyDescent="0.3">
      <c r="F69" s="45"/>
      <c r="G69" s="45"/>
      <c r="H69" s="44"/>
      <c r="I69" s="45"/>
      <c r="J69" s="45"/>
      <c r="K69" s="45"/>
      <c r="L69" s="45"/>
      <c r="M69" s="45"/>
    </row>
    <row r="70" spans="2:13" x14ac:dyDescent="0.3">
      <c r="H70" s="12"/>
    </row>
    <row r="72" spans="2:13" x14ac:dyDescent="0.3">
      <c r="H72" s="39"/>
      <c r="M72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2016-11-15T00:04:26Z</dcterms:modified>
</cp:coreProperties>
</file>