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Will\Will\Business\WTC Tax Consulting\App\"/>
    </mc:Choice>
  </mc:AlternateContent>
  <bookViews>
    <workbookView xWindow="0" yWindow="0" windowWidth="24000" windowHeight="9135"/>
  </bookViews>
  <sheets>
    <sheet name="RRSP (ded'n)" sheetId="1" r:id="rId1"/>
    <sheet name="RESP" sheetId="18" r:id="rId2"/>
    <sheet name="Tax Credit" sheetId="4" r:id="rId3"/>
    <sheet name="Interest Inc" sheetId="3" r:id="rId4"/>
    <sheet name="Child Care Exp (ded'n)" sheetId="16" r:id="rId5"/>
    <sheet name="TFSA" sheetId="15" r:id="rId6"/>
    <sheet name="Dividend Income" sheetId="17" r:id="rId7"/>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12" i="18" l="1"/>
  <c r="U13" i="18" s="1"/>
  <c r="U15" i="18" s="1"/>
  <c r="S12" i="18"/>
  <c r="S13" i="18" s="1"/>
  <c r="S15" i="18" s="1"/>
  <c r="Q12" i="18"/>
  <c r="Q13" i="18" s="1"/>
  <c r="Q15" i="18" s="1"/>
  <c r="O12" i="18"/>
  <c r="O13" i="18" s="1"/>
  <c r="O15" i="18" s="1"/>
  <c r="M12" i="18"/>
  <c r="M13" i="18" s="1"/>
  <c r="M15" i="18" s="1"/>
  <c r="K12" i="18"/>
  <c r="K13" i="18" s="1"/>
  <c r="K15" i="18" s="1"/>
  <c r="I12" i="18"/>
  <c r="I13" i="18" s="1"/>
  <c r="I15" i="18" s="1"/>
  <c r="G12" i="18"/>
  <c r="G13" i="18" s="1"/>
  <c r="G15" i="18" s="1"/>
  <c r="E12" i="18"/>
  <c r="E13" i="18" s="1"/>
  <c r="E15" i="18" s="1"/>
  <c r="C12" i="18"/>
  <c r="C13" i="18" s="1"/>
  <c r="C15" i="18" s="1"/>
  <c r="C17" i="18" l="1"/>
  <c r="D4" i="18"/>
  <c r="C19" i="18" l="1"/>
  <c r="G47" i="15"/>
  <c r="G41" i="15"/>
  <c r="G46" i="15" s="1"/>
  <c r="G49" i="15" s="1"/>
  <c r="H15" i="15"/>
  <c r="H16" i="15" s="1"/>
  <c r="H17" i="15" s="1"/>
  <c r="H18" i="15" s="1"/>
  <c r="B9" i="15"/>
  <c r="B44" i="15" s="1"/>
  <c r="B89" i="16"/>
  <c r="C40" i="16"/>
  <c r="D34" i="16"/>
  <c r="D29" i="16"/>
  <c r="C31" i="16"/>
  <c r="C22" i="16"/>
  <c r="C19" i="16"/>
  <c r="D5" i="16"/>
  <c r="C42" i="17"/>
  <c r="C40" i="17"/>
  <c r="C7" i="17"/>
  <c r="C39" i="17" s="1"/>
  <c r="F46" i="17"/>
  <c r="B27" i="16"/>
  <c r="U19" i="16"/>
  <c r="S19" i="16"/>
  <c r="Q19" i="16"/>
  <c r="O19" i="16"/>
  <c r="M19" i="16"/>
  <c r="K19" i="16"/>
  <c r="I19" i="16"/>
  <c r="G19" i="16"/>
  <c r="E19" i="16"/>
  <c r="C26" i="16"/>
  <c r="E46" i="15"/>
  <c r="B41" i="15" l="1"/>
  <c r="B42" i="15"/>
  <c r="B43" i="15"/>
  <c r="C27" i="16"/>
  <c r="C20" i="16"/>
  <c r="C45" i="16" s="1"/>
  <c r="C41" i="17"/>
  <c r="C43" i="17"/>
  <c r="C44" i="17"/>
  <c r="B45" i="15" l="1"/>
  <c r="C42" i="16"/>
  <c r="C41" i="16"/>
  <c r="C45" i="17"/>
  <c r="C43" i="16" l="1"/>
  <c r="C47" i="16" s="1"/>
  <c r="B44" i="1"/>
  <c r="AD163" i="4"/>
  <c r="AD166" i="4" s="1"/>
  <c r="AD168" i="4" s="1"/>
  <c r="AA163" i="4"/>
  <c r="AA166" i="4" s="1"/>
  <c r="AA168" i="4" s="1"/>
  <c r="X166" i="4"/>
  <c r="X168" i="4" s="1"/>
  <c r="X163" i="4"/>
  <c r="U166" i="4"/>
  <c r="U168" i="4" s="1"/>
  <c r="U163" i="4"/>
  <c r="R166" i="4"/>
  <c r="R168" i="4" s="1"/>
  <c r="R163" i="4"/>
  <c r="O166" i="4"/>
  <c r="O168" i="4" s="1"/>
  <c r="O163" i="4"/>
  <c r="L166" i="4"/>
  <c r="L168" i="4" s="1"/>
  <c r="L163" i="4"/>
  <c r="I166" i="4"/>
  <c r="I168" i="4" s="1"/>
  <c r="I163" i="4"/>
  <c r="F166" i="4"/>
  <c r="F168" i="4" s="1"/>
  <c r="F163" i="4"/>
  <c r="C163" i="4"/>
  <c r="C182" i="4"/>
  <c r="C181" i="4"/>
  <c r="AD143" i="4"/>
  <c r="AD146" i="4" s="1"/>
  <c r="AD148" i="4" s="1"/>
  <c r="AA143" i="4"/>
  <c r="AA146" i="4" s="1"/>
  <c r="AA148" i="4" s="1"/>
  <c r="X143" i="4"/>
  <c r="X146" i="4" s="1"/>
  <c r="X148" i="4" s="1"/>
  <c r="U143" i="4"/>
  <c r="U146" i="4" s="1"/>
  <c r="U148" i="4" s="1"/>
  <c r="R143" i="4"/>
  <c r="R146" i="4" s="1"/>
  <c r="R148" i="4" s="1"/>
  <c r="O146" i="4"/>
  <c r="O148" i="4" s="1"/>
  <c r="O143" i="4"/>
  <c r="L143" i="4"/>
  <c r="L146" i="4" s="1"/>
  <c r="L148" i="4" s="1"/>
  <c r="I143" i="4"/>
  <c r="I146" i="4" s="1"/>
  <c r="I148" i="4" s="1"/>
  <c r="F143" i="4"/>
  <c r="F146" i="4" s="1"/>
  <c r="F148" i="4" s="1"/>
  <c r="C143" i="4"/>
  <c r="B43" i="1"/>
  <c r="C85" i="16" l="1"/>
  <c r="C49" i="16"/>
  <c r="C84" i="16"/>
  <c r="C87" i="16"/>
  <c r="C86" i="16"/>
  <c r="C170" i="4"/>
  <c r="B42" i="1"/>
  <c r="B41" i="1"/>
  <c r="C88" i="16" l="1"/>
  <c r="E42" i="3"/>
  <c r="B39" i="3" l="1"/>
  <c r="B40" i="3"/>
  <c r="B38" i="3"/>
  <c r="B37" i="3"/>
  <c r="C166" i="4" l="1"/>
  <c r="C168" i="4" s="1"/>
  <c r="C180" i="4"/>
  <c r="C146" i="4"/>
  <c r="C148" i="4" s="1"/>
  <c r="C150" i="4" s="1"/>
  <c r="C130" i="4"/>
  <c r="C119" i="4"/>
  <c r="C75" i="4"/>
  <c r="C69" i="4"/>
  <c r="C71" i="4" s="1"/>
  <c r="C72" i="4" s="1"/>
  <c r="C108" i="4"/>
  <c r="C110" i="4" s="1"/>
  <c r="C37" i="4"/>
  <c r="C36" i="4"/>
  <c r="C49" i="4"/>
  <c r="C91" i="4"/>
  <c r="C94" i="4" s="1"/>
  <c r="C92" i="4"/>
  <c r="C97" i="4" s="1"/>
  <c r="C53" i="4"/>
  <c r="C52" i="4"/>
  <c r="C51" i="4"/>
  <c r="C50" i="4"/>
  <c r="C183" i="4" l="1"/>
  <c r="C77" i="4"/>
  <c r="C78" i="4" s="1"/>
  <c r="C81" i="4" s="1"/>
  <c r="C96" i="4"/>
  <c r="C95" i="4"/>
  <c r="C80" i="4"/>
  <c r="C38" i="4"/>
  <c r="C54" i="4"/>
  <c r="C9" i="4"/>
  <c r="C23" i="4"/>
  <c r="C82" i="4" l="1"/>
  <c r="C98" i="4"/>
  <c r="C57" i="4"/>
  <c r="C56" i="4"/>
  <c r="C58" i="4" s="1"/>
  <c r="C26" i="4"/>
  <c r="C25" i="4"/>
  <c r="C12" i="4"/>
  <c r="C11" i="4"/>
  <c r="C27" i="4" l="1"/>
  <c r="C13" i="4"/>
  <c r="B41" i="3" l="1"/>
  <c r="B45" i="1" l="1"/>
</calcChain>
</file>

<file path=xl/sharedStrings.xml><?xml version="1.0" encoding="utf-8"?>
<sst xmlns="http://schemas.openxmlformats.org/spreadsheetml/2006/main" count="513" uniqueCount="244">
  <si>
    <t>Input cell</t>
  </si>
  <si>
    <t> Ontario</t>
  </si>
  <si>
    <t>#1</t>
  </si>
  <si>
    <t>RRSP</t>
  </si>
  <si>
    <t>Contribution</t>
  </si>
  <si>
    <t>#2</t>
  </si>
  <si>
    <t>Province</t>
  </si>
  <si>
    <t>Total Income</t>
  </si>
  <si>
    <t>Background</t>
  </si>
  <si>
    <t>Federal Bracket</t>
  </si>
  <si>
    <t>Income level</t>
  </si>
  <si>
    <t>over</t>
  </si>
  <si>
    <t>Provincial Bracket</t>
  </si>
  <si>
    <t>Ontario</t>
  </si>
  <si>
    <t>#3</t>
  </si>
  <si>
    <t>Loading screen</t>
  </si>
  <si>
    <t>#4</t>
  </si>
  <si>
    <t>Output cell</t>
  </si>
  <si>
    <t>Tax savings</t>
  </si>
  <si>
    <t>Federal</t>
  </si>
  <si>
    <t>Provincial</t>
  </si>
  <si>
    <t>Surtax %</t>
  </si>
  <si>
    <t>Threshold</t>
  </si>
  <si>
    <t>ON Surtax</t>
  </si>
  <si>
    <t>Total Tax Savings</t>
  </si>
  <si>
    <t>Interest income</t>
  </si>
  <si>
    <t>Taxes Payable</t>
  </si>
  <si>
    <t>2016 rates</t>
  </si>
  <si>
    <t>Additional Taxes Payable</t>
  </si>
  <si>
    <t>ON Surtax 20% deconstruct</t>
  </si>
  <si>
    <t>ON Surtax 36% deconstruct</t>
  </si>
  <si>
    <t>IF(AND(B12&gt;=B19,B12&lt;=C19),B4*D19</t>
  </si>
  <si>
    <t>IF(AND(B12&gt;B20,B12&lt;=C20),IF((B12-B20)&gt;B4,B4*D20,((B12-B20)*D20)+((B4-(B12-B20))*D19))</t>
  </si>
  <si>
    <t>Adoption expense</t>
  </si>
  <si>
    <t>Maximum</t>
  </si>
  <si>
    <t>Adoption Tax Credit</t>
  </si>
  <si>
    <t>Pension Tax Credit</t>
  </si>
  <si>
    <t>Pension income</t>
  </si>
  <si>
    <t xml:space="preserve">Maximum adoption expenses eligible for tax credit is $15,255. Eligible adoption expenses include: fees paid to an adoption agency licensed by the government, legal expenses relating to adoption order, other reasonable expenses. Child must be under 18 years of age at the time the adoption order is issued by Government of Canada. </t>
  </si>
  <si>
    <t>Tax tips:</t>
  </si>
  <si>
    <t>Maximum pension income eligible for tax credit is $2,000. Pension income eligible for pension tax credit will depend on your age. For individuals 65 and over, all pension income are eligible. For individuals under 65, "eligible pension income" includes life annuity from a pension plan and pension income received due to death of spouse or common-law partner.</t>
  </si>
  <si>
    <t>Interest paid on student loan</t>
  </si>
  <si>
    <t>Interest expense</t>
  </si>
  <si>
    <t>Ontario tax credit</t>
  </si>
  <si>
    <t>Federal tax credit</t>
  </si>
  <si>
    <t>Total non-refundable tax credit</t>
  </si>
  <si>
    <t>Tuition, education, and textbook credits</t>
  </si>
  <si>
    <t>Tuition fees</t>
  </si>
  <si>
    <t>Education credit</t>
  </si>
  <si>
    <t>Textbook credit</t>
  </si>
  <si>
    <t>Students are required to claim their tuition tax credit first on their own return to reduce their taxes to zero. Students may then transfer any unused tuition credit to their spouse, common-law partner, parents, or grandparents. Maximum amount that can be transferred is $5,000. Any unused tuition credit that are not used and are not transferred can be carried forward to a future year.</t>
  </si>
  <si>
    <t>Number of months as full-time student</t>
  </si>
  <si>
    <t>Number of months as part-time student</t>
  </si>
  <si>
    <t>Medical expense</t>
  </si>
  <si>
    <t>Net income</t>
  </si>
  <si>
    <t>Equals to total income</t>
  </si>
  <si>
    <t>Net income parameter</t>
  </si>
  <si>
    <t>Eligible medical expense</t>
  </si>
  <si>
    <t>Whichever is less</t>
  </si>
  <si>
    <t>Repayment on principal portion of the loan is not tax deductible, only the interest is eligible for tax credit. Student can only claim interest on student loans under the Canada Student Loans Program or a provinancial student loans program. Unused credits may be carried forward for up to 5 years.</t>
  </si>
  <si>
    <t>Donations and gifts</t>
  </si>
  <si>
    <t>Donation</t>
  </si>
  <si>
    <t>Greater than 200</t>
  </si>
  <si>
    <t>Equal or less than 200</t>
  </si>
  <si>
    <t>Canada employment credit</t>
  </si>
  <si>
    <t xml:space="preserve">To optimize the tax credit, combine the spouse/common-law partner's donation and claim on one tax return. Total donations greater than $200 will result in a significantly higher amount of tax credit. Individuals who are first-time donor will receive an additional 25% credit on up to $1,000 of donation. A tax receipt is required to claim a donation tax credit. </t>
  </si>
  <si>
    <t>Employment income</t>
  </si>
  <si>
    <t>Federal tax credit (first 200)</t>
  </si>
  <si>
    <t>Public transit credit</t>
  </si>
  <si>
    <t>Public transit expense</t>
  </si>
  <si>
    <t>Federal tax credit (over 200)</t>
  </si>
  <si>
    <t>Ontario tax credit (first 200)</t>
  </si>
  <si>
    <t>Ontario tax credit (over 200)</t>
  </si>
  <si>
    <t>Individual who earns employment income can claim this credit.</t>
  </si>
  <si>
    <t>Federal amount</t>
  </si>
  <si>
    <t>Ontario amount</t>
  </si>
  <si>
    <t>To optimize the tax credit, combine spouse/common-law partner's and child under 19 public transit expense and claim on one tax return. Eligible public transit expense includes monthly passes, consecutive weekly passes, and electronic payment card with at least 32 one-way trips in a month.</t>
  </si>
  <si>
    <t>Home buyer's credit</t>
  </si>
  <si>
    <t>Did you buy a home in the current year?</t>
  </si>
  <si>
    <t>Yes</t>
  </si>
  <si>
    <t>No</t>
  </si>
  <si>
    <t>Did you live in a home owned by you or your spouse's name in the last 4 years?</t>
  </si>
  <si>
    <t>An individual or the spouse/common-law partner must not own a home in the previous 4 years to be eligible for this tax credit. The individual should also consider using the Home Buyers' Plan by withdrawing up to a maximum of $25,000 from RRSP to fund the down payment.</t>
  </si>
  <si>
    <t>Registration or membership fees per child</t>
  </si>
  <si>
    <t xml:space="preserve">Parents can claim a maximum of $500 per child for fees paid for registration or membership of a child under 16 in an eligible program of artistic, cultural, recreational, or developmental activity. Fees that are part of a school curriculum, child care expense, or used for children's fitness credit are not eligible. </t>
  </si>
  <si>
    <t>Political donation tax credit</t>
  </si>
  <si>
    <t>Political contribution</t>
  </si>
  <si>
    <t>Tier one (up to 400)</t>
  </si>
  <si>
    <t>Tier one (next 350)</t>
  </si>
  <si>
    <t>Tier one (next 525)</t>
  </si>
  <si>
    <t>An individual can claim political contribution of up to $1,275 made to candidates for election to the House of Commons or to registered federal political parties.</t>
  </si>
  <si>
    <t>An individual can optimize medical tax credit by claiming medical expense paid in any consecutive 12-month period that ends in 2016 and that have not been claimed in 2015 (eg. From April 1, 2015 to March 31, 2016 instead of the calendar year). Individual can claim medical expense for self, spouse/common-law partner, children under 18, and other dependants who are Canadian residents. Low income families are also eligible for refundable medical expense supplement.</t>
  </si>
  <si>
    <t>Children's fitness tax credit</t>
  </si>
  <si>
    <t>Total refundable tax credit</t>
  </si>
  <si>
    <t>Parents can claim a maximum of $1,000 per child for fees paid for registration or membership of a child under 16 in an eligible program of physical activity. Fees that are part of a school curriculum and child care expense are not eligible. The same fees cannot be claimed as Children's Arts Tax Credit.</t>
  </si>
  <si>
    <t>IF(AND(B12&gt;B21,B12&lt;=C21),IF((B12-B21)&gt;B4,B4*D21,IF((B12-B20)&gt;B4,(((B12-B21)*D21)+((B4-(B12-B21))*D20)),(((B12-B21)*D21))+((B21-B20)*D20)+((B4-(B12-B20))*D19))))</t>
  </si>
  <si>
    <t>Federal bracket deconstruct</t>
  </si>
  <si>
    <t>Ontario bracket deconstruct</t>
  </si>
  <si>
    <t>IF(AND(B12&gt;=B28,B12&lt;=C28),B4*D28)</t>
  </si>
  <si>
    <t>IF(AND(B12&gt;B29,B12&lt;=C29),IF((B12-B29)&gt;B4,B4*D29,((B12-B29)*D29)+((B4-(B12-B29))*D28)))</t>
  </si>
  <si>
    <t>IF(AND(B12&gt;B30,B12&lt;=C30),IF((B12-B30)&gt;B4,B4*D30,IF((B12-B29)&gt;B4,(((B12-B30)*D30)+((B4-(B12-B30))*D29)),(((B12-B30)*D30))+((B30-B29)*D29)+((B4-(B12-B29))*D28))))</t>
  </si>
  <si>
    <t>IF(AND(B12&gt;E43,B12&lt;=C29),IF((B12-E43)&gt;B4,B4*D29*D43,(B12-E43)*D29*D43))</t>
  </si>
  <si>
    <t>IF(AND(B12&gt;B30,B12&lt;=C30),IF((B12-B30)&gt;B4,B4*D30*D43,IF((B12-E43)&gt;B4,((B12-B30)*D30*D43)+((B4-(B12-B30))*D29*D43),((B12-B30)*D30*D43)+((B30-E43))*D29*D43)))</t>
  </si>
  <si>
    <t>IF(AND(B12&gt;E44,B12&lt;=C30),IF((B12-E44)&gt;B4,B4*D30*D44,(B12-E44)*D30*D44))</t>
  </si>
  <si>
    <t>If an individual is a first-time home buyer, consider withdrawing funds from RRSP under the Home Buyers' Plan (HBP) of up to $25,000 given the funds are tax-deferred. The funds shall remain in the RRSP for at least 90 days before withdrawing under the HBP to avoid adverse tax consequences.</t>
  </si>
  <si>
    <t>fixed</t>
  </si>
  <si>
    <t>excess</t>
  </si>
  <si>
    <t>Maximum (Threshold)</t>
  </si>
  <si>
    <t>Federal only</t>
  </si>
  <si>
    <t>IF(AND((B4+B12)&gt;=B18,(B4+B12)&lt;=C18),B4*D18)</t>
  </si>
  <si>
    <t>IF(AND((B4+B12)&gt;B19,(B4+B12)&lt;=C19),IF((B4+B12-B19)&gt;B4,B4*D19,((B4+B12-B19)*D19)+((B4-(B4+B12-B19))*D18)))</t>
  </si>
  <si>
    <t>IF(AND((B4+B12)&gt;B20,(B4+B12)&lt;=C20),IF((B4+B12-B20)&gt;B4,B4*D20,IF((B4+B12-B19)&gt;B4,(((B4+B12-B20)*D20)+((B4-(B4+B12-B20))*D19)),((B4+B12-B20)*D20)+((C19-B19)*D19)+((B4-(B4+B12-B19))*D18))))</t>
  </si>
  <si>
    <t>IF(AND((B4+B12)&gt;B21,(B4+B12)&lt;=C21),IF((B4+B12-B21)&gt;B4,B4*D21,IF((B4+B12-B20)&gt;B4,((B4+B12-B21)*D21)+(((B4-(B4+B12-B21))*D20)),IF((B4+B12-B19)&gt;B4,(((B4+B12-B21)*D21)+((C20-B20)*D20)+((B4-(B4+B12-B20))*D19)),((B4+B12-B21)*D21)+((C20-B20)*D20)+((C19-B19)*D19)+((B4-(B4+B12-B19))*D18)))))</t>
  </si>
  <si>
    <t>IF((B4+B12)&gt;B22,IF((B4+B12-B22)&gt;B4,B4*D22,IF((B4+B12-B21)&gt;B4,(((B4+B12-B22)*D22)+((B4-(B4+B12-B22))*D21)),IF((B4+B12-B20)&gt;B4,(((B4+B12-B22)*D22)+((C21-B21)*D21)+((B4-(B4+B12-B21))*D20)),IF((B4+B12-B19)&gt;B4,(((B4+B12-B22)*D22)+((C21-B21)*D21)+((C20-B20)*D20)+((B4-(B4+B12-B20))*D19)),((B4+B12-B22)*D22)+((C21-B21)*D21)+((C20-B20)*D20)+((C19-B19)*D19)+((B4-(B4+B12-B19))*D18))))))</t>
  </si>
  <si>
    <t>IF(AND((B4+B12)&gt;=B27,(B4+B12)&lt;=C27),B4*D27)</t>
  </si>
  <si>
    <t>IF(AND((B4+B12)&gt;B28,(B4+B12)&lt;=C28),IF((B4+B12-B28)&gt;B4,B4*D28,((B4+B12-B28)*D28)+((B4-(B4+B12-B28))*D27)))</t>
  </si>
  <si>
    <t>IF(AND((B4+B12)&gt;B29,(B4+B12)&lt;=C29),IF((B4+B12-B29)&gt;B4,B4*D29,IF((B4+B12-B28)&gt;B4,(((B4+B12-B29)*D29)+((B4-(B4+B12-B29))*D28)),((B4+B12-B29)*D29)+((C28-B28)*D28)+((B4-(B4+B12-B28))*D27))))</t>
  </si>
  <si>
    <t>IF(AND((B4+B12)&gt;B30,(B4+B12)&lt;=C30),IF((B4+B12-B30)&gt;B4,B4*D30,IF((B4+B12-B29)&gt;B4,(((B4+B12-B30)*D30)+((B4-(B4+B12-B30))*D29)),IF((B4+B12-B28)&gt;B4,(((B4+B12-B30)*D30)+((C29-B29)*D29)+((B4-(B4+B12-B29))*D28)),((B4+B12-B30)*D30)+((C29-B29)*D29)+((C28-B28)*D28)+((B4-(B4+B12-B28))*D27)))))</t>
  </si>
  <si>
    <t>IF((B4+B12)&gt;B31,IF((B4+B12-B31)&gt;B4,B4*D31,IF((B4+B12-B30)&gt;B4,(((B4+B12-B31)*D31)+((B4-(B4+B12-B31))*D30)),IF((B4+B12-B29)&gt;B4,(((B4+B12-B31)*D31)+((C30-B30)*D30)+((B4-(B4+B12-B30))*D29)),IF((B4+B12-B28)&gt;B4,(((B4+B12-B31)*D31)+((C30-B30)*D30)+((C29-B29)*D29)+((B4-(B4+B12-B29))*D28)),((B4+B12-B31)*D31)+((C30-B30)*D30)+((C29-B29)*D29)+((C28-B28)*D28)+((B4-(B4+B12-B28))*D27))))))</t>
  </si>
  <si>
    <t>IF(AND((B4+B12)&gt;=E39,(B4+B12)&lt;=C28),IF((B4+B12-E39)&gt;B4,B4*D28*D39,(B4+B12-E39)*D28*D39))</t>
  </si>
  <si>
    <t>IF(AND(B4+B12&gt;B29,(B4+B12)&lt;=C29),IF((B4+B12-B29)&gt;B4,B4*D29*D39,IF((B4+B12-E39)&gt;B4,(((B4+B12-B29)*D29*D39)+((B4-(B4+B12-B29))*D28*D39)),((B4+B12-B29)*D29*D39)+((B29-E39)*D28*D39))))</t>
  </si>
  <si>
    <t>IF(AND(B4+B12&gt;B30,(B4+B12)&lt;=C30),IF((B4+B12-B30)&gt;B4,B4*D30*D39,IF((B4+B12-B29)&gt;B4,(((B4+B12-B30)*D30*D39)+((B4-(B4+B12-B30))*D29*D39)),IF((B4+B12-E39)&gt;B4,(((B4+B12-B30)*D30*D39)+(((C29-B29)*D29*D39))+((B4-(B4+B12-B29))*D28*D39)),(((B4+B12-B30)*D30*D39)+(((C29-B29)*D29*D39))+((C28-E39)*D28*D39))))))</t>
  </si>
  <si>
    <t>IF((B4+B12)&gt;B31,IF((B4+B12-B31)&gt;B4,B4*D31*D39,IF((B4+B12-B30)&gt;B4,(((B4+B12-B31)*D31*D39)+((B4-(B4+B12-B31))*D30*D39)),IF((B4+B12-B29)&gt;B4,(((B4+B12-B31)*D31*D39)+(((C30-B30)*D30*D39))+((B4-(B4+B12-B30))*D29*D39)),IF((B4+B12-E39)&gt;B4,(((B4+B12-B31)*D31*D39)+(((C30-B30)*D30*D39))+(((C29-B29)*D29*D39))+((B4-(B4+B12-B29))*D28*D39)),(((B4+B12-B31)*D31*D39)+(((C30-B30)*D30*D39))+(((C29-B29)*D29*D39))+((C28-E39)*D28*D39)))))))</t>
  </si>
  <si>
    <t>IF(AND(B4+B12&gt;=E40,(B4+B12)&lt;=C29),IF((B4+B12-E40)&gt;B4,B4*D29*D40,(B4+B12-E40)*D29*D40))</t>
  </si>
  <si>
    <t>IF(AND((B4+B12)&gt;B30,(B4+B12)&lt;=C30),IF((B4+B12-B30)&gt;B4,B4*D30*D40,IF((B4+B12-E40)&gt;B4,(((B4+B12-B30)*D30*D40)+((B4-(B4+B12-B30))*D29*D40)),((B4+B12-B30)*D30*D40)+((C29-E40)*D29*D40))))</t>
  </si>
  <si>
    <t>IF((B4+B12)&gt;B31,IF((B4+B12-B31)&gt;B4,B4*D31*D40,IF((B4+B12-B30)&gt;B4,(((B4+B12-B31)*D31*D40)+((B4-(B4+B12-B31))*D30*D40)),IF((B4+B12-E40)&gt;B4,(((B4+B12-B31)*D31*D40)+(((C30-B30)*D30*D40))+((B4-(B4+B12-B30))*D29*D40)),((B4+B12-B31)*D31*D40)+((C30-B30)*D30*D40)+((C29-E40)*D29*D40)))))</t>
  </si>
  <si>
    <t>IF(B12&gt;B23,IF((B12-B23)&gt;B4,B4*D23,IF((B12-B22)&gt;B4,((B12-B23)*D23)+((B4-(B12-B23))*D22),IF((B12-B21)&gt;B4,((B12-B23)*D23)+((B23-B22)*D22)+((B4-(B12-B22))*D21),IF((B12-B20)&gt;B4,((B12-B23)*D23)+((B23-B22)*D22)+((B22-B21)*D21)+((B4-(B12-B21))*D20),((B12-B23)*D23)+((B23-B22)*D22)+((B22-B21)*D21)+((B21-B20)*D20)+((B4-(B12-B20))*D19))))))</t>
  </si>
  <si>
    <t>IF(AND(B12&gt;B22,B12&lt;=C22),IF((B12-B22)&gt;B4,B4*D22,IF((B12-B21)&gt;B4,((B12-B22)*D22)+((B4-(B12-B22))*D21),IF((B12-B20)&gt;B4,((B12-B22)*D22)+((B22-B21)*D21)+((B4-(B12-B21))*D20),((B12-B22)*D22)+((B22-B21)*D21)+((B21-B20)*D20)+((B4-(B12-B20))*D19)))))</t>
  </si>
  <si>
    <t>IF(B12&gt;B32,IF((B12-B32)&gt;B4,B4*D32,IF((B12-B31)&gt;B4,((B12-B32)*D32)+((B4-(B12-B32))*D31),IF((B12-B30)&gt;B4,((B12-B32)*D32)+((B32-B31)*D31)+((B4-(B12-B31))*D30),IF((B12-B29)&gt;B4,((B12-B32)*D32)+((B32-B31)*D31)+((B31-B30)*D30)+((B4-(B12-B30))*D29),((B12-B32)*D32)+((B32-B31)*D31)+((B31-B30)*D30)+((B30-B29)*D29)+((B4-(B12-B29))*D28))))))</t>
  </si>
  <si>
    <t>IF(AND(B12&gt;B31,B12&lt;=C31),IF((B12-B31)&gt;B4,B4*D31,IF((B12-B30)&gt;B4,((B12-B31)*D31)+((B4-(B12-B31))*D30),IF((B12-B29)&gt;B4,((B12-B31)*D31)+((B31-B30)*D30)+((B4-(B12-B30))*D29),((B12-B31)*D31)+((B31-B30)*D30)+((B30-B29)*D29)+((B4-(B12-B29))*D28)))))</t>
  </si>
  <si>
    <t>IF((B12&gt;B32),IF((B12-B32)&gt;B4,B4*D32*D43,IF((B12-B31)&gt;B4,((B12-B32)*D32*D43)+((B4-(B12-B32))*D31*D43),IF((B12-B30)&gt;B4,((B12-B32)*D32*D43)+((B32-B31)*D31*D43)+((B4-(B12-B31))*D30*D43),IF((B12-E43)&gt;B4,((B12-B32)*D32*D43)+((B32-B31)*D31*D43)+((B31-B30)*D30*D43)+((B4-(B12-B30))*D29*D43),((B12-B32)*D32*D43)+((B32-B31)*D31*D43)+((B31-B30)*D30*D43)+((B30-E43))*D29*D43)))))</t>
  </si>
  <si>
    <t>IF(AND(B12&gt;B31,B12&lt;=C31),IF((B12-B31)&gt;B4,B4*D31*D43,IF((B12-B30)&gt;B4,((B12-B31)*D31*D43)+((B4-(B12-B31))*D30*D43),IF((B12-E43)&gt;B4,((B12-B31)*D31*D43)+((B31-B30)*D30*D43)+((B4-(B12-B30))*D29*D43),((B12-B31)*D31*D43)+((B31-B30)*D30*D43)+((B30-E43))*D29*D43))))</t>
  </si>
  <si>
    <t>IF(AND(B12&gt;B31,B12&lt;=C31),IF((B12-B31)&gt;B4,B4*D31*D44,IF((B12-E44)&gt;B4,((B12-B31)*D31*D44)+((B4-(B12-B31))*D30*D44),((B12-B31)*D31*D44)+((B31-E44)*D30*D44))))</t>
  </si>
  <si>
    <t>Child Care Expense</t>
  </si>
  <si>
    <t>Number of children</t>
  </si>
  <si>
    <t>Children #1:</t>
  </si>
  <si>
    <t>Age</t>
  </si>
  <si>
    <t>Eligible registration or membership fees per child</t>
  </si>
  <si>
    <t>Age limit</t>
  </si>
  <si>
    <t>Must enter value or error message</t>
  </si>
  <si>
    <t>Children #2:</t>
  </si>
  <si>
    <t>Non-refundable tax credit</t>
  </si>
  <si>
    <t>Total non-refundable tax credit (all children)</t>
  </si>
  <si>
    <t>Children #3:</t>
  </si>
  <si>
    <t>Children #4:</t>
  </si>
  <si>
    <t>Children #5:</t>
  </si>
  <si>
    <t>Children #6:</t>
  </si>
  <si>
    <t>Children #7:</t>
  </si>
  <si>
    <t>Children #8:</t>
  </si>
  <si>
    <t>Children #9:</t>
  </si>
  <si>
    <t>Children #10:</t>
  </si>
  <si>
    <t>Refundable tax credit, claim this first</t>
  </si>
  <si>
    <t>Child care expense</t>
  </si>
  <si>
    <t>Age under 7</t>
  </si>
  <si>
    <t>Age 7 to under 16</t>
  </si>
  <si>
    <t>Total earned income</t>
  </si>
  <si>
    <t>Combined deduction room</t>
  </si>
  <si>
    <t>Total child care expenditure</t>
  </si>
  <si>
    <t>2/3 of earned income</t>
  </si>
  <si>
    <t>Dividend Income</t>
  </si>
  <si>
    <t>Taxable dividend income</t>
  </si>
  <si>
    <t>Gross up</t>
  </si>
  <si>
    <t>Federal dividend tax credit</t>
  </si>
  <si>
    <t>Provincial dividend tax credit</t>
  </si>
  <si>
    <t>IF((B12&gt;B32),IF((B12-B32)&gt;B4,B4*D32*D44,IF((B12-B31)&gt;B4,((B12-B32)*D32*D44)+(B4-(B12-B32)*D31*D44),IF((B12-E44)&gt;B4,((B12-B32)*D32*D44)+((B32-B31)*D31*D44)+((B4-(B12-B31))*D30*D44),((B12-B32)*D32*D44)+((B32-B31)*D31*D44)+((B31-E44)*D30*D44)))))</t>
  </si>
  <si>
    <t>Max Threshold</t>
  </si>
  <si>
    <t>Step #1</t>
  </si>
  <si>
    <t>Max deduction room per child</t>
  </si>
  <si>
    <t>Step #2</t>
  </si>
  <si>
    <t>Self-employment (business) income</t>
  </si>
  <si>
    <t xml:space="preserve">Tax tips: </t>
  </si>
  <si>
    <t>Tax planning point for owner-managed business</t>
  </si>
  <si>
    <t>Non-Canadian corporation</t>
  </si>
  <si>
    <t>Default is eligible dividend.</t>
  </si>
  <si>
    <t>Type of divdend depends on status of corporation</t>
  </si>
  <si>
    <t>Canadian Corporation</t>
  </si>
  <si>
    <t>Capital dividend account</t>
  </si>
  <si>
    <t>Dividend income was received from a:</t>
  </si>
  <si>
    <t>Received from trust</t>
  </si>
  <si>
    <t>FTC on non-Canadian dividend</t>
  </si>
  <si>
    <t>T1135</t>
  </si>
  <si>
    <t>Foreign income</t>
  </si>
  <si>
    <t>FAPI</t>
  </si>
  <si>
    <t>TFSA</t>
  </si>
  <si>
    <t>Investment Income</t>
  </si>
  <si>
    <t>c</t>
  </si>
  <si>
    <t>I'm Single</t>
  </si>
  <si>
    <t>Did you earn more income than your spouse or common-law partner?</t>
  </si>
  <si>
    <t>Step #3</t>
  </si>
  <si>
    <t>Output</t>
  </si>
  <si>
    <t>Eligible expense</t>
  </si>
  <si>
    <t>Did your spouse or common-law partner attend school and was enrolled in a part-time educational program?</t>
  </si>
  <si>
    <t>This question only appear if user answers "Yes" to the above</t>
  </si>
  <si>
    <t>One of these fields must be entered</t>
  </si>
  <si>
    <r>
      <t xml:space="preserve">Number of </t>
    </r>
    <r>
      <rPr>
        <b/>
        <sz val="11"/>
        <color theme="1"/>
        <rFont val="Calibri"/>
        <family val="2"/>
        <scheme val="minor"/>
      </rPr>
      <t>months</t>
    </r>
    <r>
      <rPr>
        <sz val="11"/>
        <color theme="1"/>
        <rFont val="Calibri"/>
        <family val="2"/>
        <scheme val="minor"/>
      </rPr>
      <t xml:space="preserve"> enrolled in a part-time educational program (at least 12 hours per month)</t>
    </r>
  </si>
  <si>
    <r>
      <t xml:space="preserve">Number of </t>
    </r>
    <r>
      <rPr>
        <b/>
        <sz val="11"/>
        <color theme="1"/>
        <rFont val="Calibri"/>
        <family val="2"/>
        <scheme val="minor"/>
      </rPr>
      <t>weeks</t>
    </r>
    <r>
      <rPr>
        <sz val="11"/>
        <color theme="1"/>
        <rFont val="Calibri"/>
        <family val="2"/>
        <scheme val="minor"/>
      </rPr>
      <t xml:space="preserve"> enrolled in a full-time educational program (at least 10 hours per week)</t>
    </r>
  </si>
  <si>
    <t>A</t>
  </si>
  <si>
    <t>B</t>
  </si>
  <si>
    <t>This quesiton only appear if user answers "Yes" to the the above. A or B field must be entered</t>
  </si>
  <si>
    <t>Number of part-time months</t>
  </si>
  <si>
    <t>Number of full-time weeks</t>
  </si>
  <si>
    <t>Child care expense (1)</t>
  </si>
  <si>
    <t>Child care expense (2)</t>
  </si>
  <si>
    <t>Child care expense (total)</t>
  </si>
  <si>
    <t>Minimum per above</t>
  </si>
  <si>
    <t>Investment in TFSA</t>
  </si>
  <si>
    <t>or</t>
  </si>
  <si>
    <t>User needs to enter field A or B. Error message if user enters both field</t>
  </si>
  <si>
    <t>Expected annual rate of return (%)</t>
  </si>
  <si>
    <t>Expected annual income ($)</t>
  </si>
  <si>
    <t>Tax Savings</t>
  </si>
  <si>
    <t>Additional Tax Savings</t>
  </si>
  <si>
    <t>Tax Tips:</t>
  </si>
  <si>
    <t>2009 to 2012</t>
  </si>
  <si>
    <t>2013-2014</t>
  </si>
  <si>
    <t xml:space="preserve">Investment income earned or changes in the value of the TFSA investments will not affect your TFSA contribution room for current or future years. </t>
  </si>
  <si>
    <t>**If you withdraw in a current year and make a contribution.</t>
  </si>
  <si>
    <t>Because income and gains are not taxable, any expense and losses related to TFSA are not tax deductible.</t>
  </si>
  <si>
    <t>Year</t>
  </si>
  <si>
    <t>Contribution limit per year</t>
  </si>
  <si>
    <t>Cumulative contribution</t>
  </si>
  <si>
    <t>TFSA contribution room</t>
  </si>
  <si>
    <t>Withdrawal</t>
  </si>
  <si>
    <t>2016 unused contribution room</t>
  </si>
  <si>
    <t>Annual contribution limit</t>
  </si>
  <si>
    <t xml:space="preserve">If you contribute more than $3,500 in 2016, the excess will be subject to 1% penalty per month. The amount you withdraw in the current year will not affect your contribution room in the current year. However, it will affect your contribution room in the following year. </t>
  </si>
  <si>
    <t>2016 total withdrawal</t>
  </si>
  <si>
    <t>Contribution room at beginning of 2017</t>
  </si>
  <si>
    <t>Note that the tax savings is for current year only. Total savings will be based on the net present value of the savings for all future years.</t>
  </si>
  <si>
    <t>Earnings generated in TFSA or its increase value are not taxable. You should maximize your TFSA contribution limit each year before putting money in a non-registered investment account.</t>
  </si>
  <si>
    <t>Contribution Limit</t>
  </si>
  <si>
    <t>2015</t>
  </si>
  <si>
    <t>2016</t>
  </si>
  <si>
    <t>You can check your contribution room by contacting the CRA. The contribution room available provided by the CRA will not include any contribution that you have made in the current year.</t>
  </si>
  <si>
    <t xml:space="preserve">Note that excess contribution is subject to 1% penalty per month of the highest excess TFSA in that month. You can give your spouse or common-law partner money to contribute to their TFSA if you are maxed out and your spouse or common-law partner has unused TFSA contribution room. </t>
  </si>
  <si>
    <t>RESP</t>
  </si>
  <si>
    <t>Current year RESP contribution</t>
  </si>
  <si>
    <t>Total eligible contribution</t>
  </si>
  <si>
    <t>Basic government grant</t>
  </si>
  <si>
    <t>Children's Arts Credit</t>
  </si>
  <si>
    <t>Total RESP contribution for this child in the past</t>
  </si>
  <si>
    <t>Current year contribution eligible for grant</t>
  </si>
  <si>
    <t>Total annual limit in the past</t>
  </si>
  <si>
    <t xml:space="preserve">Cumulative excess for carry forward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</si>
</sst>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_-* #,##0_-;\-* #,##0_-;_-* &quot;-&quot;??_-;_-@_-"/>
    <numFmt numFmtId="165" formatCode="#,##0_ ;\-#,##0\ "/>
    <numFmt numFmtId="166" formatCode="[$-1009]mmmm\ d\,\ yyyy;@"/>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u/>
      <sz val="11"/>
      <color theme="1"/>
      <name val="Calibri"/>
      <family val="2"/>
      <scheme val="minor"/>
    </font>
    <font>
      <sz val="12"/>
      <color rgb="FF000000"/>
      <name val="Arial"/>
      <family val="2"/>
    </font>
    <font>
      <u/>
      <sz val="11"/>
      <color theme="1"/>
      <name val="Calibri"/>
      <family val="2"/>
      <scheme val="minor"/>
    </font>
    <font>
      <i/>
      <sz val="11"/>
      <color theme="1"/>
      <name val="Calibri"/>
      <family val="2"/>
      <scheme val="minor"/>
    </font>
    <font>
      <sz val="11"/>
      <color rgb="FFFF0000"/>
      <name val="Calibri"/>
      <family val="2"/>
      <scheme val="minor"/>
    </font>
    <font>
      <u/>
      <sz val="11"/>
      <color rgb="FFFF0000"/>
      <name val="Calibri"/>
      <family val="2"/>
      <scheme val="minor"/>
    </font>
    <font>
      <sz val="11"/>
      <color rgb="FF0070C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s>
  <borders count="2">
    <border>
      <left/>
      <right/>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59">
    <xf numFmtId="0" fontId="0" fillId="0" borderId="0" xfId="0"/>
    <xf numFmtId="0" fontId="0" fillId="2" borderId="0" xfId="0" applyFill="1"/>
    <xf numFmtId="0" fontId="3" fillId="0" borderId="0" xfId="0" applyFont="1"/>
    <xf numFmtId="0" fontId="4" fillId="0" borderId="0" xfId="0" applyFont="1"/>
    <xf numFmtId="3" fontId="0" fillId="0" borderId="0" xfId="0" applyNumberFormat="1"/>
    <xf numFmtId="3" fontId="5" fillId="0" borderId="0" xfId="0" applyNumberFormat="1" applyFont="1"/>
    <xf numFmtId="10" fontId="5" fillId="0" borderId="0" xfId="2" applyNumberFormat="1" applyFont="1"/>
    <xf numFmtId="10" fontId="5" fillId="0" borderId="0" xfId="0" applyNumberFormat="1" applyFont="1"/>
    <xf numFmtId="9" fontId="0" fillId="0" borderId="0" xfId="0" applyNumberFormat="1"/>
    <xf numFmtId="10" fontId="0" fillId="0" borderId="0" xfId="2" applyNumberFormat="1" applyFont="1"/>
    <xf numFmtId="0" fontId="2" fillId="0" borderId="0" xfId="0" applyFont="1"/>
    <xf numFmtId="0" fontId="0" fillId="3" borderId="0" xfId="0" applyFill="1"/>
    <xf numFmtId="164" fontId="0" fillId="0" borderId="0" xfId="1" applyNumberFormat="1" applyFont="1" applyFill="1"/>
    <xf numFmtId="164" fontId="0" fillId="0" borderId="0" xfId="1" applyNumberFormat="1" applyFont="1"/>
    <xf numFmtId="164" fontId="0" fillId="3" borderId="0" xfId="0" applyNumberFormat="1" applyFill="1"/>
    <xf numFmtId="43" fontId="0" fillId="0" borderId="0" xfId="0" applyNumberFormat="1"/>
    <xf numFmtId="10" fontId="0" fillId="0" borderId="0" xfId="0" applyNumberFormat="1"/>
    <xf numFmtId="164" fontId="0" fillId="0" borderId="0" xfId="1" quotePrefix="1" applyNumberFormat="1" applyFont="1" applyFill="1"/>
    <xf numFmtId="164" fontId="0" fillId="0" borderId="0" xfId="0" applyNumberFormat="1"/>
    <xf numFmtId="0" fontId="6" fillId="0" borderId="0" xfId="0" applyFont="1"/>
    <xf numFmtId="164" fontId="0" fillId="3" borderId="0" xfId="1" applyNumberFormat="1" applyFont="1" applyFill="1"/>
    <xf numFmtId="0" fontId="0" fillId="0" borderId="1" xfId="0" applyBorder="1"/>
    <xf numFmtId="164" fontId="0" fillId="2" borderId="0" xfId="1" applyNumberFormat="1" applyFont="1" applyFill="1"/>
    <xf numFmtId="10" fontId="0" fillId="0" borderId="0" xfId="0" applyNumberFormat="1" applyFill="1"/>
    <xf numFmtId="0" fontId="0" fillId="0" borderId="0" xfId="0" applyAlignment="1">
      <alignment wrapText="1"/>
    </xf>
    <xf numFmtId="0" fontId="0" fillId="0" borderId="0" xfId="0" applyFill="1"/>
    <xf numFmtId="0" fontId="7" fillId="0" borderId="0" xfId="0" applyFont="1"/>
    <xf numFmtId="43" fontId="0" fillId="0" borderId="0" xfId="1" applyFont="1"/>
    <xf numFmtId="3" fontId="5" fillId="0" borderId="0" xfId="0" applyNumberFormat="1" applyFont="1" applyBorder="1"/>
    <xf numFmtId="164" fontId="5" fillId="0" borderId="0" xfId="1" applyNumberFormat="1" applyFont="1"/>
    <xf numFmtId="9" fontId="2" fillId="0" borderId="0" xfId="0" applyNumberFormat="1" applyFont="1"/>
    <xf numFmtId="3" fontId="2" fillId="0" borderId="0" xfId="0" applyNumberFormat="1" applyFont="1"/>
    <xf numFmtId="0" fontId="4" fillId="0" borderId="0" xfId="0" applyFont="1" applyFill="1"/>
    <xf numFmtId="3" fontId="5" fillId="0" borderId="0" xfId="0" applyNumberFormat="1" applyFont="1" applyFill="1"/>
    <xf numFmtId="0" fontId="0" fillId="0" borderId="0" xfId="0" applyFont="1"/>
    <xf numFmtId="0" fontId="0" fillId="0" borderId="0" xfId="0" applyAlignment="1">
      <alignment horizontal="left"/>
    </xf>
    <xf numFmtId="0" fontId="8" fillId="0" borderId="0" xfId="0" applyFont="1"/>
    <xf numFmtId="0" fontId="8" fillId="0" borderId="0" xfId="0" applyFont="1" applyAlignment="1">
      <alignment wrapText="1"/>
    </xf>
    <xf numFmtId="9" fontId="0" fillId="0" borderId="0" xfId="0" applyNumberFormat="1" applyFill="1"/>
    <xf numFmtId="0" fontId="2" fillId="0" borderId="0" xfId="0" applyFont="1" applyFill="1"/>
    <xf numFmtId="9" fontId="0" fillId="0" borderId="0" xfId="0" applyNumberFormat="1" applyFont="1"/>
    <xf numFmtId="165" fontId="0" fillId="0" borderId="0" xfId="1" quotePrefix="1" applyNumberFormat="1" applyFont="1" applyFill="1"/>
    <xf numFmtId="0" fontId="0" fillId="2" borderId="0" xfId="0" applyFill="1" applyAlignment="1">
      <alignment wrapText="1"/>
    </xf>
    <xf numFmtId="0" fontId="9" fillId="0" borderId="0" xfId="0" applyFont="1"/>
    <xf numFmtId="0" fontId="10" fillId="0" borderId="0" xfId="0" applyFont="1"/>
    <xf numFmtId="10" fontId="0" fillId="0" borderId="0" xfId="0" applyNumberFormat="1" applyFont="1"/>
    <xf numFmtId="164" fontId="2" fillId="0" borderId="0" xfId="0" applyNumberFormat="1" applyFont="1" applyFill="1"/>
    <xf numFmtId="0" fontId="8" fillId="0" borderId="0" xfId="0" applyFont="1" applyAlignment="1"/>
    <xf numFmtId="164" fontId="0" fillId="0" borderId="1" xfId="0" applyNumberFormat="1" applyBorder="1"/>
    <xf numFmtId="9" fontId="0" fillId="2" borderId="0" xfId="2" applyFont="1" applyFill="1"/>
    <xf numFmtId="3" fontId="0" fillId="0" borderId="0" xfId="0" applyNumberFormat="1" applyFont="1"/>
    <xf numFmtId="3" fontId="6" fillId="0" borderId="0" xfId="0" applyNumberFormat="1" applyFont="1"/>
    <xf numFmtId="166" fontId="0" fillId="0" borderId="0" xfId="0" applyNumberFormat="1"/>
    <xf numFmtId="164" fontId="0" fillId="0" borderId="0" xfId="0" applyNumberFormat="1" applyAlignment="1"/>
    <xf numFmtId="0" fontId="0" fillId="0" borderId="0" xfId="0" quotePrefix="1"/>
    <xf numFmtId="164" fontId="0" fillId="0" borderId="0" xfId="1" applyNumberFormat="1" applyFont="1" applyBorder="1"/>
    <xf numFmtId="0" fontId="0" fillId="0" borderId="0" xfId="0" applyAlignment="1"/>
    <xf numFmtId="0" fontId="0" fillId="0" borderId="0" xfId="0" applyFont="1" applyAlignment="1">
      <alignment horizontal="left" wrapText="1"/>
    </xf>
    <xf numFmtId="0" fontId="8" fillId="0" borderId="0" xfId="0" applyFont="1" applyAlignment="1">
      <alignment horizontal="left" vertical="center"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J66"/>
  <sheetViews>
    <sheetView tabSelected="1" zoomScaleNormal="100" workbookViewId="0">
      <selection activeCell="I14" sqref="I14"/>
    </sheetView>
  </sheetViews>
  <sheetFormatPr defaultRowHeight="15" x14ac:dyDescent="0.25"/>
  <cols>
    <col min="1" max="1" width="16.85546875" bestFit="1" customWidth="1"/>
    <col min="2" max="2" width="11.7109375" customWidth="1"/>
    <col min="3" max="3" width="9.5703125" bestFit="1" customWidth="1"/>
    <col min="4" max="4" width="9" bestFit="1" customWidth="1"/>
    <col min="5" max="5" width="10.5703125" bestFit="1" customWidth="1"/>
    <col min="7" max="7" width="10.85546875" customWidth="1"/>
    <col min="8" max="8" width="10.5703125" bestFit="1" customWidth="1"/>
  </cols>
  <sheetData>
    <row r="1" spans="1:10" x14ac:dyDescent="0.25">
      <c r="B1" s="1"/>
      <c r="C1" t="s">
        <v>0</v>
      </c>
    </row>
    <row r="2" spans="1:10" x14ac:dyDescent="0.25">
      <c r="A2" s="2" t="s">
        <v>2</v>
      </c>
    </row>
    <row r="3" spans="1:10" x14ac:dyDescent="0.25">
      <c r="A3" s="3" t="s">
        <v>3</v>
      </c>
    </row>
    <row r="4" spans="1:10" x14ac:dyDescent="0.25">
      <c r="A4" t="s">
        <v>4</v>
      </c>
      <c r="B4" s="1">
        <v>10000</v>
      </c>
    </row>
    <row r="7" spans="1:10" x14ac:dyDescent="0.25">
      <c r="A7" s="2" t="s">
        <v>5</v>
      </c>
    </row>
    <row r="8" spans="1:10" x14ac:dyDescent="0.25">
      <c r="A8" t="s">
        <v>6</v>
      </c>
      <c r="B8" s="1" t="s">
        <v>1</v>
      </c>
    </row>
    <row r="12" spans="1:10" x14ac:dyDescent="0.25">
      <c r="A12" t="s">
        <v>7</v>
      </c>
      <c r="B12" s="1">
        <v>200000</v>
      </c>
    </row>
    <row r="16" spans="1:10" x14ac:dyDescent="0.25">
      <c r="A16" s="2" t="s">
        <v>8</v>
      </c>
      <c r="J16" s="4"/>
    </row>
    <row r="17" spans="1:10" x14ac:dyDescent="0.25">
      <c r="A17" s="3" t="s">
        <v>9</v>
      </c>
    </row>
    <row r="19" spans="1:10" ht="15.75" x14ac:dyDescent="0.25">
      <c r="A19" t="s">
        <v>10</v>
      </c>
      <c r="B19" s="4">
        <v>0</v>
      </c>
      <c r="C19" s="5">
        <v>45282</v>
      </c>
      <c r="D19" s="6">
        <v>0.15</v>
      </c>
      <c r="F19" s="4"/>
      <c r="G19" s="13"/>
    </row>
    <row r="20" spans="1:10" ht="15.75" x14ac:dyDescent="0.25">
      <c r="A20" t="s">
        <v>11</v>
      </c>
      <c r="B20" s="5">
        <v>45282</v>
      </c>
      <c r="C20" s="5">
        <v>90563</v>
      </c>
      <c r="D20" s="7">
        <v>0.20499999999999999</v>
      </c>
      <c r="F20" s="4"/>
      <c r="G20" s="13"/>
    </row>
    <row r="21" spans="1:10" ht="15.75" x14ac:dyDescent="0.25">
      <c r="A21" t="s">
        <v>11</v>
      </c>
      <c r="B21" s="5">
        <v>90563</v>
      </c>
      <c r="C21" s="5">
        <v>140388</v>
      </c>
      <c r="D21" s="7">
        <v>0.26</v>
      </c>
      <c r="F21" s="4"/>
      <c r="G21" s="13"/>
    </row>
    <row r="22" spans="1:10" ht="15.75" x14ac:dyDescent="0.25">
      <c r="A22" t="s">
        <v>11</v>
      </c>
      <c r="B22" s="5">
        <v>140388</v>
      </c>
      <c r="C22" s="5">
        <v>200000</v>
      </c>
      <c r="D22" s="7">
        <v>0.28999999999999998</v>
      </c>
      <c r="F22" s="4"/>
      <c r="G22" s="13"/>
    </row>
    <row r="23" spans="1:10" ht="15.75" x14ac:dyDescent="0.25">
      <c r="B23" s="5">
        <v>200000</v>
      </c>
      <c r="D23" s="7">
        <v>0.33</v>
      </c>
      <c r="F23" s="4"/>
      <c r="G23" s="13"/>
    </row>
    <row r="24" spans="1:10" x14ac:dyDescent="0.25">
      <c r="F24" s="4"/>
      <c r="G24" s="18"/>
    </row>
    <row r="25" spans="1:10" x14ac:dyDescent="0.25">
      <c r="I25" s="9"/>
    </row>
    <row r="26" spans="1:10" x14ac:dyDescent="0.25">
      <c r="A26" s="3" t="s">
        <v>12</v>
      </c>
    </row>
    <row r="27" spans="1:10" x14ac:dyDescent="0.25">
      <c r="A27" s="10" t="s">
        <v>13</v>
      </c>
    </row>
    <row r="28" spans="1:10" ht="15.75" x14ac:dyDescent="0.25">
      <c r="A28" t="s">
        <v>10</v>
      </c>
      <c r="B28">
        <v>0</v>
      </c>
      <c r="C28" s="5">
        <v>41536</v>
      </c>
      <c r="D28" s="7">
        <v>5.0500000000000003E-2</v>
      </c>
      <c r="F28" s="4"/>
    </row>
    <row r="29" spans="1:10" ht="15.75" x14ac:dyDescent="0.25">
      <c r="A29" t="s">
        <v>11</v>
      </c>
      <c r="B29" s="5">
        <v>41536</v>
      </c>
      <c r="C29" s="5">
        <v>83075</v>
      </c>
      <c r="D29" s="7">
        <v>9.1499999999999998E-2</v>
      </c>
      <c r="E29" s="13"/>
      <c r="F29" s="4"/>
      <c r="J29" s="18"/>
    </row>
    <row r="30" spans="1:10" ht="15.75" x14ac:dyDescent="0.25">
      <c r="A30" t="s">
        <v>11</v>
      </c>
      <c r="B30" s="5">
        <v>83075</v>
      </c>
      <c r="C30" s="5">
        <v>150000</v>
      </c>
      <c r="D30" s="7">
        <v>0.1116</v>
      </c>
      <c r="E30" s="13"/>
      <c r="F30" s="4"/>
      <c r="J30" s="4"/>
    </row>
    <row r="31" spans="1:10" ht="15.75" x14ac:dyDescent="0.25">
      <c r="A31" t="s">
        <v>11</v>
      </c>
      <c r="B31" s="5">
        <v>150000</v>
      </c>
      <c r="C31" s="5">
        <v>220000</v>
      </c>
      <c r="D31" s="7">
        <v>0.1216</v>
      </c>
      <c r="F31" s="4"/>
      <c r="J31" s="4"/>
    </row>
    <row r="32" spans="1:10" ht="15.75" x14ac:dyDescent="0.25">
      <c r="B32" s="5">
        <v>220000</v>
      </c>
      <c r="D32" s="7">
        <v>0.13159999999999999</v>
      </c>
      <c r="F32" s="4"/>
      <c r="J32" s="4"/>
    </row>
    <row r="34" spans="1:7" x14ac:dyDescent="0.25">
      <c r="A34" s="2" t="s">
        <v>14</v>
      </c>
    </row>
    <row r="35" spans="1:7" x14ac:dyDescent="0.25">
      <c r="A35" t="s">
        <v>15</v>
      </c>
    </row>
    <row r="38" spans="1:7" x14ac:dyDescent="0.25">
      <c r="A38" s="2" t="s">
        <v>16</v>
      </c>
    </row>
    <row r="39" spans="1:7" x14ac:dyDescent="0.25">
      <c r="B39" s="11"/>
      <c r="C39" t="s">
        <v>17</v>
      </c>
      <c r="G39" s="3" t="s">
        <v>96</v>
      </c>
    </row>
    <row r="40" spans="1:7" x14ac:dyDescent="0.25">
      <c r="G40" t="s">
        <v>31</v>
      </c>
    </row>
    <row r="41" spans="1:7" x14ac:dyDescent="0.25">
      <c r="A41" t="s">
        <v>18</v>
      </c>
      <c r="B41" s="13">
        <f>IF(AND(B12&gt;=B19,B12&lt;=C19),B4*D19,IF(AND(B12&gt;B20,B12&lt;=C20),IF((B12-B20)&gt;B4,B4*D20,((B12-B20)*D20)+((B4-(B12-B20))*D19)),IF(AND(B12&gt;B21,B12&lt;=C21),IF((B12-B21)&gt;B4,B4*D21,IF((B12-B20)&gt;B4,(((B12-B21)*D21)+((B4-(B12-B21))*D20)),(((B12-B21)*D21))+((B21-B20)*D20)+((B4-(B12-B20))*D19))),IF(AND(B12&gt;B22,B12&lt;=C22),IF((B12-B22)&gt;B4,B4*D22,IF((B12-B21)&gt;B4,((B12-B22)*D22)+((B4-(B12-B22))*D21),IF((B12-B20)&gt;B4,((B12-B22)*D22)+((B22-B21)*D21)+((B4-(B12-B21))*D20),((B12-B22)*D22)+((B22-B21)*D21)+((B21-B20)*D20)+((B4-(B12-B20))*D19)))),IF(B12&gt;B23,IF((B12-B23)&gt;B4,B4*D23,IF((B12-B22)&gt;B4,((B12-B23)*D23)+((B4-(B12-B23))*D22),IF((B12-B21)&gt;B4,((B12-B23)*D23)+((B23-B22)*D22)+((B4-(B12-B22))*D21),IF((B12-B20)&gt;B4,((B12-B23)*D23)+((B23-B22)*D22)+((B22-B21)*D21)+((B4-(B12-B21))*D20),((B12-B23)*D23)+((B23-B22)*D22)+((B22-B21)*D21)+((B21-B20)*D20)+((B4-(B12-B20))*D19))))))))))</f>
        <v>2900</v>
      </c>
      <c r="C41" t="s">
        <v>19</v>
      </c>
      <c r="G41" t="s">
        <v>32</v>
      </c>
    </row>
    <row r="42" spans="1:7" x14ac:dyDescent="0.25">
      <c r="B42" s="12">
        <f>IF(AND(B12&gt;=B28,B12&lt;=C28),B4*D28,IF(AND(B12&gt;B29,B12&lt;=C29),IF((B12-B29)&gt;B4,B4*D29,((B12-B29)*D29)+((B4-(B12-B29))*D28)),IF(AND(B12&gt;B30,B12&lt;=C30),IF((B12-B30)&gt;B4,B4*D30,IF((B12-B29)&gt;B4,(((B12-B30)*D30)+((B4-(B12-B30))*D29)),(((B12-B30)*D30))+((B30-B29)*D29)+((B4-(B12-B29))*D28))),IF(AND(B12&gt;B31,B12&lt;=C31),IF((B12-B31)&gt;B4,B4*D31,IF((B12-B30)&gt;B4,((B12-B31)*D31)+((B4-(B12-B31))*D30),IF((B12-B29)&gt;B4,((B12-B31)*D31)+((B31-B30)*D30)+((B4-(B12-B30))*D29),((B12-B31)*D31)+((B31-B30)*D30)+((B30-B29)*D29)+((B4-(B12-B29))*D28)))),IF(B12&gt;B32,IF((B12-B32)&gt;B4,B4*D32,IF((B12-B31)&gt;B4,((B12-B32)*D32)+((B4-(B12-B32))*D31),IF((B12-B30)&gt;B4,((B12-B32)*D32)+((B32-B31)*D31)+((B4-(B12-B31))*D30),IF((B12-B29)&gt;B4,((B12-B32)*D32)+((B32-B31)*D31)+((B31-B30)*D30)+((B4-(B12-B30))*D29),((B12-B32)*D32)+((B32-B31)*D31)+((B31-B30)*D30)+((B30-B29)*D29)+((B4-(B12-B29))*D28))))))))))</f>
        <v>1216</v>
      </c>
      <c r="C42" t="s">
        <v>20</v>
      </c>
      <c r="D42" t="s">
        <v>21</v>
      </c>
      <c r="E42" t="s">
        <v>22</v>
      </c>
      <c r="G42" t="s">
        <v>95</v>
      </c>
    </row>
    <row r="43" spans="1:7" x14ac:dyDescent="0.25">
      <c r="B43" s="12">
        <f>IF(AND(B12&gt;E43,B12&lt;=C29),IF((B12-E43)&gt;B4,B4*D29*D43,(B12-E43)*D29*D43),IF(AND(B12&gt;B30,B12&lt;=C30),IF((B12-B30)&gt;B4,B4*D30*D43,IF((B12-E43)&gt;B4,((B12-B30)*D30*D43)+((B4-(B12-B30))*D29*D43),((B12-B30)*D30*D43)+((B30-E43))*D29*D43)),IF(AND(B12&gt;B31,B12&lt;=C31),IF((B12-B31)&gt;B4,B4*D31*D43,IF((B12-B30)&gt;B4,((B12-B31)*D31*D43)+((B4-(B12-B31))*D30*D43),IF((B12-E43)&gt;B4,((B12-B31)*D31*D43)+((B31-B30)*D30*D43)+((B4-(B12-B30))*D29*D43),((B12-B31)*D31*D43)+((B31-B30)*D30*D43)+((B30-E43))*D29*D43))),IF((B12&gt;B32),IF((B12-B32)&gt;B4,B4*D32*D43,IF((B12-B31)&gt;B4,((B12-B32)*D32*D43)+((B4-(B12-B32))*D31*D43),IF((B12-B30)&gt;B4,((B12-B32)*D32*D43)+((B32-B31)*D31*D43)+((B4-(B12-B31))*D30*D43),IF((B12-E43)&gt;B4,((B12-B32)*D32*D43)+((B32-B31)*D31*D43)+((B31-B30)*D30*D43)+((B4-(B12-B30))*D29*D43),((B12-B32)*D32*D43)+((B32-B31)*D31*D43)+((B31-B30)*D30*D43)+((B30-E43))*D29*D43))))))))</f>
        <v>243.20000000000002</v>
      </c>
      <c r="C43" t="s">
        <v>23</v>
      </c>
      <c r="D43" s="8">
        <v>0.2</v>
      </c>
      <c r="E43" s="13">
        <v>73145</v>
      </c>
      <c r="G43" s="8" t="s">
        <v>127</v>
      </c>
    </row>
    <row r="44" spans="1:7" x14ac:dyDescent="0.25">
      <c r="B44" s="12">
        <f>IF(AND(B12&gt;E44,B12&lt;=C30),IF((B12-E44)&gt;B4,B4*D30*D44,(B12-E44)*D30*D44),IF(AND(B12&gt;B31,B12&lt;=C31),IF((B12-B31)&gt;B4,B4*D31*D44,IF((B12-E44)&gt;B4,((B12-B31)*D31*D44)+((B4-(B12-B31))*D30*D44),((B12-B31)*D31*D44)+((B31-E44)*D30*D44))),IF((B12&gt;B32),IF((B12-B32)&gt;B4,B4*D32*D44,IF((B12-B31)&gt;B4,((B12-B32)*D32*D44)+(B4-(B12-B32)*D31*D44),IF((B12-E44)&gt;B4,((B12-B32)*D32*D44)+((B32-B31)*D31*D44)+((B4-(B12-B31))*D30*D44),((B12-B32)*D32*D44)+((B32-B31)*D31*D44)+((B31-E44)*D30*D44)))))))</f>
        <v>437.76</v>
      </c>
      <c r="C44" t="s">
        <v>23</v>
      </c>
      <c r="D44" s="8">
        <v>0.36</v>
      </c>
      <c r="E44" s="13">
        <v>86176</v>
      </c>
      <c r="G44" s="8" t="s">
        <v>126</v>
      </c>
    </row>
    <row r="45" spans="1:7" x14ac:dyDescent="0.25">
      <c r="A45" t="s">
        <v>24</v>
      </c>
      <c r="B45" s="14">
        <f>SUM(B41:B44)</f>
        <v>4796.96</v>
      </c>
      <c r="G45" s="8"/>
    </row>
    <row r="46" spans="1:7" x14ac:dyDescent="0.25">
      <c r="G46" s="3" t="s">
        <v>97</v>
      </c>
    </row>
    <row r="47" spans="1:7" x14ac:dyDescent="0.25">
      <c r="G47" t="s">
        <v>98</v>
      </c>
    </row>
    <row r="48" spans="1:7" x14ac:dyDescent="0.25">
      <c r="G48" t="s">
        <v>99</v>
      </c>
    </row>
    <row r="49" spans="2:7" x14ac:dyDescent="0.25">
      <c r="G49" t="s">
        <v>100</v>
      </c>
    </row>
    <row r="50" spans="2:7" x14ac:dyDescent="0.25">
      <c r="G50" t="s">
        <v>129</v>
      </c>
    </row>
    <row r="51" spans="2:7" x14ac:dyDescent="0.25">
      <c r="G51" t="s">
        <v>128</v>
      </c>
    </row>
    <row r="52" spans="2:7" x14ac:dyDescent="0.25">
      <c r="G52" s="8"/>
    </row>
    <row r="53" spans="2:7" x14ac:dyDescent="0.25">
      <c r="B53" s="13"/>
      <c r="G53" s="3" t="s">
        <v>29</v>
      </c>
    </row>
    <row r="54" spans="2:7" x14ac:dyDescent="0.25">
      <c r="B54" s="15"/>
      <c r="G54" t="s">
        <v>101</v>
      </c>
    </row>
    <row r="55" spans="2:7" x14ac:dyDescent="0.25">
      <c r="G55" t="s">
        <v>102</v>
      </c>
    </row>
    <row r="56" spans="2:7" x14ac:dyDescent="0.25">
      <c r="G56" t="s">
        <v>131</v>
      </c>
    </row>
    <row r="57" spans="2:7" x14ac:dyDescent="0.25">
      <c r="G57" t="s">
        <v>130</v>
      </c>
    </row>
    <row r="59" spans="2:7" x14ac:dyDescent="0.25">
      <c r="G59" s="3" t="s">
        <v>30</v>
      </c>
    </row>
    <row r="60" spans="2:7" x14ac:dyDescent="0.25">
      <c r="G60" t="s">
        <v>103</v>
      </c>
    </row>
    <row r="61" spans="2:7" x14ac:dyDescent="0.25">
      <c r="G61" t="s">
        <v>132</v>
      </c>
    </row>
    <row r="62" spans="2:7" x14ac:dyDescent="0.25">
      <c r="G62" t="s">
        <v>164</v>
      </c>
    </row>
    <row r="65" spans="1:1" x14ac:dyDescent="0.25">
      <c r="A65" s="3" t="s">
        <v>39</v>
      </c>
    </row>
    <row r="66" spans="1:1" x14ac:dyDescent="0.25">
      <c r="A66" t="s">
        <v>104</v>
      </c>
    </row>
  </sheetData>
  <dataValidations count="1">
    <dataValidation type="list" allowBlank="1" showInputMessage="1" showErrorMessage="1" sqref="B8">
      <formula1>$G$1:$G$13</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U19"/>
  <sheetViews>
    <sheetView workbookViewId="0">
      <selection activeCell="L14" sqref="L14"/>
    </sheetView>
  </sheetViews>
  <sheetFormatPr defaultRowHeight="15" x14ac:dyDescent="0.25"/>
  <cols>
    <col min="1" max="1" width="33.85546875" customWidth="1"/>
  </cols>
  <sheetData>
    <row r="1" spans="1:21" x14ac:dyDescent="0.25">
      <c r="E1" t="s">
        <v>79</v>
      </c>
      <c r="F1">
        <v>1</v>
      </c>
      <c r="G1">
        <v>2</v>
      </c>
      <c r="H1">
        <v>3</v>
      </c>
      <c r="I1">
        <v>4</v>
      </c>
      <c r="J1">
        <v>5</v>
      </c>
      <c r="K1">
        <v>6</v>
      </c>
      <c r="L1">
        <v>7</v>
      </c>
      <c r="M1">
        <v>8</v>
      </c>
      <c r="N1">
        <v>9</v>
      </c>
      <c r="O1">
        <v>10</v>
      </c>
      <c r="P1">
        <v>11</v>
      </c>
      <c r="Q1">
        <v>12</v>
      </c>
      <c r="R1">
        <v>13</v>
      </c>
      <c r="S1">
        <v>14</v>
      </c>
      <c r="T1">
        <v>15</v>
      </c>
      <c r="U1">
        <v>16</v>
      </c>
    </row>
    <row r="2" spans="1:21" x14ac:dyDescent="0.25">
      <c r="A2" s="3" t="s">
        <v>235</v>
      </c>
      <c r="E2" t="s">
        <v>80</v>
      </c>
    </row>
    <row r="4" spans="1:21" x14ac:dyDescent="0.25">
      <c r="A4" s="34" t="s">
        <v>134</v>
      </c>
      <c r="B4" s="34"/>
      <c r="C4" s="1">
        <v>2</v>
      </c>
      <c r="D4" s="36" t="str">
        <f>IF(C4=0,"You are not eligible for RESP contribution."," ")</f>
        <v xml:space="preserve"> </v>
      </c>
    </row>
    <row r="5" spans="1:21" x14ac:dyDescent="0.25">
      <c r="A5" s="34"/>
      <c r="B5" s="34"/>
    </row>
    <row r="6" spans="1:21" x14ac:dyDescent="0.25">
      <c r="C6" s="34" t="s">
        <v>135</v>
      </c>
      <c r="E6" s="34" t="s">
        <v>140</v>
      </c>
      <c r="G6" s="34" t="s">
        <v>143</v>
      </c>
      <c r="I6" s="34" t="s">
        <v>144</v>
      </c>
      <c r="K6" s="34" t="s">
        <v>145</v>
      </c>
      <c r="M6" s="34" t="s">
        <v>146</v>
      </c>
      <c r="O6" s="34" t="s">
        <v>147</v>
      </c>
      <c r="Q6" s="34" t="s">
        <v>148</v>
      </c>
      <c r="S6" s="34" t="s">
        <v>149</v>
      </c>
      <c r="U6" s="34" t="s">
        <v>150</v>
      </c>
    </row>
    <row r="7" spans="1:21" x14ac:dyDescent="0.25">
      <c r="A7" s="34" t="s">
        <v>136</v>
      </c>
      <c r="B7" s="35">
        <v>17</v>
      </c>
      <c r="C7" s="1">
        <v>4</v>
      </c>
      <c r="E7" s="1">
        <v>13</v>
      </c>
      <c r="G7" s="1">
        <v>0</v>
      </c>
      <c r="I7" s="1">
        <v>0</v>
      </c>
      <c r="K7" s="1">
        <v>0</v>
      </c>
      <c r="M7" s="1">
        <v>0</v>
      </c>
      <c r="O7" s="1">
        <v>0</v>
      </c>
      <c r="Q7" s="1">
        <v>0</v>
      </c>
      <c r="S7" s="1">
        <v>0</v>
      </c>
      <c r="U7" s="1">
        <v>0</v>
      </c>
    </row>
    <row r="8" spans="1:21" x14ac:dyDescent="0.25">
      <c r="A8" t="s">
        <v>236</v>
      </c>
      <c r="C8" s="1">
        <v>6000</v>
      </c>
      <c r="E8" s="1">
        <v>2000</v>
      </c>
      <c r="G8" s="1">
        <v>0</v>
      </c>
      <c r="I8" s="1">
        <v>0</v>
      </c>
      <c r="K8" s="1">
        <v>0</v>
      </c>
      <c r="M8" s="1">
        <v>0</v>
      </c>
      <c r="O8" s="1">
        <v>0</v>
      </c>
      <c r="Q8" s="1">
        <v>0</v>
      </c>
      <c r="S8" s="1">
        <v>0</v>
      </c>
      <c r="U8" s="1">
        <v>0</v>
      </c>
    </row>
    <row r="10" spans="1:21" ht="30" x14ac:dyDescent="0.25">
      <c r="A10" s="24" t="s">
        <v>240</v>
      </c>
      <c r="C10" s="1">
        <v>1500</v>
      </c>
      <c r="E10" s="1">
        <v>0</v>
      </c>
      <c r="G10" s="1">
        <v>0</v>
      </c>
      <c r="I10" s="1">
        <v>0</v>
      </c>
      <c r="K10" s="1">
        <v>0</v>
      </c>
      <c r="M10" s="1">
        <v>0</v>
      </c>
      <c r="O10" s="1">
        <v>0</v>
      </c>
      <c r="Q10" s="1">
        <v>0</v>
      </c>
      <c r="S10" s="1">
        <v>0</v>
      </c>
      <c r="U10" s="1">
        <v>0</v>
      </c>
    </row>
    <row r="12" spans="1:21" x14ac:dyDescent="0.25">
      <c r="A12" t="s">
        <v>242</v>
      </c>
      <c r="B12">
        <v>2500</v>
      </c>
      <c r="C12" s="21">
        <f>($C$7-1)*$B$12</f>
        <v>7500</v>
      </c>
      <c r="E12" s="21">
        <f>($C$7-1)*$B$12</f>
        <v>7500</v>
      </c>
      <c r="G12" s="21">
        <f>($C$7-1)*$B$12</f>
        <v>7500</v>
      </c>
      <c r="I12" s="21">
        <f>($C$7-1)*$B$12</f>
        <v>7500</v>
      </c>
      <c r="K12" s="21">
        <f>($C$7-1)*$B$12</f>
        <v>7500</v>
      </c>
      <c r="M12" s="21">
        <f>($C$7-1)*$B$12</f>
        <v>7500</v>
      </c>
      <c r="O12" s="21">
        <f>($C$7-1)*$B$12</f>
        <v>7500</v>
      </c>
      <c r="Q12" s="21">
        <f>($C$7-1)*$B$12</f>
        <v>7500</v>
      </c>
      <c r="S12" s="21">
        <f>($C$7-1)*$B$12</f>
        <v>7500</v>
      </c>
      <c r="U12" s="21">
        <f>($C$7-1)*$B$12</f>
        <v>7500</v>
      </c>
    </row>
    <row r="13" spans="1:21" x14ac:dyDescent="0.25">
      <c r="A13" t="s">
        <v>243</v>
      </c>
      <c r="C13">
        <f>IF(C12-C10&lt;0,0,C12-C10)</f>
        <v>6000</v>
      </c>
      <c r="E13">
        <f>IF(E12-E10&lt;0,0,E12-E10)</f>
        <v>7500</v>
      </c>
      <c r="G13">
        <f>IF(G12-G10&lt;0,0,G12-G10)</f>
        <v>7500</v>
      </c>
      <c r="I13">
        <f>IF(I12-I10&lt;0,0,I12-I10)</f>
        <v>7500</v>
      </c>
      <c r="K13">
        <f>IF(K12-K10&lt;0,0,K12-K10)</f>
        <v>7500</v>
      </c>
      <c r="M13">
        <f>IF(M12-M10&lt;0,0,M12-M10)</f>
        <v>7500</v>
      </c>
      <c r="O13">
        <f>IF(O12-O10&lt;0,0,O12-O10)</f>
        <v>7500</v>
      </c>
      <c r="Q13">
        <f>IF(Q12-Q10&lt;0,0,Q12-Q10)</f>
        <v>7500</v>
      </c>
      <c r="S13">
        <f>IF(S12-S10&lt;0,0,S12-S10)</f>
        <v>7500</v>
      </c>
      <c r="U13">
        <f>IF(U12-U10&lt;0,0,U12-U10)</f>
        <v>7500</v>
      </c>
    </row>
    <row r="15" spans="1:21" ht="30" x14ac:dyDescent="0.25">
      <c r="A15" s="24" t="s">
        <v>241</v>
      </c>
      <c r="B15">
        <v>2500</v>
      </c>
      <c r="C15">
        <f>IF(C7&lt;=$B$7,MIN(5000,IF(C8&gt;($B$15+C13),($B$15+C13),C8)),0)</f>
        <v>5000</v>
      </c>
      <c r="E15">
        <f>IF(E7&lt;=$B$7,MIN(5000,IF(E8&gt;($B$15+E13),($B$15+E13),E8)),0)</f>
        <v>2000</v>
      </c>
      <c r="G15">
        <f>IF(G7&lt;=$B$7,MIN(5000,IF(G8&gt;($B$15+G13),($B$15+G13),G8)),0)</f>
        <v>0</v>
      </c>
      <c r="I15">
        <f>IF(I7&lt;=$B$7,MIN(5000,IF(I8&gt;($B$15+I13),($B$15+I13),I8)),0)</f>
        <v>0</v>
      </c>
      <c r="K15">
        <f>IF(K7&lt;=$B$7,MIN(5000,IF(K8&gt;($B$15+K13),($B$15+K13),K8)),0)</f>
        <v>0</v>
      </c>
      <c r="M15">
        <f>IF(M7&lt;=$B$7,MIN(5000,IF(M8&gt;($B$15+M13),($B$15+M13),M8)),0)</f>
        <v>0</v>
      </c>
      <c r="O15">
        <f>IF(O7&lt;=$B$7,MIN(5000,IF(O8&gt;($B$15+O13),($B$15+O13),O8)),0)</f>
        <v>0</v>
      </c>
      <c r="Q15">
        <f>IF(Q7&lt;=$B$7,MIN(5000,IF(Q8&gt;($B$15+Q13),($B$15+Q13),Q8)),0)</f>
        <v>0</v>
      </c>
      <c r="S15">
        <f>IF(S7&lt;=$B$7,MIN(5000,IF(S8&gt;($B$15+S13),($B$15+S13),S8)),0)</f>
        <v>0</v>
      </c>
      <c r="U15">
        <f>IF(U7&lt;=$B$7,MIN(5000,IF(U8&gt;($B$15+U13),($B$15+U13),U8)),0)</f>
        <v>0</v>
      </c>
    </row>
    <row r="16" spans="1:21" x14ac:dyDescent="0.25">
      <c r="A16" s="24"/>
    </row>
    <row r="17" spans="1:3" x14ac:dyDescent="0.25">
      <c r="A17" s="56" t="s">
        <v>237</v>
      </c>
      <c r="C17">
        <f>C15+E15+G15+I15+K15+M15+O15+Q15+S15+U15</f>
        <v>7000</v>
      </c>
    </row>
    <row r="18" spans="1:3" x14ac:dyDescent="0.25">
      <c r="A18" s="24"/>
    </row>
    <row r="19" spans="1:3" x14ac:dyDescent="0.25">
      <c r="A19" t="s">
        <v>238</v>
      </c>
      <c r="B19" s="8">
        <v>0.2</v>
      </c>
      <c r="C19" s="11">
        <f>C17*B19</f>
        <v>1400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AD186"/>
  <sheetViews>
    <sheetView topLeftCell="A128" zoomScaleNormal="100" workbookViewId="0">
      <selection activeCell="A136" sqref="A136"/>
    </sheetView>
  </sheetViews>
  <sheetFormatPr defaultRowHeight="15" x14ac:dyDescent="0.25"/>
  <cols>
    <col min="1" max="1" width="32.140625" customWidth="1"/>
    <col min="3" max="3" width="10.5703125" bestFit="1" customWidth="1"/>
    <col min="4" max="4" width="15.5703125" customWidth="1"/>
  </cols>
  <sheetData>
    <row r="1" spans="1:4" x14ac:dyDescent="0.25">
      <c r="C1" s="1"/>
      <c r="D1" t="s">
        <v>0</v>
      </c>
    </row>
    <row r="2" spans="1:4" x14ac:dyDescent="0.25">
      <c r="C2" s="11"/>
      <c r="D2" t="s">
        <v>17</v>
      </c>
    </row>
    <row r="4" spans="1:4" x14ac:dyDescent="0.25">
      <c r="A4" s="3" t="s">
        <v>35</v>
      </c>
    </row>
    <row r="6" spans="1:4" x14ac:dyDescent="0.25">
      <c r="A6" t="s">
        <v>33</v>
      </c>
      <c r="C6" s="1">
        <v>20000</v>
      </c>
    </row>
    <row r="8" spans="1:4" x14ac:dyDescent="0.25">
      <c r="A8" t="s">
        <v>34</v>
      </c>
      <c r="C8" s="13">
        <v>15255</v>
      </c>
    </row>
    <row r="9" spans="1:4" x14ac:dyDescent="0.25">
      <c r="C9">
        <f>MIN(C6,C8)</f>
        <v>15255</v>
      </c>
    </row>
    <row r="11" spans="1:4" x14ac:dyDescent="0.25">
      <c r="A11" t="s">
        <v>44</v>
      </c>
      <c r="B11" s="8">
        <v>0.15</v>
      </c>
      <c r="C11" s="12">
        <f>$C$9*$B$11</f>
        <v>2288.25</v>
      </c>
    </row>
    <row r="12" spans="1:4" x14ac:dyDescent="0.25">
      <c r="A12" t="s">
        <v>43</v>
      </c>
      <c r="B12" s="16">
        <v>5.0500000000000003E-2</v>
      </c>
      <c r="C12" s="12">
        <f>$C$9*$B$12</f>
        <v>770.37750000000005</v>
      </c>
    </row>
    <row r="13" spans="1:4" x14ac:dyDescent="0.25">
      <c r="C13" s="20">
        <f>SUM(C11:C12)</f>
        <v>3058.6275000000001</v>
      </c>
    </row>
    <row r="15" spans="1:4" x14ac:dyDescent="0.25">
      <c r="A15" s="19" t="s">
        <v>39</v>
      </c>
    </row>
    <row r="16" spans="1:4" x14ac:dyDescent="0.25">
      <c r="A16" t="s">
        <v>38</v>
      </c>
    </row>
    <row r="18" spans="1:3" x14ac:dyDescent="0.25">
      <c r="A18" s="3" t="s">
        <v>36</v>
      </c>
    </row>
    <row r="20" spans="1:3" x14ac:dyDescent="0.25">
      <c r="A20" t="s">
        <v>37</v>
      </c>
      <c r="C20" s="1">
        <v>1000</v>
      </c>
    </row>
    <row r="22" spans="1:3" x14ac:dyDescent="0.25">
      <c r="A22" t="s">
        <v>34</v>
      </c>
      <c r="C22">
        <v>2000</v>
      </c>
    </row>
    <row r="23" spans="1:3" x14ac:dyDescent="0.25">
      <c r="C23">
        <f>MIN(C20,C22)</f>
        <v>1000</v>
      </c>
    </row>
    <row r="25" spans="1:3" x14ac:dyDescent="0.25">
      <c r="A25" t="s">
        <v>44</v>
      </c>
      <c r="B25" s="8">
        <v>0.15</v>
      </c>
      <c r="C25" s="12">
        <f>$C$23*$B$25</f>
        <v>150</v>
      </c>
    </row>
    <row r="26" spans="1:3" x14ac:dyDescent="0.25">
      <c r="A26" t="s">
        <v>43</v>
      </c>
      <c r="B26" s="16">
        <v>5.0500000000000003E-2</v>
      </c>
      <c r="C26" s="12">
        <f>$C$23*$B$26</f>
        <v>50.5</v>
      </c>
    </row>
    <row r="27" spans="1:3" x14ac:dyDescent="0.25">
      <c r="C27" s="20">
        <f>SUM(C25:C26)</f>
        <v>200.5</v>
      </c>
    </row>
    <row r="29" spans="1:3" x14ac:dyDescent="0.25">
      <c r="A29" s="19" t="s">
        <v>39</v>
      </c>
    </row>
    <row r="30" spans="1:3" x14ac:dyDescent="0.25">
      <c r="A30" t="s">
        <v>40</v>
      </c>
    </row>
    <row r="32" spans="1:3" x14ac:dyDescent="0.25">
      <c r="A32" s="3" t="s">
        <v>41</v>
      </c>
    </row>
    <row r="34" spans="1:3" x14ac:dyDescent="0.25">
      <c r="A34" t="s">
        <v>42</v>
      </c>
      <c r="C34" s="1">
        <v>1000</v>
      </c>
    </row>
    <row r="36" spans="1:3" x14ac:dyDescent="0.25">
      <c r="A36" t="s">
        <v>44</v>
      </c>
      <c r="B36" s="8">
        <v>0.15</v>
      </c>
      <c r="C36" s="12">
        <f>$C$34*$B$36</f>
        <v>150</v>
      </c>
    </row>
    <row r="37" spans="1:3" x14ac:dyDescent="0.25">
      <c r="A37" t="s">
        <v>43</v>
      </c>
      <c r="B37" s="16">
        <v>5.0500000000000003E-2</v>
      </c>
      <c r="C37" s="12">
        <f>$C$34*$B$37</f>
        <v>50.5</v>
      </c>
    </row>
    <row r="38" spans="1:3" x14ac:dyDescent="0.25">
      <c r="C38" s="20">
        <f>SUM(C36:C37)</f>
        <v>200.5</v>
      </c>
    </row>
    <row r="40" spans="1:3" x14ac:dyDescent="0.25">
      <c r="A40" s="19" t="s">
        <v>39</v>
      </c>
    </row>
    <row r="41" spans="1:3" x14ac:dyDescent="0.25">
      <c r="A41" t="s">
        <v>59</v>
      </c>
    </row>
    <row r="43" spans="1:3" x14ac:dyDescent="0.25">
      <c r="A43" s="3" t="s">
        <v>46</v>
      </c>
    </row>
    <row r="45" spans="1:3" x14ac:dyDescent="0.25">
      <c r="A45" t="s">
        <v>47</v>
      </c>
      <c r="C45" s="1">
        <v>5000</v>
      </c>
    </row>
    <row r="46" spans="1:3" x14ac:dyDescent="0.25">
      <c r="A46" t="s">
        <v>51</v>
      </c>
      <c r="C46" s="1">
        <v>0</v>
      </c>
    </row>
    <row r="47" spans="1:3" x14ac:dyDescent="0.25">
      <c r="A47" t="s">
        <v>52</v>
      </c>
      <c r="C47" s="1">
        <v>4</v>
      </c>
    </row>
    <row r="49" spans="1:3" x14ac:dyDescent="0.25">
      <c r="A49" s="26" t="s">
        <v>47</v>
      </c>
      <c r="C49">
        <f>C45</f>
        <v>5000</v>
      </c>
    </row>
    <row r="50" spans="1:3" x14ac:dyDescent="0.25">
      <c r="A50" s="26" t="s">
        <v>48</v>
      </c>
      <c r="B50">
        <v>400</v>
      </c>
      <c r="C50">
        <f>C46*B50</f>
        <v>0</v>
      </c>
    </row>
    <row r="51" spans="1:3" x14ac:dyDescent="0.25">
      <c r="B51">
        <v>120</v>
      </c>
      <c r="C51">
        <f>C47*B51</f>
        <v>480</v>
      </c>
    </row>
    <row r="52" spans="1:3" x14ac:dyDescent="0.25">
      <c r="A52" s="26" t="s">
        <v>49</v>
      </c>
      <c r="B52">
        <v>65</v>
      </c>
      <c r="C52">
        <f>C46*B52</f>
        <v>0</v>
      </c>
    </row>
    <row r="53" spans="1:3" x14ac:dyDescent="0.25">
      <c r="B53">
        <v>20</v>
      </c>
      <c r="C53" s="21">
        <f>C47*B53</f>
        <v>80</v>
      </c>
    </row>
    <row r="54" spans="1:3" x14ac:dyDescent="0.25">
      <c r="C54">
        <f>SUM(C49:C53)</f>
        <v>5560</v>
      </c>
    </row>
    <row r="56" spans="1:3" x14ac:dyDescent="0.25">
      <c r="A56" t="s">
        <v>44</v>
      </c>
      <c r="B56" s="8">
        <v>0.15</v>
      </c>
      <c r="C56" s="12">
        <f>$C$54*$B$56</f>
        <v>834</v>
      </c>
    </row>
    <row r="57" spans="1:3" x14ac:dyDescent="0.25">
      <c r="A57" t="s">
        <v>43</v>
      </c>
      <c r="B57" s="16">
        <v>5.0500000000000003E-2</v>
      </c>
      <c r="C57" s="12">
        <f>$C$54*$B$57</f>
        <v>280.78000000000003</v>
      </c>
    </row>
    <row r="58" spans="1:3" x14ac:dyDescent="0.25">
      <c r="A58" t="s">
        <v>45</v>
      </c>
      <c r="C58" s="20">
        <f>SUM(C56:C57)</f>
        <v>1114.78</v>
      </c>
    </row>
    <row r="60" spans="1:3" x14ac:dyDescent="0.25">
      <c r="A60" s="19" t="s">
        <v>39</v>
      </c>
    </row>
    <row r="61" spans="1:3" x14ac:dyDescent="0.25">
      <c r="A61" t="s">
        <v>50</v>
      </c>
    </row>
    <row r="63" spans="1:3" x14ac:dyDescent="0.25">
      <c r="A63" s="3" t="s">
        <v>53</v>
      </c>
    </row>
    <row r="65" spans="1:4" x14ac:dyDescent="0.25">
      <c r="A65" t="s">
        <v>53</v>
      </c>
      <c r="C65" s="1">
        <v>5000</v>
      </c>
    </row>
    <row r="66" spans="1:4" x14ac:dyDescent="0.25">
      <c r="A66" t="s">
        <v>54</v>
      </c>
      <c r="C66" s="22">
        <v>40000</v>
      </c>
      <c r="D66" t="s">
        <v>55</v>
      </c>
    </row>
    <row r="68" spans="1:4" x14ac:dyDescent="0.25">
      <c r="A68" s="19" t="s">
        <v>74</v>
      </c>
    </row>
    <row r="69" spans="1:4" x14ac:dyDescent="0.25">
      <c r="A69" t="s">
        <v>56</v>
      </c>
      <c r="B69" s="8">
        <v>0.03</v>
      </c>
      <c r="C69" s="18">
        <f>$C$66*B69</f>
        <v>1200</v>
      </c>
    </row>
    <row r="70" spans="1:4" x14ac:dyDescent="0.25">
      <c r="A70" t="s">
        <v>22</v>
      </c>
      <c r="B70" s="8"/>
      <c r="C70">
        <v>2208</v>
      </c>
      <c r="D70" t="s">
        <v>105</v>
      </c>
    </row>
    <row r="71" spans="1:4" x14ac:dyDescent="0.25">
      <c r="A71" t="s">
        <v>58</v>
      </c>
      <c r="B71" s="8"/>
      <c r="C71">
        <f>MIN(C69,C70)</f>
        <v>1200</v>
      </c>
    </row>
    <row r="72" spans="1:4" x14ac:dyDescent="0.25">
      <c r="A72" t="s">
        <v>57</v>
      </c>
      <c r="C72">
        <f>IF(C65&gt;C71,C65-C71,0)</f>
        <v>3800</v>
      </c>
      <c r="D72" t="s">
        <v>106</v>
      </c>
    </row>
    <row r="74" spans="1:4" x14ac:dyDescent="0.25">
      <c r="A74" s="19" t="s">
        <v>75</v>
      </c>
    </row>
    <row r="75" spans="1:4" x14ac:dyDescent="0.25">
      <c r="A75" t="s">
        <v>56</v>
      </c>
      <c r="B75" s="8">
        <v>0.03</v>
      </c>
      <c r="C75" s="18">
        <f>$C$66*B75</f>
        <v>1200</v>
      </c>
    </row>
    <row r="76" spans="1:4" x14ac:dyDescent="0.25">
      <c r="A76" t="s">
        <v>22</v>
      </c>
      <c r="B76" s="8"/>
      <c r="C76">
        <v>2232</v>
      </c>
      <c r="D76" t="s">
        <v>105</v>
      </c>
    </row>
    <row r="77" spans="1:4" x14ac:dyDescent="0.25">
      <c r="A77" t="s">
        <v>58</v>
      </c>
      <c r="B77" s="8"/>
      <c r="C77">
        <f>MIN(C75,C76)</f>
        <v>1200</v>
      </c>
    </row>
    <row r="78" spans="1:4" x14ac:dyDescent="0.25">
      <c r="A78" t="s">
        <v>57</v>
      </c>
      <c r="C78">
        <f>IF(C65&gt;C77,C65-C77,0)</f>
        <v>3800</v>
      </c>
    </row>
    <row r="80" spans="1:4" x14ac:dyDescent="0.25">
      <c r="A80" t="s">
        <v>44</v>
      </c>
      <c r="B80" s="8">
        <v>0.15</v>
      </c>
      <c r="C80" s="12">
        <f>$C$72*$B$80</f>
        <v>570</v>
      </c>
    </row>
    <row r="81" spans="1:3" x14ac:dyDescent="0.25">
      <c r="A81" t="s">
        <v>43</v>
      </c>
      <c r="B81" s="16">
        <v>5.0500000000000003E-2</v>
      </c>
      <c r="C81" s="12">
        <f>$C$78*$B$81</f>
        <v>191.9</v>
      </c>
    </row>
    <row r="82" spans="1:3" x14ac:dyDescent="0.25">
      <c r="A82" t="s">
        <v>45</v>
      </c>
      <c r="C82" s="20">
        <f>SUM(C80:C81)</f>
        <v>761.9</v>
      </c>
    </row>
    <row r="84" spans="1:3" x14ac:dyDescent="0.25">
      <c r="A84" s="19" t="s">
        <v>39</v>
      </c>
    </row>
    <row r="85" spans="1:3" x14ac:dyDescent="0.25">
      <c r="A85" t="s">
        <v>91</v>
      </c>
    </row>
    <row r="87" spans="1:3" x14ac:dyDescent="0.25">
      <c r="A87" s="3" t="s">
        <v>60</v>
      </c>
    </row>
    <row r="89" spans="1:3" x14ac:dyDescent="0.25">
      <c r="A89" t="s">
        <v>61</v>
      </c>
      <c r="C89" s="1">
        <v>500</v>
      </c>
    </row>
    <row r="91" spans="1:3" x14ac:dyDescent="0.25">
      <c r="A91" t="s">
        <v>63</v>
      </c>
      <c r="B91" s="13">
        <v>200</v>
      </c>
      <c r="C91">
        <f>IF(C89&gt;B91,B91,C89)</f>
        <v>200</v>
      </c>
    </row>
    <row r="92" spans="1:3" x14ac:dyDescent="0.25">
      <c r="A92" t="s">
        <v>62</v>
      </c>
      <c r="B92" s="13">
        <v>200</v>
      </c>
      <c r="C92">
        <f>IF(C89&gt;B92,C89-B92,0)</f>
        <v>300</v>
      </c>
    </row>
    <row r="94" spans="1:3" x14ac:dyDescent="0.25">
      <c r="A94" t="s">
        <v>67</v>
      </c>
      <c r="B94" s="8">
        <v>0.15</v>
      </c>
      <c r="C94">
        <f>$C$91*B94</f>
        <v>30</v>
      </c>
    </row>
    <row r="95" spans="1:3" x14ac:dyDescent="0.25">
      <c r="A95" t="s">
        <v>70</v>
      </c>
      <c r="B95" s="8">
        <v>0.28999999999999998</v>
      </c>
      <c r="C95">
        <f>$C$92*B95</f>
        <v>87</v>
      </c>
    </row>
    <row r="96" spans="1:3" x14ac:dyDescent="0.25">
      <c r="A96" t="s">
        <v>71</v>
      </c>
      <c r="B96" s="16">
        <v>5.0500000000000003E-2</v>
      </c>
      <c r="C96">
        <f>$C$91*B96</f>
        <v>10.100000000000001</v>
      </c>
    </row>
    <row r="97" spans="1:4" x14ac:dyDescent="0.25">
      <c r="A97" t="s">
        <v>72</v>
      </c>
      <c r="B97" s="23">
        <v>0.1116</v>
      </c>
      <c r="C97">
        <f>$C$92*B97</f>
        <v>33.480000000000004</v>
      </c>
    </row>
    <row r="98" spans="1:4" x14ac:dyDescent="0.25">
      <c r="A98" t="s">
        <v>45</v>
      </c>
      <c r="C98" s="20">
        <f>SUM(C94:C97)</f>
        <v>160.57999999999998</v>
      </c>
    </row>
    <row r="100" spans="1:4" x14ac:dyDescent="0.25">
      <c r="A100" s="19" t="s">
        <v>39</v>
      </c>
    </row>
    <row r="101" spans="1:4" x14ac:dyDescent="0.25">
      <c r="A101" t="s">
        <v>65</v>
      </c>
    </row>
    <row r="103" spans="1:4" x14ac:dyDescent="0.25">
      <c r="A103" s="3" t="s">
        <v>64</v>
      </c>
    </row>
    <row r="105" spans="1:4" x14ac:dyDescent="0.25">
      <c r="A105" t="s">
        <v>66</v>
      </c>
      <c r="C105" s="1">
        <v>900</v>
      </c>
    </row>
    <row r="107" spans="1:4" x14ac:dyDescent="0.25">
      <c r="A107" t="s">
        <v>107</v>
      </c>
      <c r="C107">
        <v>1146</v>
      </c>
    </row>
    <row r="108" spans="1:4" x14ac:dyDescent="0.25">
      <c r="A108" t="s">
        <v>58</v>
      </c>
      <c r="C108">
        <f>MIN(C105,C107)</f>
        <v>900</v>
      </c>
    </row>
    <row r="110" spans="1:4" x14ac:dyDescent="0.25">
      <c r="A110" t="s">
        <v>45</v>
      </c>
      <c r="B110" s="8">
        <v>0.15</v>
      </c>
      <c r="C110" s="11">
        <f>C108*B110</f>
        <v>135</v>
      </c>
      <c r="D110" t="s">
        <v>108</v>
      </c>
    </row>
    <row r="112" spans="1:4" x14ac:dyDescent="0.25">
      <c r="A112" s="19" t="s">
        <v>39</v>
      </c>
    </row>
    <row r="113" spans="1:4" x14ac:dyDescent="0.25">
      <c r="A113" t="s">
        <v>73</v>
      </c>
    </row>
    <row r="115" spans="1:4" x14ac:dyDescent="0.25">
      <c r="A115" s="3" t="s">
        <v>68</v>
      </c>
    </row>
    <row r="117" spans="1:4" x14ac:dyDescent="0.25">
      <c r="A117" t="s">
        <v>69</v>
      </c>
      <c r="C117" s="1">
        <v>500</v>
      </c>
    </row>
    <row r="119" spans="1:4" x14ac:dyDescent="0.25">
      <c r="A119" t="s">
        <v>45</v>
      </c>
      <c r="B119" s="8">
        <v>0.15</v>
      </c>
      <c r="C119" s="11">
        <f>C117*B119</f>
        <v>75</v>
      </c>
      <c r="D119" t="s">
        <v>108</v>
      </c>
    </row>
    <row r="121" spans="1:4" x14ac:dyDescent="0.25">
      <c r="A121" s="19" t="s">
        <v>39</v>
      </c>
    </row>
    <row r="122" spans="1:4" x14ac:dyDescent="0.25">
      <c r="A122" t="s">
        <v>76</v>
      </c>
    </row>
    <row r="124" spans="1:4" x14ac:dyDescent="0.25">
      <c r="A124" s="3" t="s">
        <v>77</v>
      </c>
      <c r="C124" t="s">
        <v>79</v>
      </c>
    </row>
    <row r="125" spans="1:4" x14ac:dyDescent="0.25">
      <c r="C125" t="s">
        <v>80</v>
      </c>
    </row>
    <row r="126" spans="1:4" x14ac:dyDescent="0.25">
      <c r="A126" t="s">
        <v>78</v>
      </c>
      <c r="C126" s="1" t="s">
        <v>79</v>
      </c>
    </row>
    <row r="127" spans="1:4" ht="45" x14ac:dyDescent="0.25">
      <c r="A127" s="24" t="s">
        <v>81</v>
      </c>
      <c r="C127" s="1" t="s">
        <v>80</v>
      </c>
    </row>
    <row r="129" spans="1:30" x14ac:dyDescent="0.25">
      <c r="A129" t="s">
        <v>77</v>
      </c>
      <c r="C129">
        <v>5000</v>
      </c>
    </row>
    <row r="130" spans="1:30" x14ac:dyDescent="0.25">
      <c r="A130" t="s">
        <v>45</v>
      </c>
      <c r="B130" s="8">
        <v>0.15</v>
      </c>
      <c r="C130" s="11">
        <f>IF(AND((C126="Yes"),(C127="No")),C129*B130,0)</f>
        <v>750</v>
      </c>
    </row>
    <row r="132" spans="1:30" x14ac:dyDescent="0.25">
      <c r="A132" s="19" t="s">
        <v>39</v>
      </c>
    </row>
    <row r="133" spans="1:30" x14ac:dyDescent="0.25">
      <c r="A133" t="s">
        <v>82</v>
      </c>
    </row>
    <row r="135" spans="1:30" x14ac:dyDescent="0.25">
      <c r="A135" s="3" t="s">
        <v>239</v>
      </c>
    </row>
    <row r="136" spans="1:30" x14ac:dyDescent="0.25">
      <c r="A136" s="3"/>
    </row>
    <row r="137" spans="1:30" x14ac:dyDescent="0.25">
      <c r="A137" s="34" t="s">
        <v>134</v>
      </c>
      <c r="C137" s="1">
        <v>3</v>
      </c>
    </row>
    <row r="138" spans="1:30" x14ac:dyDescent="0.25">
      <c r="A138" s="34"/>
    </row>
    <row r="139" spans="1:30" x14ac:dyDescent="0.25">
      <c r="C139" s="34" t="s">
        <v>135</v>
      </c>
      <c r="F139" s="34" t="s">
        <v>140</v>
      </c>
      <c r="I139" s="34" t="s">
        <v>143</v>
      </c>
      <c r="L139" s="34" t="s">
        <v>144</v>
      </c>
      <c r="O139" s="34" t="s">
        <v>145</v>
      </c>
      <c r="R139" s="34" t="s">
        <v>146</v>
      </c>
      <c r="U139" s="34" t="s">
        <v>147</v>
      </c>
      <c r="X139" s="34" t="s">
        <v>148</v>
      </c>
      <c r="AA139" s="34" t="s">
        <v>149</v>
      </c>
      <c r="AD139" s="34" t="s">
        <v>150</v>
      </c>
    </row>
    <row r="140" spans="1:30" ht="45" x14ac:dyDescent="0.25">
      <c r="A140" s="34" t="s">
        <v>138</v>
      </c>
      <c r="B140" s="35">
        <v>16</v>
      </c>
      <c r="C140" s="1">
        <v>15</v>
      </c>
      <c r="D140" s="37" t="s">
        <v>139</v>
      </c>
      <c r="E140" s="35"/>
      <c r="F140" s="1">
        <v>15</v>
      </c>
      <c r="H140" s="35"/>
      <c r="I140" s="1">
        <v>15</v>
      </c>
      <c r="K140" s="35"/>
      <c r="L140" s="1">
        <v>15</v>
      </c>
      <c r="N140" s="35"/>
      <c r="O140" s="1">
        <v>15</v>
      </c>
      <c r="Q140" s="35"/>
      <c r="R140" s="1">
        <v>15</v>
      </c>
      <c r="T140" s="35"/>
      <c r="U140" s="1">
        <v>15</v>
      </c>
      <c r="W140" s="35"/>
      <c r="X140" s="1">
        <v>15</v>
      </c>
      <c r="Z140" s="35"/>
      <c r="AA140" s="1">
        <v>15</v>
      </c>
      <c r="AC140" s="35"/>
      <c r="AD140" s="1">
        <v>15</v>
      </c>
    </row>
    <row r="141" spans="1:30" x14ac:dyDescent="0.25">
      <c r="A141" t="s">
        <v>83</v>
      </c>
      <c r="C141" s="1">
        <v>300</v>
      </c>
      <c r="F141" s="1">
        <v>300</v>
      </c>
      <c r="I141" s="1">
        <v>300</v>
      </c>
      <c r="L141" s="1">
        <v>300</v>
      </c>
      <c r="O141" s="1">
        <v>300</v>
      </c>
      <c r="R141" s="1">
        <v>300</v>
      </c>
      <c r="U141" s="1">
        <v>300</v>
      </c>
      <c r="X141" s="1">
        <v>300</v>
      </c>
      <c r="AA141" s="1">
        <v>300</v>
      </c>
      <c r="AD141" s="1">
        <v>300</v>
      </c>
    </row>
    <row r="143" spans="1:30" ht="30" x14ac:dyDescent="0.25">
      <c r="A143" s="24" t="s">
        <v>137</v>
      </c>
      <c r="C143" s="25">
        <f>IF(C140&lt;$B$140,C141,0)</f>
        <v>300</v>
      </c>
      <c r="F143" s="25">
        <f>IF(F140&lt;$B$140,F141,0)</f>
        <v>300</v>
      </c>
      <c r="I143" s="25">
        <f>IF(I140&lt;$B$140,I141,0)</f>
        <v>300</v>
      </c>
      <c r="L143" s="25">
        <f>IF(L140&lt;$B$140,L141,0)</f>
        <v>300</v>
      </c>
      <c r="O143" s="25">
        <f>IF(O140&lt;$B$140,O141,0)</f>
        <v>300</v>
      </c>
      <c r="R143" s="25">
        <f>IF(R140&lt;$B$140,R141,0)</f>
        <v>300</v>
      </c>
      <c r="U143" s="25">
        <f>IF(U140&lt;$B$140,U141,0)</f>
        <v>300</v>
      </c>
      <c r="X143" s="25">
        <f>IF(X140&lt;$B$140,X141,0)</f>
        <v>300</v>
      </c>
      <c r="AA143" s="25">
        <f>IF(AA140&lt;$B$140,AA141,0)</f>
        <v>300</v>
      </c>
      <c r="AD143" s="25">
        <f>IF(AD140&lt;$B$140,AD141,0)</f>
        <v>300</v>
      </c>
    </row>
    <row r="144" spans="1:30" x14ac:dyDescent="0.25">
      <c r="C144" s="25"/>
      <c r="F144" s="25"/>
      <c r="I144" s="25"/>
      <c r="L144" s="25"/>
      <c r="O144" s="25"/>
      <c r="R144" s="25"/>
      <c r="U144" s="25"/>
      <c r="X144" s="25"/>
      <c r="AA144" s="25"/>
      <c r="AD144" s="25"/>
    </row>
    <row r="145" spans="1:30" x14ac:dyDescent="0.25">
      <c r="A145" t="s">
        <v>107</v>
      </c>
      <c r="C145" s="25">
        <v>500</v>
      </c>
      <c r="F145" s="25">
        <v>500</v>
      </c>
      <c r="I145" s="25">
        <v>500</v>
      </c>
      <c r="L145" s="25">
        <v>500</v>
      </c>
      <c r="O145" s="25">
        <v>500</v>
      </c>
      <c r="R145" s="25">
        <v>500</v>
      </c>
      <c r="U145" s="25">
        <v>500</v>
      </c>
      <c r="X145" s="25">
        <v>500</v>
      </c>
      <c r="AA145" s="25">
        <v>500</v>
      </c>
      <c r="AD145" s="25">
        <v>500</v>
      </c>
    </row>
    <row r="146" spans="1:30" x14ac:dyDescent="0.25">
      <c r="A146" t="s">
        <v>58</v>
      </c>
      <c r="C146">
        <f>MIN(C143,C145)</f>
        <v>300</v>
      </c>
      <c r="F146">
        <f>MIN(F143,F145)</f>
        <v>300</v>
      </c>
      <c r="I146">
        <f>MIN(I143,I145)</f>
        <v>300</v>
      </c>
      <c r="L146">
        <f>MIN(L143,L145)</f>
        <v>300</v>
      </c>
      <c r="O146">
        <f>MIN(O143,O145)</f>
        <v>300</v>
      </c>
      <c r="R146">
        <f>MIN(R143,R145)</f>
        <v>300</v>
      </c>
      <c r="U146">
        <f>MIN(U143,U145)</f>
        <v>300</v>
      </c>
      <c r="X146">
        <f>MIN(X143,X145)</f>
        <v>300</v>
      </c>
      <c r="AA146">
        <f>MIN(AA143,AA145)</f>
        <v>300</v>
      </c>
      <c r="AD146">
        <f>MIN(AD143,AD145)</f>
        <v>300</v>
      </c>
    </row>
    <row r="148" spans="1:30" x14ac:dyDescent="0.25">
      <c r="A148" t="s">
        <v>141</v>
      </c>
      <c r="B148" s="8">
        <v>0.15</v>
      </c>
      <c r="C148" s="25">
        <f>C146*$B$148</f>
        <v>45</v>
      </c>
      <c r="E148" s="8">
        <v>0.15</v>
      </c>
      <c r="F148" s="25">
        <f>F146*$B$148</f>
        <v>45</v>
      </c>
      <c r="G148" s="25"/>
      <c r="H148" s="38">
        <v>0.15</v>
      </c>
      <c r="I148" s="25">
        <f>I146*$B$148</f>
        <v>45</v>
      </c>
      <c r="J148" s="25"/>
      <c r="K148" s="38">
        <v>0.15</v>
      </c>
      <c r="L148" s="25">
        <f>L146*$B$148</f>
        <v>45</v>
      </c>
      <c r="M148" s="25"/>
      <c r="N148" s="38">
        <v>0.15</v>
      </c>
      <c r="O148" s="25">
        <f>O146*$B$148</f>
        <v>45</v>
      </c>
      <c r="P148" s="25"/>
      <c r="Q148" s="38">
        <v>0.15</v>
      </c>
      <c r="R148" s="25">
        <f>R146*$B$148</f>
        <v>45</v>
      </c>
      <c r="S148" s="25"/>
      <c r="T148" s="38">
        <v>0.15</v>
      </c>
      <c r="U148" s="25">
        <f>U146*$B$148</f>
        <v>45</v>
      </c>
      <c r="V148" s="25"/>
      <c r="W148" s="38">
        <v>0.15</v>
      </c>
      <c r="X148" s="25">
        <f>X146*$B$148</f>
        <v>45</v>
      </c>
      <c r="Y148" s="25"/>
      <c r="Z148" s="38">
        <v>0.15</v>
      </c>
      <c r="AA148" s="25">
        <f>AA146*$B$148</f>
        <v>45</v>
      </c>
      <c r="AB148" s="25"/>
      <c r="AC148" s="38">
        <v>0.15</v>
      </c>
      <c r="AD148" s="25">
        <f>AD146*$B$148</f>
        <v>45</v>
      </c>
    </row>
    <row r="150" spans="1:30" x14ac:dyDescent="0.25">
      <c r="A150" t="s">
        <v>142</v>
      </c>
      <c r="C150" s="11">
        <f>C148+F148+I148+L148+O148+R148+U148+X148+AA148+AD148</f>
        <v>450</v>
      </c>
    </row>
    <row r="152" spans="1:30" x14ac:dyDescent="0.25">
      <c r="A152" s="19" t="s">
        <v>39</v>
      </c>
    </row>
    <row r="153" spans="1:30" x14ac:dyDescent="0.25">
      <c r="A153" t="s">
        <v>84</v>
      </c>
    </row>
    <row r="155" spans="1:30" x14ac:dyDescent="0.25">
      <c r="A155" s="3" t="s">
        <v>92</v>
      </c>
    </row>
    <row r="157" spans="1:30" x14ac:dyDescent="0.25">
      <c r="A157" s="34" t="s">
        <v>134</v>
      </c>
      <c r="C157" s="1">
        <v>3</v>
      </c>
      <c r="F157" s="25"/>
      <c r="I157" s="25"/>
      <c r="L157" s="25"/>
      <c r="O157" s="25"/>
      <c r="R157" s="25"/>
      <c r="U157" s="25"/>
      <c r="X157" s="25"/>
      <c r="AA157" s="25"/>
      <c r="AD157" s="25"/>
    </row>
    <row r="159" spans="1:30" x14ac:dyDescent="0.25">
      <c r="C159" s="34" t="s">
        <v>135</v>
      </c>
      <c r="F159" s="34" t="s">
        <v>140</v>
      </c>
      <c r="I159" s="34" t="s">
        <v>143</v>
      </c>
      <c r="L159" s="34" t="s">
        <v>144</v>
      </c>
      <c r="O159" s="34" t="s">
        <v>145</v>
      </c>
      <c r="R159" s="34" t="s">
        <v>146</v>
      </c>
      <c r="U159" s="34" t="s">
        <v>147</v>
      </c>
      <c r="X159" s="34" t="s">
        <v>148</v>
      </c>
      <c r="AA159" s="34" t="s">
        <v>149</v>
      </c>
      <c r="AD159" s="34" t="s">
        <v>150</v>
      </c>
    </row>
    <row r="160" spans="1:30" ht="45" x14ac:dyDescent="0.25">
      <c r="A160" s="34" t="s">
        <v>136</v>
      </c>
      <c r="B160" s="35">
        <v>16</v>
      </c>
      <c r="C160" s="1">
        <v>13</v>
      </c>
      <c r="D160" s="37" t="s">
        <v>139</v>
      </c>
      <c r="E160" s="35"/>
      <c r="F160" s="1">
        <v>13</v>
      </c>
      <c r="H160" s="35"/>
      <c r="I160" s="1">
        <v>13</v>
      </c>
      <c r="K160" s="35"/>
      <c r="L160" s="1">
        <v>13</v>
      </c>
      <c r="N160" s="35"/>
      <c r="O160" s="1">
        <v>13</v>
      </c>
      <c r="Q160" s="35"/>
      <c r="R160" s="1">
        <v>13</v>
      </c>
      <c r="T160" s="35"/>
      <c r="U160" s="1">
        <v>13</v>
      </c>
      <c r="W160" s="35"/>
      <c r="X160" s="1">
        <v>13</v>
      </c>
      <c r="Z160" s="35"/>
      <c r="AA160" s="1">
        <v>13</v>
      </c>
      <c r="AC160" s="35"/>
      <c r="AD160" s="1">
        <v>13</v>
      </c>
    </row>
    <row r="161" spans="1:30" x14ac:dyDescent="0.25">
      <c r="A161" t="s">
        <v>83</v>
      </c>
      <c r="C161" s="1">
        <v>400</v>
      </c>
      <c r="F161" s="1">
        <v>400</v>
      </c>
      <c r="I161" s="1">
        <v>400</v>
      </c>
      <c r="L161" s="1">
        <v>400</v>
      </c>
      <c r="O161" s="1">
        <v>400</v>
      </c>
      <c r="R161" s="1">
        <v>400</v>
      </c>
      <c r="U161" s="1">
        <v>400</v>
      </c>
      <c r="X161" s="1">
        <v>400</v>
      </c>
      <c r="AA161" s="1">
        <v>400</v>
      </c>
      <c r="AD161" s="1">
        <v>400</v>
      </c>
    </row>
    <row r="162" spans="1:30" s="25" customFormat="1" x14ac:dyDescent="0.25">
      <c r="A162"/>
    </row>
    <row r="163" spans="1:30" ht="30" x14ac:dyDescent="0.25">
      <c r="A163" s="24" t="s">
        <v>137</v>
      </c>
      <c r="C163" s="25">
        <f>IF(C160&lt;$B$140,C161,0)</f>
        <v>400</v>
      </c>
      <c r="F163" s="25">
        <f>IF(F160&lt;$B$140,F161,0)</f>
        <v>400</v>
      </c>
      <c r="I163" s="25">
        <f>IF(I160&lt;$B$140,I161,0)</f>
        <v>400</v>
      </c>
      <c r="L163" s="25">
        <f>IF(L160&lt;$B$140,L161,0)</f>
        <v>400</v>
      </c>
      <c r="O163" s="25">
        <f>IF(O160&lt;$B$140,O161,0)</f>
        <v>400</v>
      </c>
      <c r="R163" s="25">
        <f>IF(R160&lt;$B$140,R161,0)</f>
        <v>400</v>
      </c>
      <c r="U163" s="25">
        <f>IF(U160&lt;$B$140,U161,0)</f>
        <v>400</v>
      </c>
      <c r="X163" s="25">
        <f>IF(X160&lt;$B$140,X161,0)</f>
        <v>400</v>
      </c>
      <c r="AA163" s="25">
        <f>IF(AA160&lt;$B$140,AA161,0)</f>
        <v>400</v>
      </c>
      <c r="AD163" s="25">
        <f>IF(AD160&lt;$B$140,AD161,0)</f>
        <v>400</v>
      </c>
    </row>
    <row r="165" spans="1:30" x14ac:dyDescent="0.25">
      <c r="A165" t="s">
        <v>22</v>
      </c>
      <c r="C165" s="25">
        <v>1000</v>
      </c>
      <c r="F165" s="25">
        <v>1000</v>
      </c>
      <c r="I165" s="25">
        <v>1000</v>
      </c>
      <c r="L165" s="25">
        <v>1000</v>
      </c>
      <c r="O165" s="25">
        <v>1000</v>
      </c>
      <c r="R165" s="25">
        <v>1000</v>
      </c>
      <c r="U165" s="25">
        <v>1000</v>
      </c>
      <c r="X165" s="25">
        <v>1000</v>
      </c>
      <c r="AA165" s="25">
        <v>1000</v>
      </c>
      <c r="AD165" s="25">
        <v>1000</v>
      </c>
    </row>
    <row r="166" spans="1:30" x14ac:dyDescent="0.25">
      <c r="A166" t="s">
        <v>58</v>
      </c>
      <c r="C166">
        <f>MIN(C163,C165)</f>
        <v>400</v>
      </c>
      <c r="F166">
        <f>MIN(F163,F165)</f>
        <v>400</v>
      </c>
      <c r="I166">
        <f>MIN(I163,I165)</f>
        <v>400</v>
      </c>
      <c r="L166">
        <f>MIN(L163,L165)</f>
        <v>400</v>
      </c>
      <c r="O166">
        <f>MIN(O163,O165)</f>
        <v>400</v>
      </c>
      <c r="R166">
        <f>MIN(R163,R165)</f>
        <v>400</v>
      </c>
      <c r="U166">
        <f>MIN(U163,U165)</f>
        <v>400</v>
      </c>
      <c r="X166">
        <f>MIN(X163,X165)</f>
        <v>400</v>
      </c>
      <c r="AA166">
        <f>MIN(AA163,AA165)</f>
        <v>400</v>
      </c>
      <c r="AD166">
        <f>MIN(AD163,AD165)</f>
        <v>400</v>
      </c>
    </row>
    <row r="168" spans="1:30" x14ac:dyDescent="0.25">
      <c r="A168" t="s">
        <v>93</v>
      </c>
      <c r="B168" s="8">
        <v>0.15</v>
      </c>
      <c r="C168" s="25">
        <f>C166*$B$148</f>
        <v>60</v>
      </c>
      <c r="E168" s="8">
        <v>0.15</v>
      </c>
      <c r="F168" s="25">
        <f>F166*$B$148</f>
        <v>60</v>
      </c>
      <c r="H168" s="8">
        <v>0.15</v>
      </c>
      <c r="I168" s="25">
        <f>I166*$B$148</f>
        <v>60</v>
      </c>
      <c r="K168" s="8">
        <v>0.15</v>
      </c>
      <c r="L168" s="25">
        <f>L166*$B$148</f>
        <v>60</v>
      </c>
      <c r="N168" s="8">
        <v>0.15</v>
      </c>
      <c r="O168" s="25">
        <f>O166*$B$148</f>
        <v>60</v>
      </c>
      <c r="Q168" s="8">
        <v>0.15</v>
      </c>
      <c r="R168" s="25">
        <f>R166*$B$148</f>
        <v>60</v>
      </c>
      <c r="T168" s="8">
        <v>0.15</v>
      </c>
      <c r="U168" s="25">
        <f>U166*$B$148</f>
        <v>60</v>
      </c>
      <c r="W168" s="8">
        <v>0.15</v>
      </c>
      <c r="X168" s="25">
        <f>X166*$B$148</f>
        <v>60</v>
      </c>
      <c r="Z168" s="8">
        <v>0.15</v>
      </c>
      <c r="AA168" s="25">
        <f>AA166*$B$148</f>
        <v>60</v>
      </c>
      <c r="AC168" s="8">
        <v>0.15</v>
      </c>
      <c r="AD168" s="25">
        <f>AD166*$B$148</f>
        <v>60</v>
      </c>
    </row>
    <row r="169" spans="1:30" x14ac:dyDescent="0.25">
      <c r="B169" s="8"/>
      <c r="C169" s="25"/>
    </row>
    <row r="170" spans="1:30" x14ac:dyDescent="0.25">
      <c r="A170" t="s">
        <v>142</v>
      </c>
      <c r="C170" s="11">
        <f>C168+F168+I168+L168+O168+R168+U168+X168+AA168+AD168</f>
        <v>600</v>
      </c>
    </row>
    <row r="172" spans="1:30" x14ac:dyDescent="0.25">
      <c r="A172" s="19" t="s">
        <v>39</v>
      </c>
    </row>
    <row r="173" spans="1:30" x14ac:dyDescent="0.25">
      <c r="A173" t="s">
        <v>94</v>
      </c>
    </row>
    <row r="174" spans="1:30" x14ac:dyDescent="0.25">
      <c r="A174" s="36" t="s">
        <v>151</v>
      </c>
    </row>
    <row r="176" spans="1:30" x14ac:dyDescent="0.25">
      <c r="A176" s="3" t="s">
        <v>85</v>
      </c>
    </row>
    <row r="178" spans="1:6" x14ac:dyDescent="0.25">
      <c r="A178" t="s">
        <v>86</v>
      </c>
      <c r="C178" s="1">
        <v>1500</v>
      </c>
    </row>
    <row r="179" spans="1:6" x14ac:dyDescent="0.25">
      <c r="C179" s="25"/>
    </row>
    <row r="180" spans="1:6" x14ac:dyDescent="0.25">
      <c r="A180" t="s">
        <v>87</v>
      </c>
      <c r="B180" s="8">
        <v>0.75</v>
      </c>
      <c r="C180" s="12">
        <f>IF($C$178&gt;400,400*B180,C178*B180)</f>
        <v>300</v>
      </c>
    </row>
    <row r="181" spans="1:6" x14ac:dyDescent="0.25">
      <c r="A181" t="s">
        <v>88</v>
      </c>
      <c r="B181" s="8">
        <v>0.5</v>
      </c>
      <c r="C181">
        <f>IF($C$178&gt;750,350*B181,IF(AND(($C$178&gt;400),(C$178&lt;=750)),(C$178-400)*B181,0))</f>
        <v>175</v>
      </c>
    </row>
    <row r="182" spans="1:6" x14ac:dyDescent="0.25">
      <c r="A182" t="s">
        <v>89</v>
      </c>
      <c r="B182" s="16">
        <v>0.33333299999999999</v>
      </c>
      <c r="C182" s="13">
        <f>IF($C$178&gt;1275,525*B182,IF(AND(($C$178&gt;750),(C$178&lt;=1275)),(C$178-750)*B182,0))</f>
        <v>174.99982499999999</v>
      </c>
      <c r="D182" s="39"/>
      <c r="E182" s="12"/>
    </row>
    <row r="183" spans="1:6" x14ac:dyDescent="0.25">
      <c r="A183" t="s">
        <v>45</v>
      </c>
      <c r="C183" s="14">
        <f>SUM(C180:C182)</f>
        <v>649.99982499999999</v>
      </c>
      <c r="D183" t="s">
        <v>108</v>
      </c>
      <c r="F183" s="16"/>
    </row>
    <row r="185" spans="1:6" x14ac:dyDescent="0.25">
      <c r="A185" s="19" t="s">
        <v>39</v>
      </c>
    </row>
    <row r="186" spans="1:6" x14ac:dyDescent="0.25">
      <c r="A186" t="s">
        <v>90</v>
      </c>
    </row>
  </sheetData>
  <dataValidations disablePrompts="1" count="1">
    <dataValidation type="list" allowBlank="1" showInputMessage="1" showErrorMessage="1" sqref="C126:C127">
      <formula1>$C$124:$C$125</formula1>
    </dataValidation>
  </dataValidations>
  <pageMargins left="0.7" right="0.7" top="0.75" bottom="0.75" header="0.3" footer="0.3"/>
  <pageSetup orientation="portrait" r:id="rId1"/>
  <ignoredErrors>
    <ignoredError sqref="C95:C96"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P61"/>
  <sheetViews>
    <sheetView zoomScaleNormal="100" workbookViewId="0">
      <selection activeCell="F22" sqref="F22"/>
    </sheetView>
  </sheetViews>
  <sheetFormatPr defaultRowHeight="15" x14ac:dyDescent="0.25"/>
  <cols>
    <col min="1" max="1" width="25" customWidth="1"/>
    <col min="2" max="2" width="11.7109375" customWidth="1"/>
    <col min="3" max="3" width="9.5703125" bestFit="1" customWidth="1"/>
    <col min="4" max="4" width="9" bestFit="1" customWidth="1"/>
    <col min="5" max="5" width="10.5703125" bestFit="1" customWidth="1"/>
    <col min="6" max="6" width="13.140625" customWidth="1"/>
    <col min="7" max="7" width="25" bestFit="1" customWidth="1"/>
    <col min="8" max="8" width="14" customWidth="1"/>
    <col min="9" max="9" width="12.85546875" bestFit="1" customWidth="1"/>
    <col min="10" max="10" width="12" bestFit="1" customWidth="1"/>
    <col min="11" max="11" width="10.140625" bestFit="1" customWidth="1"/>
    <col min="12" max="12" width="12.28515625" bestFit="1" customWidth="1"/>
    <col min="16" max="16" width="9.5703125" bestFit="1" customWidth="1"/>
  </cols>
  <sheetData>
    <row r="1" spans="1:3" x14ac:dyDescent="0.25">
      <c r="B1" s="1"/>
      <c r="C1" t="s">
        <v>0</v>
      </c>
    </row>
    <row r="2" spans="1:3" x14ac:dyDescent="0.25">
      <c r="A2" s="2" t="s">
        <v>2</v>
      </c>
    </row>
    <row r="3" spans="1:3" x14ac:dyDescent="0.25">
      <c r="A3" s="3" t="s">
        <v>25</v>
      </c>
    </row>
    <row r="4" spans="1:3" x14ac:dyDescent="0.25">
      <c r="A4" t="s">
        <v>25</v>
      </c>
      <c r="B4" s="1">
        <v>100</v>
      </c>
    </row>
    <row r="7" spans="1:3" x14ac:dyDescent="0.25">
      <c r="A7" s="2" t="s">
        <v>5</v>
      </c>
    </row>
    <row r="8" spans="1:3" x14ac:dyDescent="0.25">
      <c r="A8" t="s">
        <v>6</v>
      </c>
      <c r="B8" s="1" t="s">
        <v>1</v>
      </c>
    </row>
    <row r="12" spans="1:3" x14ac:dyDescent="0.25">
      <c r="A12" t="s">
        <v>7</v>
      </c>
      <c r="B12" s="1">
        <v>200000</v>
      </c>
    </row>
    <row r="15" spans="1:3" x14ac:dyDescent="0.25">
      <c r="A15" s="2" t="s">
        <v>8</v>
      </c>
    </row>
    <row r="16" spans="1:3" x14ac:dyDescent="0.25">
      <c r="A16" s="3" t="s">
        <v>9</v>
      </c>
    </row>
    <row r="17" spans="1:13" x14ac:dyDescent="0.25">
      <c r="B17" s="3" t="s">
        <v>27</v>
      </c>
      <c r="G17" s="3"/>
    </row>
    <row r="18" spans="1:13" ht="15.75" x14ac:dyDescent="0.25">
      <c r="A18" t="s">
        <v>10</v>
      </c>
      <c r="B18" s="4">
        <v>0</v>
      </c>
      <c r="C18" s="5">
        <v>45282</v>
      </c>
      <c r="D18" s="6">
        <v>0.15</v>
      </c>
      <c r="F18" s="13"/>
      <c r="G18" s="29"/>
      <c r="H18" s="5"/>
      <c r="I18" s="6"/>
      <c r="J18" s="6"/>
      <c r="K18" s="4"/>
      <c r="L18" s="5"/>
      <c r="M18" s="6"/>
    </row>
    <row r="19" spans="1:13" ht="15.75" x14ac:dyDescent="0.25">
      <c r="A19" t="s">
        <v>11</v>
      </c>
      <c r="B19" s="5">
        <v>45282</v>
      </c>
      <c r="C19" s="5">
        <v>90563</v>
      </c>
      <c r="D19" s="7">
        <v>0.20499999999999999</v>
      </c>
      <c r="F19" s="13"/>
      <c r="G19" s="29"/>
      <c r="H19" s="5"/>
      <c r="I19" s="7"/>
      <c r="J19" s="7"/>
      <c r="K19" s="5"/>
      <c r="L19" s="5"/>
      <c r="M19" s="7"/>
    </row>
    <row r="20" spans="1:13" ht="15.75" x14ac:dyDescent="0.25">
      <c r="A20" t="s">
        <v>11</v>
      </c>
      <c r="B20" s="5">
        <v>90563</v>
      </c>
      <c r="C20" s="5">
        <v>140388</v>
      </c>
      <c r="D20" s="7">
        <v>0.26</v>
      </c>
      <c r="F20" s="13"/>
      <c r="G20" s="29"/>
      <c r="H20" s="5"/>
      <c r="I20" s="7"/>
      <c r="J20" s="7"/>
      <c r="K20" s="5"/>
      <c r="L20" s="5"/>
      <c r="M20" s="7"/>
    </row>
    <row r="21" spans="1:13" ht="15.75" x14ac:dyDescent="0.25">
      <c r="A21" t="s">
        <v>11</v>
      </c>
      <c r="B21" s="5">
        <v>140388</v>
      </c>
      <c r="C21" s="5">
        <v>200000</v>
      </c>
      <c r="D21" s="7">
        <v>0.28999999999999998</v>
      </c>
      <c r="F21" s="13"/>
      <c r="G21" s="29"/>
      <c r="H21" s="28"/>
      <c r="I21" s="7"/>
      <c r="J21" s="7"/>
      <c r="K21" s="5"/>
      <c r="L21" s="5"/>
      <c r="M21" s="7"/>
    </row>
    <row r="22" spans="1:13" ht="15.75" x14ac:dyDescent="0.25">
      <c r="B22" s="5">
        <v>200000</v>
      </c>
      <c r="D22" s="7">
        <v>0.33</v>
      </c>
      <c r="F22" s="13"/>
      <c r="G22" s="29"/>
      <c r="H22" s="4"/>
      <c r="I22" s="7"/>
      <c r="J22" s="7"/>
      <c r="K22" s="5"/>
      <c r="M22" s="7"/>
    </row>
    <row r="23" spans="1:13" x14ac:dyDescent="0.25">
      <c r="F23" s="13"/>
      <c r="G23" s="13"/>
    </row>
    <row r="24" spans="1:13" x14ac:dyDescent="0.25">
      <c r="F24" s="13"/>
      <c r="G24" s="13"/>
      <c r="I24" s="9"/>
    </row>
    <row r="25" spans="1:13" x14ac:dyDescent="0.25">
      <c r="A25" s="3" t="s">
        <v>12</v>
      </c>
    </row>
    <row r="26" spans="1:13" x14ac:dyDescent="0.25">
      <c r="A26" s="10" t="s">
        <v>13</v>
      </c>
      <c r="F26" s="10"/>
      <c r="G26" s="10"/>
      <c r="H26" s="30"/>
      <c r="I26" s="10"/>
      <c r="J26" s="30"/>
    </row>
    <row r="27" spans="1:13" ht="15.75" x14ac:dyDescent="0.25">
      <c r="A27" t="s">
        <v>10</v>
      </c>
      <c r="B27">
        <v>0</v>
      </c>
      <c r="C27" s="5">
        <v>41536</v>
      </c>
      <c r="D27" s="7">
        <v>5.0500000000000003E-2</v>
      </c>
      <c r="F27" s="4"/>
      <c r="G27" s="4"/>
      <c r="H27" s="5"/>
      <c r="I27" s="7"/>
    </row>
    <row r="28" spans="1:13" ht="15.75" x14ac:dyDescent="0.25">
      <c r="A28" t="s">
        <v>11</v>
      </c>
      <c r="B28" s="5">
        <v>41536</v>
      </c>
      <c r="C28" s="5">
        <v>83075</v>
      </c>
      <c r="D28" s="7">
        <v>9.1499999999999998E-2</v>
      </c>
      <c r="F28" s="13">
        <v>73145</v>
      </c>
      <c r="G28" s="4"/>
      <c r="H28" s="5"/>
      <c r="I28" s="29"/>
      <c r="J28" s="18"/>
      <c r="K28" s="15"/>
    </row>
    <row r="29" spans="1:13" ht="15.75" x14ac:dyDescent="0.25">
      <c r="A29" t="s">
        <v>11</v>
      </c>
      <c r="B29" s="33">
        <v>83075</v>
      </c>
      <c r="C29" s="5">
        <v>150000</v>
      </c>
      <c r="D29" s="7">
        <v>0.1116</v>
      </c>
      <c r="F29" s="13">
        <v>86176</v>
      </c>
      <c r="G29" s="4"/>
      <c r="H29" s="4"/>
      <c r="I29" s="29"/>
      <c r="J29" s="4"/>
      <c r="K29" s="13"/>
      <c r="M29" s="18"/>
    </row>
    <row r="30" spans="1:13" ht="15.75" x14ac:dyDescent="0.25">
      <c r="A30" t="s">
        <v>11</v>
      </c>
      <c r="B30" s="5">
        <v>150000</v>
      </c>
      <c r="C30" s="5">
        <v>220000</v>
      </c>
      <c r="D30" s="7">
        <v>0.1216</v>
      </c>
      <c r="F30" s="4"/>
      <c r="G30" s="4"/>
      <c r="H30" s="4"/>
      <c r="I30" s="29"/>
      <c r="J30" s="4"/>
      <c r="K30" s="13"/>
      <c r="M30" s="4"/>
    </row>
    <row r="31" spans="1:13" ht="15.75" x14ac:dyDescent="0.25">
      <c r="B31" s="5">
        <v>220000</v>
      </c>
      <c r="D31" s="7">
        <v>0.13159999999999999</v>
      </c>
      <c r="F31" s="4"/>
      <c r="G31" s="4"/>
      <c r="H31" s="4"/>
      <c r="I31" s="29"/>
      <c r="J31" s="4"/>
      <c r="K31" s="13"/>
    </row>
    <row r="32" spans="1:13" x14ac:dyDescent="0.25">
      <c r="F32" s="4"/>
      <c r="G32" s="31"/>
      <c r="H32" s="4"/>
      <c r="I32" s="31"/>
      <c r="J32" s="16"/>
      <c r="K32" s="31"/>
    </row>
    <row r="33" spans="1:16" x14ac:dyDescent="0.25">
      <c r="H33" s="18"/>
      <c r="I33" s="4"/>
      <c r="J33" s="16"/>
    </row>
    <row r="34" spans="1:16" x14ac:dyDescent="0.25">
      <c r="A34" s="2" t="s">
        <v>16</v>
      </c>
      <c r="I34" s="4"/>
      <c r="J34" s="4"/>
      <c r="K34" s="16"/>
    </row>
    <row r="35" spans="1:16" x14ac:dyDescent="0.25">
      <c r="B35" s="11"/>
      <c r="C35" t="s">
        <v>17</v>
      </c>
      <c r="I35" s="4"/>
      <c r="J35" s="4"/>
      <c r="K35" s="16"/>
    </row>
    <row r="36" spans="1:16" x14ac:dyDescent="0.25">
      <c r="I36" s="4"/>
      <c r="J36" s="4"/>
      <c r="K36" s="16"/>
    </row>
    <row r="37" spans="1:16" x14ac:dyDescent="0.25">
      <c r="A37" t="s">
        <v>26</v>
      </c>
      <c r="B37" s="17">
        <f>IF(AND((B4+B12)&gt;=B18,(B4+B12)&lt;=C18),B4*D18,IF(AND((B4+B12)&gt;B19,(B4+B12)&lt;=C19),IF((B4+B12-B19)&gt;B4,B4*D19,((B4+B12-B19)*D19)+((B4-(B4+B12-B19))*D18)),IF(AND((B4+B12)&gt;B20,(B4+B12)&lt;=C20),IF((B4+B12-B20)&gt;B4,B4*D20,IF((B4+B12-B19)&gt;B4,(((B4+B12-B20)*D20)+((B4-(B4+B12-B20))*D19)),((B4+B12-B20)*D20)+((C19-B19)*D19)+((B4-(B4+B12-B19))*D18))),IF(AND((B4+B12)&gt;B21,(B4+B12)&lt;=C21),IF((B4+B12-B21)&gt;B4,B4*D21,IF((B4+B12-B20)&gt;B4,((B4+B12-B21)*D21)+(((B4-(B4+B12-B21))*D20)),IF((B4+B12-B19)&gt;B4,(((B4+B12-B21)*D21)+((C20-B20)*D20)+((B4-(B4+B12-B20))*D19)),((B4+B12-B21)*D21)+((C20-B20)*D20)+((C19-B19)*D19)+((B4-(B4+B12-B19))*D18)))),IF((B4+B12)&gt;B22,IF((B4+B12-B22)&gt;B4,B4*D22,IF((B4+B12-B21)&gt;B4,(((B4+B12-B22)*D22)+((B4-(B4+B12-B22))*D21)),IF((B4+B12-B20)&gt;B4,(((B4+B12-B22)*D22)+((C21-B21)*D21)+((B4-(B4+B12-B21))*D20)),IF((B4+B12-B19)&gt;B4,(((B4+B12-B22)*D22)+((C21-B21)*D21)+((C20-B20)*D20)+((B4-(B4+B12-B20))*D19)),((B4+B12-B22)*D22)+((C21-B21)*D21)+((C20-B20)*D20)+((C19-B19)*D19)+((B4-(B4+B12-B19))*D18))))))))))</f>
        <v>33</v>
      </c>
      <c r="C37" t="s">
        <v>19</v>
      </c>
      <c r="G37" s="3" t="s">
        <v>96</v>
      </c>
      <c r="J37" s="4"/>
      <c r="K37" s="16"/>
    </row>
    <row r="38" spans="1:16" x14ac:dyDescent="0.25">
      <c r="B38" s="12">
        <f>IF(AND((B4+B12)&gt;=B27,(B4+B12)&lt;=C27),B4*D27,IF(AND((B4+B12)&gt;B28,(B4+B12)&lt;=C28),IF((B4+B12-B28)&gt;B4,B4*D28,((B4+B12-B28)*D28)+((B4-(B4+B12-B28))*D27)),IF(AND((B4+B12)&gt;B29,(B4+B12)&lt;=C29),IF((B4+B12-B29)&gt;B4,B4*D29,IF((B4+B12-B28)&gt;B4,(((B4+B12-B29)*D29)+((B4-(B4+B12-B29))*D28)),((B4+B12-B29)*D29)+((C28-B28)*D28)+((B4-(B4+B12-B28))*D27))),IF(AND((B4+B12)&gt;B30,(B4+B12)&lt;=C30),IF((B4+B12-B30)&gt;B4,B4*D30,IF((B4+B12-B29)&gt;B4,(((B4+B12-B30)*D30)+((B4-(B4+B12-B30))*D29)),IF((B4+B12-B28)&gt;B4,(((B4+B12-B30)*D30)+((C29-B29)*D29)+((B4-(B4+B12-B29))*D28)),((B4+B12-B30)*D30)+((C29-B29)*D29)+((C28-B28)*D28)+((B4-(B4+B12-B28))*D27)))),IF((B4+B12)&gt;B31,IF((B4+B12-B31)&gt;B4,B4*D31,IF((B4+B12-B30)&gt;B4,(((B4+B12-B31)*D31)+((B4-(B4+B12-B31))*D30)),IF((B4+B12-B29)&gt;B4,(((B4+B12-B31)*D31)+((C30-B30)*D30)+((B4-(B4+B12-B30))*D29)),IF((B4+B12-B28)&gt;B4,(((B4+B12-B31)*D31)+((C30-B30)*D30)+((C29-B29)*D29)+((B4-(B4+B12-B29))*D28)),((B4+B12-B31)*D31)+((C30-B30)*D30)+((C29-B29)*D29)+((C28-B28)*D28)+((B4-(B4+B12-B28))*D27))))))))))</f>
        <v>12.16</v>
      </c>
      <c r="C38" t="s">
        <v>20</v>
      </c>
      <c r="D38" t="s">
        <v>21</v>
      </c>
      <c r="E38" t="s">
        <v>22</v>
      </c>
      <c r="G38" t="s">
        <v>109</v>
      </c>
    </row>
    <row r="39" spans="1:16" x14ac:dyDescent="0.25">
      <c r="B39" s="12">
        <f>IF(AND((B4+B12)&gt;=E39,(B4+B12)&lt;=C28),IF((B4+B12-E39)&gt;B4,B4*D28*D39,(B4+B12-E39)*D28*D39),IF(AND(B4+B12&gt;B29,(B4+B12)&lt;=C29),IF((B4+B12-B29)&gt;B4,B4*D29*D39,IF((B4+B12-E39)&gt;B4,(((B4+B12-B29)*D29*D39)+((B4-(B4+B12-B29))*D28*D39)),((B4+B12-B29)*D29*D39)+((B29-E39)*D28*D39))),IF(AND(B4+B12&gt;B30,(B4+B12)&lt;=C30),IF((B4+B12-B30)&gt;B4,B4*D30*D39,IF((B4+B12-B29)&gt;B4,(((B4+B12-B30)*D30*D39)+((B4-(B4+B12-B30))*D29*D39)),IF((B4+B12-E39)&gt;B4,(((B4+B12-B30)*D30*D39)+(((C29-B29)*D29*D39))+((B4-(B4+B12-B29))*D28*D39)),(((B4+B12-B30)*D30*D39)+(((C29-B29)*D29*D39))+((C28-E39)*D28*D39))))),IF((B4+B12)&gt;B31,IF((B4+B12-B31)&gt;B4,B4*D31*D39,IF((B4+B12-B30)&gt;B4,(((B4+B12-B31)*D31*D39)+((B4-(B4+B12-B31))*D30*D39)),IF((B4+B12-B29)&gt;B4,(((B4+B12-B31)*D31*D39)+(((C30-B30)*D30*D39))+((B4-(B4+B12-B30))*D29*D39)),IF((B4+B12-E39)&gt;B4,(((B4+B12-B31)*D31*D39)+(((C30-B30)*D30*D39))+(((C29-B29)*D29*D39))+((B4-(B4+B12-B29))*D28*D39)),(((B4+B12-B31)*D31*D39)+(((C30-B30)*D30*D39))+(((C29-B29)*D29*D39))+((C28-E39)*D28*D39))))))))))</f>
        <v>2.4320000000000004</v>
      </c>
      <c r="C39" t="s">
        <v>23</v>
      </c>
      <c r="D39" s="8">
        <v>0.2</v>
      </c>
      <c r="E39" s="13">
        <v>73145</v>
      </c>
      <c r="G39" t="s">
        <v>110</v>
      </c>
      <c r="J39" s="4"/>
      <c r="K39" s="4"/>
      <c r="O39" s="18"/>
      <c r="P39" s="15"/>
    </row>
    <row r="40" spans="1:16" x14ac:dyDescent="0.25">
      <c r="B40" s="12">
        <f>IF(AND(B4+B12&gt;=E40,(B4+B12)&lt;=C29),IF((B4+B12-E40)&gt;B4,B4*D29*D40,(B4+B12-E40)*D29*D40),IF(AND((B4+B12)&gt;B30,(B4+B12)&lt;=C30),IF((B4+B12-B30)&gt;B4,B4*D30*D40,IF((B4+B12-E40)&gt;B4,(((B4+B12-B30)*D30*D40)+((B4-(B4+B12-B30))*D29*D40)),((B4+B12-B30)*D30*D40)+((C29-E40)*D29*D40))),IF((B4+B12)&gt;B31,IF((B4+B12-B31)&gt;B4,B4*D31*D40,IF((B4+B12-B30)&gt;B4,(((B4+B12-B31)*D31*D40)+((B4-(B4+B12-B31))*D30*D40)),IF((B4+B12-E40)&gt;B4,(((B4+B12-B31)*D31*D40)+(((C30-B30)*D30*D40))+((B4-(B4+B12-B30))*D29*D40)),((B4+B12-B31)*D31*D40)+((C30-B30)*D30*D40)+((C29-E40)*D29*D40)))))))</f>
        <v>4.3776000000000002</v>
      </c>
      <c r="C40" t="s">
        <v>23</v>
      </c>
      <c r="D40" s="8">
        <v>0.36</v>
      </c>
      <c r="E40" s="13">
        <v>86176</v>
      </c>
      <c r="G40" t="s">
        <v>111</v>
      </c>
      <c r="J40" s="4"/>
      <c r="K40" s="4"/>
    </row>
    <row r="41" spans="1:16" x14ac:dyDescent="0.25">
      <c r="A41" t="s">
        <v>28</v>
      </c>
      <c r="B41" s="14">
        <f>SUM(B37:B40)</f>
        <v>51.9696</v>
      </c>
      <c r="G41" t="s">
        <v>112</v>
      </c>
      <c r="J41" s="18"/>
      <c r="K41" s="4"/>
    </row>
    <row r="42" spans="1:16" x14ac:dyDescent="0.25">
      <c r="E42" s="18">
        <f>E39-B28</f>
        <v>31609</v>
      </c>
      <c r="G42" t="s">
        <v>113</v>
      </c>
      <c r="P42" s="15"/>
    </row>
    <row r="43" spans="1:16" x14ac:dyDescent="0.25">
      <c r="B43" s="13"/>
    </row>
    <row r="44" spans="1:16" x14ac:dyDescent="0.25">
      <c r="B44" s="13"/>
    </row>
    <row r="45" spans="1:16" x14ac:dyDescent="0.25">
      <c r="B45" s="13"/>
      <c r="G45" s="3" t="s">
        <v>97</v>
      </c>
    </row>
    <row r="46" spans="1:16" x14ac:dyDescent="0.25">
      <c r="B46" s="13"/>
      <c r="G46" t="s">
        <v>114</v>
      </c>
    </row>
    <row r="47" spans="1:16" x14ac:dyDescent="0.25">
      <c r="B47" s="13"/>
      <c r="G47" t="s">
        <v>115</v>
      </c>
    </row>
    <row r="48" spans="1:16" x14ac:dyDescent="0.25">
      <c r="B48" s="13"/>
      <c r="G48" t="s">
        <v>116</v>
      </c>
    </row>
    <row r="49" spans="2:12" x14ac:dyDescent="0.25">
      <c r="B49" s="13"/>
      <c r="G49" t="s">
        <v>117</v>
      </c>
    </row>
    <row r="50" spans="2:12" x14ac:dyDescent="0.25">
      <c r="B50" s="13"/>
      <c r="G50" t="s">
        <v>118</v>
      </c>
    </row>
    <row r="51" spans="2:12" x14ac:dyDescent="0.25">
      <c r="B51" s="13"/>
    </row>
    <row r="52" spans="2:12" x14ac:dyDescent="0.25">
      <c r="B52" s="15"/>
      <c r="G52" s="32" t="s">
        <v>29</v>
      </c>
    </row>
    <row r="53" spans="2:12" x14ac:dyDescent="0.25">
      <c r="G53" s="25" t="s">
        <v>119</v>
      </c>
    </row>
    <row r="54" spans="2:12" x14ac:dyDescent="0.25">
      <c r="G54" s="25" t="s">
        <v>120</v>
      </c>
      <c r="H54" s="4"/>
      <c r="I54" s="4"/>
    </row>
    <row r="55" spans="2:12" x14ac:dyDescent="0.25">
      <c r="G55" s="25" t="s">
        <v>121</v>
      </c>
    </row>
    <row r="56" spans="2:12" x14ac:dyDescent="0.25">
      <c r="G56" s="25" t="s">
        <v>122</v>
      </c>
    </row>
    <row r="58" spans="2:12" x14ac:dyDescent="0.25">
      <c r="G58" s="3" t="s">
        <v>30</v>
      </c>
      <c r="L58" s="27"/>
    </row>
    <row r="59" spans="2:12" x14ac:dyDescent="0.25">
      <c r="G59" t="s">
        <v>123</v>
      </c>
    </row>
    <row r="60" spans="2:12" x14ac:dyDescent="0.25">
      <c r="G60" t="s">
        <v>124</v>
      </c>
    </row>
    <row r="61" spans="2:12" x14ac:dyDescent="0.25">
      <c r="G61" t="s">
        <v>125</v>
      </c>
    </row>
  </sheetData>
  <dataValidations disablePrompts="1" count="1">
    <dataValidation type="list" allowBlank="1" showInputMessage="1" showErrorMessage="1" sqref="B8">
      <formula1>$G$1:$G$13</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U108"/>
  <sheetViews>
    <sheetView zoomScaleNormal="100" workbookViewId="0">
      <selection activeCell="H21" sqref="H21"/>
    </sheetView>
  </sheetViews>
  <sheetFormatPr defaultRowHeight="15" x14ac:dyDescent="0.25"/>
  <cols>
    <col min="1" max="1" width="29.42578125" customWidth="1"/>
    <col min="2" max="2" width="8.28515625" customWidth="1"/>
    <col min="3" max="3" width="11.7109375" customWidth="1"/>
    <col min="4" max="4" width="9.5703125" bestFit="1" customWidth="1"/>
    <col min="5" max="5" width="9" bestFit="1" customWidth="1"/>
    <col min="6" max="6" width="10.5703125" bestFit="1" customWidth="1"/>
    <col min="7" max="7" width="9.5703125" customWidth="1"/>
    <col min="8" max="8" width="10.85546875" customWidth="1"/>
    <col min="9" max="9" width="10.5703125" bestFit="1" customWidth="1"/>
  </cols>
  <sheetData>
    <row r="1" spans="1:21" x14ac:dyDescent="0.25">
      <c r="C1" s="1"/>
      <c r="D1" t="s">
        <v>0</v>
      </c>
      <c r="F1" t="s">
        <v>79</v>
      </c>
    </row>
    <row r="2" spans="1:21" x14ac:dyDescent="0.25">
      <c r="A2" s="2" t="s">
        <v>2</v>
      </c>
      <c r="B2" s="2"/>
      <c r="F2" t="s">
        <v>80</v>
      </c>
    </row>
    <row r="3" spans="1:21" x14ac:dyDescent="0.25">
      <c r="A3" s="3" t="s">
        <v>133</v>
      </c>
      <c r="B3" s="3"/>
      <c r="F3" t="s">
        <v>186</v>
      </c>
    </row>
    <row r="4" spans="1:21" x14ac:dyDescent="0.25">
      <c r="A4" s="3"/>
      <c r="B4" s="3"/>
    </row>
    <row r="5" spans="1:21" x14ac:dyDescent="0.25">
      <c r="A5" s="34" t="s">
        <v>134</v>
      </c>
      <c r="B5" s="34"/>
      <c r="C5" s="1">
        <v>0</v>
      </c>
      <c r="D5" s="36" t="str">
        <f>IF(C5=0,"You are not eligible to claim a deduction for child care expense."," ")</f>
        <v>You are not eligible to claim a deduction for child care expense.</v>
      </c>
    </row>
    <row r="6" spans="1:21" x14ac:dyDescent="0.25">
      <c r="A6" s="34"/>
      <c r="B6" s="34"/>
    </row>
    <row r="7" spans="1:21" x14ac:dyDescent="0.25">
      <c r="C7" s="34" t="s">
        <v>135</v>
      </c>
      <c r="E7" s="34" t="s">
        <v>140</v>
      </c>
      <c r="G7" s="34" t="s">
        <v>143</v>
      </c>
      <c r="I7" s="34" t="s">
        <v>144</v>
      </c>
      <c r="K7" s="34" t="s">
        <v>145</v>
      </c>
      <c r="M7" s="34" t="s">
        <v>146</v>
      </c>
      <c r="O7" s="34" t="s">
        <v>147</v>
      </c>
      <c r="Q7" s="34" t="s">
        <v>148</v>
      </c>
      <c r="S7" s="34" t="s">
        <v>149</v>
      </c>
      <c r="U7" s="34" t="s">
        <v>150</v>
      </c>
    </row>
    <row r="8" spans="1:21" x14ac:dyDescent="0.25">
      <c r="A8" s="34" t="s">
        <v>136</v>
      </c>
      <c r="B8" s="35"/>
      <c r="C8" s="1">
        <v>2</v>
      </c>
      <c r="E8" s="1">
        <v>13</v>
      </c>
      <c r="G8" s="1">
        <v>0</v>
      </c>
      <c r="I8" s="1">
        <v>0</v>
      </c>
      <c r="K8" s="1">
        <v>0</v>
      </c>
      <c r="M8" s="1">
        <v>0</v>
      </c>
      <c r="O8" s="1">
        <v>0</v>
      </c>
      <c r="Q8" s="1">
        <v>0</v>
      </c>
      <c r="S8" s="1">
        <v>0</v>
      </c>
      <c r="U8" s="1">
        <v>0</v>
      </c>
    </row>
    <row r="9" spans="1:21" x14ac:dyDescent="0.25">
      <c r="A9" t="s">
        <v>152</v>
      </c>
      <c r="C9" s="1">
        <v>4000</v>
      </c>
      <c r="E9" s="1">
        <v>2000</v>
      </c>
      <c r="G9" s="1">
        <v>0</v>
      </c>
      <c r="I9" s="1">
        <v>0</v>
      </c>
      <c r="K9" s="1">
        <v>0</v>
      </c>
      <c r="M9" s="1">
        <v>0</v>
      </c>
      <c r="O9" s="1">
        <v>0</v>
      </c>
      <c r="Q9" s="1">
        <v>0</v>
      </c>
      <c r="S9" s="1">
        <v>0</v>
      </c>
      <c r="U9" s="1">
        <v>0</v>
      </c>
    </row>
    <row r="10" spans="1:21" x14ac:dyDescent="0.25">
      <c r="C10" s="25"/>
      <c r="E10" s="25"/>
      <c r="G10" s="25"/>
      <c r="I10" s="25"/>
      <c r="K10" s="25"/>
      <c r="M10" s="25"/>
      <c r="O10" s="25"/>
      <c r="Q10" s="25"/>
      <c r="S10" s="25"/>
      <c r="U10" s="25"/>
    </row>
    <row r="12" spans="1:21" x14ac:dyDescent="0.25">
      <c r="A12" s="34"/>
      <c r="B12" s="3"/>
    </row>
    <row r="13" spans="1:21" x14ac:dyDescent="0.25">
      <c r="A13" s="19" t="s">
        <v>153</v>
      </c>
      <c r="C13" s="19" t="s">
        <v>165</v>
      </c>
      <c r="E13" s="25"/>
      <c r="G13" s="25"/>
      <c r="I13" s="25"/>
      <c r="K13" s="25"/>
      <c r="M13" s="25"/>
      <c r="O13" s="25"/>
      <c r="Q13" s="25"/>
      <c r="S13" s="25"/>
      <c r="U13" s="25"/>
    </row>
    <row r="14" spans="1:21" x14ac:dyDescent="0.25">
      <c r="A14" t="s">
        <v>153</v>
      </c>
      <c r="C14">
        <v>8000</v>
      </c>
      <c r="E14" s="25"/>
      <c r="G14" s="25"/>
      <c r="I14" s="25"/>
      <c r="K14" s="25"/>
      <c r="M14" s="25"/>
      <c r="O14" s="25"/>
      <c r="Q14" s="25"/>
      <c r="S14" s="25"/>
      <c r="U14" s="25"/>
    </row>
    <row r="15" spans="1:21" x14ac:dyDescent="0.25">
      <c r="C15" s="27"/>
      <c r="E15" s="12"/>
      <c r="G15" s="12"/>
      <c r="I15" s="12"/>
      <c r="K15" s="12"/>
      <c r="M15" s="12"/>
      <c r="O15" s="12"/>
      <c r="Q15" s="12"/>
      <c r="S15" s="12"/>
      <c r="U15" s="12"/>
    </row>
    <row r="16" spans="1:21" x14ac:dyDescent="0.25">
      <c r="A16" s="19" t="s">
        <v>154</v>
      </c>
      <c r="C16" s="27"/>
      <c r="E16" s="12"/>
      <c r="G16" s="12"/>
      <c r="I16" s="12"/>
      <c r="K16" s="12"/>
      <c r="M16" s="12"/>
      <c r="O16" s="12"/>
      <c r="Q16" s="12"/>
      <c r="S16" s="12"/>
      <c r="U16" s="12"/>
    </row>
    <row r="17" spans="1:21" x14ac:dyDescent="0.25">
      <c r="A17" t="s">
        <v>154</v>
      </c>
      <c r="C17">
        <v>5000</v>
      </c>
      <c r="E17" s="25"/>
      <c r="G17" s="25"/>
      <c r="I17" s="25"/>
      <c r="K17" s="25"/>
      <c r="M17" s="25"/>
      <c r="O17" s="25"/>
      <c r="Q17" s="25"/>
      <c r="S17" s="25"/>
      <c r="U17" s="25"/>
    </row>
    <row r="18" spans="1:21" x14ac:dyDescent="0.25">
      <c r="A18" s="25"/>
      <c r="B18" s="25"/>
      <c r="C18" s="25"/>
    </row>
    <row r="19" spans="1:21" x14ac:dyDescent="0.25">
      <c r="A19" t="s">
        <v>167</v>
      </c>
      <c r="B19" s="27"/>
      <c r="C19" s="12">
        <f>IF(AND((C8&gt;=0),(C8&lt;7)),$C$14,IF(AND((C8&gt;=7),(C8&lt;16)),$C$17,0))</f>
        <v>8000</v>
      </c>
      <c r="E19" s="12">
        <f>IF(AND((E8&gt;=1),(E8&lt;7)),$C$14,IF(AND((E8&gt;=7),(E8&lt;16)),$C$17,0))</f>
        <v>5000</v>
      </c>
      <c r="G19" s="12">
        <f>IF(AND((G8&gt;=1),(G8&lt;7)),$C$14,IF(AND((G8&gt;=7),(G8&lt;16)),$C$17,0))</f>
        <v>0</v>
      </c>
      <c r="I19" s="12">
        <f>IF(AND((I8&gt;=1),(I8&lt;7)),$C$14,IF(AND((I8&gt;=7),(I8&lt;16)),$C$17,0))</f>
        <v>0</v>
      </c>
      <c r="K19" s="12">
        <f>IF(AND((K8&gt;=1),(K8&lt;7)),$C$14,IF(AND((K8&gt;=7),(K8&lt;16)),$C$17,0))</f>
        <v>0</v>
      </c>
      <c r="M19" s="12">
        <f>IF(AND((M8&gt;=1),(M8&lt;7)),$C$14,IF(AND((M8&gt;=7),(M8&lt;16)),$C$17,0))</f>
        <v>0</v>
      </c>
      <c r="O19" s="12">
        <f>IF(AND((O8&gt;=1),(O8&lt;7)),$C$14,IF(AND((O8&gt;=7),(O8&lt;16)),$C$17,0))</f>
        <v>0</v>
      </c>
      <c r="Q19" s="12">
        <f>IF(AND((Q8&gt;=1),(Q8&lt;7)),$C$14,IF(AND((Q8&gt;=7),(Q8&lt;16)),$C$17,0))</f>
        <v>0</v>
      </c>
      <c r="S19" s="12">
        <f>IF(AND((S8&gt;=1),(S8&lt;7)),$C$14,IF(AND((S8&gt;=7),(S8&lt;16)),$C$17,0))</f>
        <v>0</v>
      </c>
      <c r="U19" s="12">
        <f>IF(AND((U8&gt;=1),(U8&lt;7)),$C$14,IF(AND((U8&gt;=7),(U8&lt;16)),$C$17,0))</f>
        <v>0</v>
      </c>
    </row>
    <row r="20" spans="1:21" x14ac:dyDescent="0.25">
      <c r="A20" t="s">
        <v>156</v>
      </c>
      <c r="B20" s="27"/>
      <c r="C20" s="12">
        <f>C19+E19+G19+I19+K19+M19+O19+Q19+S19+U19</f>
        <v>13000</v>
      </c>
      <c r="D20" s="2" t="s">
        <v>166</v>
      </c>
    </row>
    <row r="21" spans="1:21" x14ac:dyDescent="0.25">
      <c r="A21" s="25"/>
      <c r="B21" s="25"/>
      <c r="C21" s="25"/>
    </row>
    <row r="22" spans="1:21" x14ac:dyDescent="0.25">
      <c r="A22" t="s">
        <v>157</v>
      </c>
      <c r="B22" s="27"/>
      <c r="C22" s="12">
        <f>C9+E9+G9+I9+K9+M9+O9+Q9+S9+U9</f>
        <v>6000</v>
      </c>
      <c r="D22" s="2" t="s">
        <v>168</v>
      </c>
    </row>
    <row r="23" spans="1:21" x14ac:dyDescent="0.25">
      <c r="B23" s="27"/>
      <c r="C23" s="12"/>
    </row>
    <row r="24" spans="1:21" ht="15" customHeight="1" x14ac:dyDescent="0.25">
      <c r="A24" t="s">
        <v>66</v>
      </c>
      <c r="C24" s="22">
        <v>20000</v>
      </c>
      <c r="D24" s="58" t="s">
        <v>193</v>
      </c>
      <c r="E24" s="58"/>
      <c r="F24" s="58"/>
      <c r="G24" s="58"/>
    </row>
    <row r="25" spans="1:21" x14ac:dyDescent="0.25">
      <c r="A25" t="s">
        <v>169</v>
      </c>
      <c r="C25" s="22">
        <v>10000</v>
      </c>
      <c r="D25" s="58"/>
      <c r="E25" s="58"/>
      <c r="F25" s="58"/>
      <c r="G25" s="58"/>
    </row>
    <row r="26" spans="1:21" x14ac:dyDescent="0.25">
      <c r="A26" s="25" t="s">
        <v>155</v>
      </c>
      <c r="B26" s="25"/>
      <c r="C26" s="12">
        <f>SUM(C24:C25)</f>
        <v>30000</v>
      </c>
    </row>
    <row r="27" spans="1:21" x14ac:dyDescent="0.25">
      <c r="A27" t="s">
        <v>158</v>
      </c>
      <c r="B27" s="27">
        <f>2/3</f>
        <v>0.66666666666666663</v>
      </c>
      <c r="C27" s="12">
        <f>C26*B27</f>
        <v>20000</v>
      </c>
      <c r="D27" s="2" t="s">
        <v>188</v>
      </c>
    </row>
    <row r="28" spans="1:21" x14ac:dyDescent="0.25">
      <c r="A28" s="3"/>
      <c r="B28" s="3"/>
    </row>
    <row r="29" spans="1:21" ht="31.5" customHeight="1" x14ac:dyDescent="0.25">
      <c r="A29" s="57" t="s">
        <v>187</v>
      </c>
      <c r="B29" s="57"/>
      <c r="C29" s="1" t="s">
        <v>80</v>
      </c>
      <c r="D29" s="36" t="str">
        <f>IF(C29="Yes","Generally, the spouse or common-law partner with lower net income must claim the child care expense."," ")</f>
        <v xml:space="preserve"> </v>
      </c>
    </row>
    <row r="30" spans="1:21" x14ac:dyDescent="0.25">
      <c r="A30" s="3"/>
      <c r="B30" s="3"/>
    </row>
    <row r="31" spans="1:21" x14ac:dyDescent="0.25">
      <c r="A31" s="10" t="s">
        <v>201</v>
      </c>
      <c r="B31" s="3"/>
      <c r="C31" s="10">
        <f>IF(C29="Yes",0,MIN(C20,C22,C27))</f>
        <v>6000</v>
      </c>
    </row>
    <row r="32" spans="1:21" x14ac:dyDescent="0.25">
      <c r="A32" s="3"/>
      <c r="B32" s="3"/>
    </row>
    <row r="33" spans="1:5" ht="61.5" customHeight="1" x14ac:dyDescent="0.25">
      <c r="A33" s="57" t="s">
        <v>191</v>
      </c>
      <c r="B33" s="57"/>
      <c r="C33" s="1" t="s">
        <v>80</v>
      </c>
      <c r="D33" s="44" t="s">
        <v>192</v>
      </c>
    </row>
    <row r="34" spans="1:5" x14ac:dyDescent="0.25">
      <c r="A34" s="3"/>
      <c r="B34" s="3"/>
      <c r="D34" s="36" t="str">
        <f>IF(C33="No","You may not be eligible to claim a deduction on child care expense."," ")</f>
        <v>You may not be eligible to claim a deduction on child care expense.</v>
      </c>
    </row>
    <row r="35" spans="1:5" x14ac:dyDescent="0.25">
      <c r="A35" s="34"/>
      <c r="B35" s="3"/>
    </row>
    <row r="36" spans="1:5" ht="46.5" customHeight="1" x14ac:dyDescent="0.25">
      <c r="A36" s="57" t="s">
        <v>194</v>
      </c>
      <c r="B36" s="57"/>
      <c r="C36" s="1">
        <v>3</v>
      </c>
      <c r="D36" s="44" t="s">
        <v>196</v>
      </c>
      <c r="E36" s="44" t="s">
        <v>198</v>
      </c>
    </row>
    <row r="37" spans="1:5" x14ac:dyDescent="0.25">
      <c r="A37" s="3"/>
      <c r="B37" s="3"/>
      <c r="D37" s="44"/>
    </row>
    <row r="38" spans="1:5" ht="47.25" customHeight="1" x14ac:dyDescent="0.25">
      <c r="A38" s="57" t="s">
        <v>195</v>
      </c>
      <c r="B38" s="57"/>
      <c r="C38" s="1">
        <v>4</v>
      </c>
      <c r="D38" s="44" t="s">
        <v>197</v>
      </c>
    </row>
    <row r="39" spans="1:5" x14ac:dyDescent="0.25">
      <c r="A39" s="3"/>
      <c r="B39" s="3"/>
    </row>
    <row r="40" spans="1:5" x14ac:dyDescent="0.25">
      <c r="A40" s="34" t="s">
        <v>156</v>
      </c>
      <c r="B40" s="45">
        <v>2.5000000000000001E-2</v>
      </c>
      <c r="C40" s="18">
        <f>IF(C33="Yes",C20*B40,0)</f>
        <v>0</v>
      </c>
    </row>
    <row r="41" spans="1:5" x14ac:dyDescent="0.25">
      <c r="A41" s="34" t="s">
        <v>199</v>
      </c>
      <c r="B41" s="34"/>
      <c r="C41" s="18">
        <f>C40*C36</f>
        <v>0</v>
      </c>
    </row>
    <row r="42" spans="1:5" x14ac:dyDescent="0.25">
      <c r="A42" s="34" t="s">
        <v>200</v>
      </c>
      <c r="B42" s="34"/>
      <c r="C42" s="48">
        <f>C40*C38</f>
        <v>0</v>
      </c>
    </row>
    <row r="43" spans="1:5" x14ac:dyDescent="0.25">
      <c r="A43" s="34"/>
      <c r="B43" s="34"/>
      <c r="C43" s="18">
        <f>SUM(C40:C42)</f>
        <v>0</v>
      </c>
    </row>
    <row r="44" spans="1:5" x14ac:dyDescent="0.25">
      <c r="A44" s="34"/>
      <c r="B44" s="34"/>
      <c r="C44" s="18"/>
    </row>
    <row r="45" spans="1:5" x14ac:dyDescent="0.25">
      <c r="A45" s="34" t="s">
        <v>204</v>
      </c>
      <c r="B45" s="34"/>
      <c r="C45" s="18">
        <f>MIN(C20,C22,C27)</f>
        <v>6000</v>
      </c>
    </row>
    <row r="46" spans="1:5" x14ac:dyDescent="0.25">
      <c r="A46" s="34"/>
      <c r="B46" s="34"/>
      <c r="C46" s="18"/>
    </row>
    <row r="47" spans="1:5" x14ac:dyDescent="0.25">
      <c r="A47" s="10" t="s">
        <v>202</v>
      </c>
      <c r="B47" s="34"/>
      <c r="C47" s="18">
        <f>MIN(C43,C45)</f>
        <v>0</v>
      </c>
    </row>
    <row r="48" spans="1:5" x14ac:dyDescent="0.25">
      <c r="A48" s="3"/>
      <c r="B48" s="3"/>
    </row>
    <row r="49" spans="1:11" x14ac:dyDescent="0.25">
      <c r="A49" s="10" t="s">
        <v>203</v>
      </c>
      <c r="C49" s="46">
        <f>C31+C47</f>
        <v>6000</v>
      </c>
      <c r="D49" s="2" t="s">
        <v>190</v>
      </c>
    </row>
    <row r="51" spans="1:11" x14ac:dyDescent="0.25">
      <c r="A51" s="2" t="s">
        <v>5</v>
      </c>
      <c r="B51" s="2"/>
    </row>
    <row r="52" spans="1:11" x14ac:dyDescent="0.25">
      <c r="A52" t="s">
        <v>6</v>
      </c>
      <c r="C52" s="1" t="s">
        <v>1</v>
      </c>
    </row>
    <row r="56" spans="1:11" x14ac:dyDescent="0.25">
      <c r="A56" t="s">
        <v>7</v>
      </c>
      <c r="C56" s="1">
        <v>200000</v>
      </c>
    </row>
    <row r="59" spans="1:11" x14ac:dyDescent="0.25">
      <c r="A59" s="2" t="s">
        <v>8</v>
      </c>
      <c r="B59" s="2"/>
      <c r="K59" s="4"/>
    </row>
    <row r="60" spans="1:11" x14ac:dyDescent="0.25">
      <c r="A60" s="3" t="s">
        <v>9</v>
      </c>
      <c r="B60" s="3"/>
    </row>
    <row r="62" spans="1:11" ht="15.75" x14ac:dyDescent="0.25">
      <c r="A62" t="s">
        <v>10</v>
      </c>
      <c r="C62" s="4">
        <v>0</v>
      </c>
      <c r="D62" s="5">
        <v>45282</v>
      </c>
      <c r="E62" s="6">
        <v>0.15</v>
      </c>
      <c r="G62" s="4"/>
      <c r="H62" s="13"/>
    </row>
    <row r="63" spans="1:11" ht="15.75" x14ac:dyDescent="0.25">
      <c r="A63" t="s">
        <v>11</v>
      </c>
      <c r="C63" s="5">
        <v>45282</v>
      </c>
      <c r="D63" s="5">
        <v>90563</v>
      </c>
      <c r="E63" s="7">
        <v>0.20499999999999999</v>
      </c>
      <c r="G63" s="4"/>
      <c r="H63" s="13"/>
    </row>
    <row r="64" spans="1:11" ht="15.75" x14ac:dyDescent="0.25">
      <c r="A64" t="s">
        <v>11</v>
      </c>
      <c r="C64" s="5">
        <v>90563</v>
      </c>
      <c r="D64" s="5">
        <v>140388</v>
      </c>
      <c r="E64" s="7">
        <v>0.26</v>
      </c>
      <c r="G64" s="4"/>
      <c r="H64" s="13"/>
    </row>
    <row r="65" spans="1:11" ht="15.75" x14ac:dyDescent="0.25">
      <c r="A65" t="s">
        <v>11</v>
      </c>
      <c r="C65" s="5">
        <v>140388</v>
      </c>
      <c r="D65" s="5">
        <v>200000</v>
      </c>
      <c r="E65" s="7">
        <v>0.28999999999999998</v>
      </c>
      <c r="G65" s="4"/>
      <c r="H65" s="13"/>
    </row>
    <row r="66" spans="1:11" ht="15.75" x14ac:dyDescent="0.25">
      <c r="C66" s="5">
        <v>200000</v>
      </c>
      <c r="E66" s="7">
        <v>0.33</v>
      </c>
      <c r="G66" s="4"/>
      <c r="H66" s="13"/>
    </row>
    <row r="67" spans="1:11" x14ac:dyDescent="0.25">
      <c r="G67" s="4"/>
      <c r="H67" s="18"/>
    </row>
    <row r="68" spans="1:11" x14ac:dyDescent="0.25">
      <c r="J68" s="9"/>
    </row>
    <row r="69" spans="1:11" x14ac:dyDescent="0.25">
      <c r="A69" s="3" t="s">
        <v>12</v>
      </c>
      <c r="B69" s="3"/>
    </row>
    <row r="70" spans="1:11" x14ac:dyDescent="0.25">
      <c r="A70" s="10" t="s">
        <v>13</v>
      </c>
      <c r="B70" s="10"/>
    </row>
    <row r="71" spans="1:11" ht="15.75" x14ac:dyDescent="0.25">
      <c r="A71" t="s">
        <v>10</v>
      </c>
      <c r="C71">
        <v>0</v>
      </c>
      <c r="D71" s="5">
        <v>41536</v>
      </c>
      <c r="E71" s="7">
        <v>5.0500000000000003E-2</v>
      </c>
      <c r="G71" s="4"/>
    </row>
    <row r="72" spans="1:11" ht="15.75" x14ac:dyDescent="0.25">
      <c r="A72" t="s">
        <v>11</v>
      </c>
      <c r="C72" s="5">
        <v>41536</v>
      </c>
      <c r="D72" s="5">
        <v>83075</v>
      </c>
      <c r="E72" s="7">
        <v>9.1499999999999998E-2</v>
      </c>
      <c r="F72" s="13"/>
      <c r="G72" s="4"/>
      <c r="K72" s="18"/>
    </row>
    <row r="73" spans="1:11" ht="15.75" x14ac:dyDescent="0.25">
      <c r="A73" t="s">
        <v>11</v>
      </c>
      <c r="C73" s="5">
        <v>83075</v>
      </c>
      <c r="D73" s="5">
        <v>150000</v>
      </c>
      <c r="E73" s="7">
        <v>0.1116</v>
      </c>
      <c r="F73" s="13"/>
      <c r="G73" s="4"/>
      <c r="K73" s="4"/>
    </row>
    <row r="74" spans="1:11" ht="15.75" x14ac:dyDescent="0.25">
      <c r="A74" t="s">
        <v>11</v>
      </c>
      <c r="C74" s="5">
        <v>150000</v>
      </c>
      <c r="D74" s="5">
        <v>220000</v>
      </c>
      <c r="E74" s="7">
        <v>0.1216</v>
      </c>
      <c r="G74" s="4"/>
      <c r="K74" s="4"/>
    </row>
    <row r="75" spans="1:11" ht="15.75" x14ac:dyDescent="0.25">
      <c r="C75" s="5">
        <v>220000</v>
      </c>
      <c r="E75" s="7">
        <v>0.13159999999999999</v>
      </c>
      <c r="G75" s="4"/>
      <c r="K75" s="4"/>
    </row>
    <row r="77" spans="1:11" x14ac:dyDescent="0.25">
      <c r="A77" s="2" t="s">
        <v>14</v>
      </c>
      <c r="B77" s="2"/>
    </row>
    <row r="78" spans="1:11" x14ac:dyDescent="0.25">
      <c r="A78" t="s">
        <v>15</v>
      </c>
    </row>
    <row r="81" spans="1:8" x14ac:dyDescent="0.25">
      <c r="A81" s="2" t="s">
        <v>16</v>
      </c>
      <c r="B81" s="2"/>
    </row>
    <row r="82" spans="1:8" x14ac:dyDescent="0.25">
      <c r="C82" s="11"/>
      <c r="D82" t="s">
        <v>17</v>
      </c>
      <c r="H82" s="3" t="s">
        <v>96</v>
      </c>
    </row>
    <row r="83" spans="1:8" x14ac:dyDescent="0.25">
      <c r="H83" t="s">
        <v>31</v>
      </c>
    </row>
    <row r="84" spans="1:8" x14ac:dyDescent="0.25">
      <c r="A84" t="s">
        <v>18</v>
      </c>
      <c r="C84" s="13">
        <f>IF(AND(C56&gt;=C62,C56&lt;=D62),C49*E62,IF(AND(C56&gt;C63,C56&lt;=D63),IF((C56-C63)&gt;C49,C49*E63,((C56-C63)*E63)+((C49-(C56-C63))*E62)),IF(AND(C56&gt;C64,C56&lt;=D64),IF((C56-C64)&gt;C49,C49*E64,IF((C56-C63)&gt;C49,(((C56-C64)*E64)+((C49-(C56-C64))*E63)),(((C56-C64)*E64))+((C64-C63)*E63)+((C49-(C56-C63))*E62))),IF(AND(C56&gt;C65,C56&lt;=D65),IF((C56-C65)&gt;C49,C49*E65,IF((C56-C64)&gt;C49,((C56-C65)*E65)+((C49-(C56-C65))*E64),IF((C56-C63)&gt;C49,((C56-C65)*E65)+((C65-C64)*E64)+((C49-(C56-C64))*E63),((C56-C65)*E65)+((C65-C64)*E64)+((C64-C63)*E63)+((C49-(C56-C63))*E62)))),IF(C56&gt;C66,IF((C56-C66)&gt;C49,C49*E66,IF((C56-C65)&gt;C49,((C56-C66)*E66)+((C49-(C56-C66))*E65),IF((C56-C64)&gt;C49,((C56-C66)*E66)+((C66-C65)*E65)+((C49-(C56-C65))*E64),IF((C56-C63)&gt;C49,((C56-C66)*E66)+((C66-C65)*E65)+((C65-C64)*E64)+((C49-(C56-C64))*E63),((C56-C66)*E66)+((C66-C65)*E65)+((C65-C64)*E64)+((C64-C63)*E63)+((C49-(C56-C63))*E62))))))))))</f>
        <v>1739.9999999999998</v>
      </c>
      <c r="D84" t="s">
        <v>19</v>
      </c>
      <c r="H84" t="s">
        <v>32</v>
      </c>
    </row>
    <row r="85" spans="1:8" x14ac:dyDescent="0.25">
      <c r="C85" s="12">
        <f>IF(AND(C56&gt;=C71,C56&lt;=D71),C49*E71,IF(AND(C56&gt;C72,C56&lt;=D72),IF((C56-C72)&gt;C49,C49*E72,((C56-C72)*E72)+((C49-(C56-C72))*E71)),IF(AND(C56&gt;C73,C56&lt;=D73),IF((C56-C73)&gt;C49,C49*E73,IF((C56-C72)&gt;C49,(((C56-C73)*E73)+((C49-(C56-C73))*E72)),(((C56-C73)*E73))+((C73-C72)*E72)+((C49-(C56-C72))*E71))),IF(AND(C56&gt;C74,C56&lt;=D74),IF((C56-C74)&gt;C49,C49*E74,IF((C56-C73)&gt;C49,((C56-C74)*E74)+((C49-(C56-C74))*E73),IF((C56-C72)&gt;C49,((C56-C74)*E74)+((C74-C73)*E73)+((C49-(C56-C73))*E72),((C56-C74)*E74)+((C74-C73)*E73)+((C73-C72)*E72)+((C49-(C56-C72))*E71)))),IF(C56&gt;C75,IF((C56-C75)&gt;C49,C49*E75,IF((C56-C74)&gt;C49,((C56-C75)*E75)+((C49-(C56-C75))*E74),IF((C56-C73)&gt;C49,((C56-C75)*E75)+((C75-C74)*E74)+((C49-(C56-C74))*E73),IF((C56-C72)&gt;C49,((C56-C75)*E75)+((C75-C74)*E74)+((C74-C73)*E73)+((C49-(C56-C73))*E72),((C56-C75)*E75)+((C75-C74)*E74)+((C74-C73)*E73)+((C73-C72)*E72)+((C49-(C56-C72))*E71))))))))))</f>
        <v>729.6</v>
      </c>
      <c r="D85" t="s">
        <v>20</v>
      </c>
      <c r="E85" t="s">
        <v>21</v>
      </c>
      <c r="F85" t="s">
        <v>22</v>
      </c>
      <c r="H85" t="s">
        <v>95</v>
      </c>
    </row>
    <row r="86" spans="1:8" x14ac:dyDescent="0.25">
      <c r="C86" s="12">
        <f>IF(AND(C56&gt;F86,C56&lt;=D72),IF((C56-F86)&gt;C49,C49*E72*E86,(C56-F86)*E72*E86),IF(AND(C56&gt;C73,C56&lt;=D73),IF((C56-C73)&gt;C49,C49*E73*E86,IF((C56-F86)&gt;C49,((C56-C73)*E73*E86)+((C49-(C56-C73))*E72*E86),((C56-C73)*E73*E86)+((C73-F86))*E72*E86)),IF(AND(C56&gt;C74,C56&lt;=D74),IF((C56-C74)&gt;C49,C49*E74*E86,IF((C56-C73)&gt;C49,((C56-C74)*E74*E86)+((C49-(C56-C74))*E73*E86),IF((C56-F86)&gt;C49,((C56-C74)*E74*E86)+((C74-C73)*E73*E86)+((C49-(C56-C73))*E72*E86),((C56-C74)*E74*E86)+((C74-C73)*E73*E86)+((C73-F86))*E72*E86))),IF((C56&gt;C75),IF((C56-C75)&gt;C49,C49*E75*E86,IF((C56-C74)&gt;C49,((C56-C75)*E75*E86)+((C49-(C56-C75))*E74*E86),IF((C56-C73)&gt;C49,((C56-C75)*E75*E86)+((C75-C74)*E74*E86)+((C49-(C56-C74))*E73*E86),IF((C56-F86)&gt;C49,((C56-C75)*E75*E86)+((C75-C74)*E74*E86)+((C74-C73)*E73*E86)+((C49-(C56-C73))*E72*E86),((C56-C75)*E75*E86)+((C75-C74)*E74*E86)+((C74-C73)*E73*E86)+((C73-F86))*E72*E86))))))))</f>
        <v>145.92000000000002</v>
      </c>
      <c r="D86" t="s">
        <v>23</v>
      </c>
      <c r="E86" s="8">
        <v>0.2</v>
      </c>
      <c r="F86" s="13">
        <v>73145</v>
      </c>
      <c r="H86" s="8" t="s">
        <v>127</v>
      </c>
    </row>
    <row r="87" spans="1:8" x14ac:dyDescent="0.25">
      <c r="C87" s="12">
        <f>IF(AND(C56&gt;F87,C56&lt;=D73),IF((C56-F87)&gt;C49,C49*E73*E87,(C56-F87)*E73*E87),IF(AND(C56&gt;C74,C56&lt;=D74),IF((C56-C74)&gt;C49,C49*E74*E87,IF((C56-F87)&gt;C49,((C56-C74)*E74*E87)+((C49-(C56-C74))*E73*E87),((C56-C74)*E74*E87)+((C74-F87)*E73*E87))),IF((C56&gt;C75),IF((C56-C75)&gt;C49,C49*E75*E87,IF((C56-C74)&gt;C49,((C56-C75)*E75*E87)+(C49-(C56-C75)*E74*E87),IF((C56-F87)&gt;C49,((C56-C75)*E75*E87)+((C75-C74)*E74*E87)+((C49-(C56-C74))*E73*E87),((C56-C75)*E75*E87)+((C75-C74)*E74*E87)+((C74-F87)*E73*E87)))))))</f>
        <v>262.65600000000001</v>
      </c>
      <c r="D87" t="s">
        <v>23</v>
      </c>
      <c r="E87" s="8">
        <v>0.36</v>
      </c>
      <c r="F87" s="13">
        <v>86176</v>
      </c>
      <c r="H87" s="8" t="s">
        <v>126</v>
      </c>
    </row>
    <row r="88" spans="1:8" x14ac:dyDescent="0.25">
      <c r="A88" t="s">
        <v>24</v>
      </c>
      <c r="C88" s="14">
        <f>SUM(C84:C87)</f>
        <v>2878.1759999999999</v>
      </c>
      <c r="H88" s="8"/>
    </row>
    <row r="89" spans="1:8" x14ac:dyDescent="0.25">
      <c r="B89" s="36" t="str">
        <f>IF(C33="No","You may not be eligible to claim a deduction on child care expense."," ")</f>
        <v>You may not be eligible to claim a deduction on child care expense.</v>
      </c>
      <c r="H89" s="3" t="s">
        <v>97</v>
      </c>
    </row>
    <row r="90" spans="1:8" x14ac:dyDescent="0.25">
      <c r="A90" s="47"/>
      <c r="B90" s="47"/>
      <c r="C90" s="47"/>
      <c r="D90" s="47"/>
      <c r="E90" s="47"/>
      <c r="F90" s="47"/>
      <c r="H90" t="s">
        <v>98</v>
      </c>
    </row>
    <row r="91" spans="1:8" x14ac:dyDescent="0.25">
      <c r="A91" s="47"/>
      <c r="B91" s="47"/>
      <c r="C91" s="47"/>
      <c r="D91" s="47"/>
      <c r="E91" s="47"/>
      <c r="F91" s="47"/>
      <c r="H91" t="s">
        <v>99</v>
      </c>
    </row>
    <row r="92" spans="1:8" x14ac:dyDescent="0.25">
      <c r="H92" t="s">
        <v>100</v>
      </c>
    </row>
    <row r="93" spans="1:8" x14ac:dyDescent="0.25">
      <c r="H93" t="s">
        <v>129</v>
      </c>
    </row>
    <row r="94" spans="1:8" x14ac:dyDescent="0.25">
      <c r="H94" t="s">
        <v>128</v>
      </c>
    </row>
    <row r="95" spans="1:8" x14ac:dyDescent="0.25">
      <c r="H95" s="8"/>
    </row>
    <row r="96" spans="1:8" x14ac:dyDescent="0.25">
      <c r="C96" s="13"/>
      <c r="H96" s="3" t="s">
        <v>29</v>
      </c>
    </row>
    <row r="97" spans="1:8" x14ac:dyDescent="0.25">
      <c r="C97" s="15"/>
      <c r="H97" t="s">
        <v>101</v>
      </c>
    </row>
    <row r="98" spans="1:8" x14ac:dyDescent="0.25">
      <c r="H98" t="s">
        <v>102</v>
      </c>
    </row>
    <row r="99" spans="1:8" x14ac:dyDescent="0.25">
      <c r="H99" t="s">
        <v>131</v>
      </c>
    </row>
    <row r="100" spans="1:8" x14ac:dyDescent="0.25">
      <c r="H100" t="s">
        <v>130</v>
      </c>
    </row>
    <row r="102" spans="1:8" x14ac:dyDescent="0.25">
      <c r="H102" s="3" t="s">
        <v>30</v>
      </c>
    </row>
    <row r="103" spans="1:8" x14ac:dyDescent="0.25">
      <c r="H103" t="s">
        <v>103</v>
      </c>
    </row>
    <row r="104" spans="1:8" x14ac:dyDescent="0.25">
      <c r="H104" t="s">
        <v>132</v>
      </c>
    </row>
    <row r="105" spans="1:8" x14ac:dyDescent="0.25">
      <c r="H105" t="s">
        <v>164</v>
      </c>
    </row>
    <row r="108" spans="1:8" x14ac:dyDescent="0.25">
      <c r="A108" s="3" t="s">
        <v>39</v>
      </c>
      <c r="B108" s="3"/>
    </row>
  </sheetData>
  <mergeCells count="5">
    <mergeCell ref="A29:B29"/>
    <mergeCell ref="D24:G25"/>
    <mergeCell ref="A33:B33"/>
    <mergeCell ref="A36:B36"/>
    <mergeCell ref="A38:B38"/>
  </mergeCells>
  <dataValidations count="3">
    <dataValidation type="list" allowBlank="1" showInputMessage="1" showErrorMessage="1" sqref="C29">
      <formula1>$F$1:$F$3</formula1>
    </dataValidation>
    <dataValidation type="list" allowBlank="1" showInputMessage="1" showErrorMessage="1" sqref="C52">
      <formula1>$H$1:$H$57</formula1>
    </dataValidation>
    <dataValidation type="list" allowBlank="1" showInputMessage="1" showErrorMessage="1" sqref="C33">
      <formula1>$F$1:$F$2</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P63"/>
  <sheetViews>
    <sheetView topLeftCell="A4" zoomScaleNormal="100" workbookViewId="0">
      <selection activeCell="H21" sqref="H21"/>
    </sheetView>
  </sheetViews>
  <sheetFormatPr defaultRowHeight="15" x14ac:dyDescent="0.25"/>
  <cols>
    <col min="1" max="1" width="25" customWidth="1"/>
    <col min="2" max="2" width="11.7109375" customWidth="1"/>
    <col min="3" max="3" width="9.5703125" bestFit="1" customWidth="1"/>
    <col min="4" max="4" width="9" bestFit="1" customWidth="1"/>
    <col min="5" max="5" width="10.5703125" bestFit="1" customWidth="1"/>
    <col min="6" max="6" width="19.140625" customWidth="1"/>
    <col min="7" max="7" width="25" bestFit="1" customWidth="1"/>
    <col min="8" max="8" width="23.5703125" customWidth="1"/>
    <col min="9" max="9" width="12.85546875" bestFit="1" customWidth="1"/>
    <col min="10" max="10" width="12" bestFit="1" customWidth="1"/>
    <col min="11" max="11" width="10.140625" bestFit="1" customWidth="1"/>
    <col min="12" max="12" width="12.28515625" bestFit="1" customWidth="1"/>
    <col min="16" max="16" width="9.5703125" bestFit="1" customWidth="1"/>
  </cols>
  <sheetData>
    <row r="1" spans="1:8" x14ac:dyDescent="0.25">
      <c r="B1" s="1"/>
      <c r="C1" t="s">
        <v>0</v>
      </c>
    </row>
    <row r="2" spans="1:8" x14ac:dyDescent="0.25">
      <c r="A2" s="2" t="s">
        <v>2</v>
      </c>
    </row>
    <row r="3" spans="1:8" x14ac:dyDescent="0.25">
      <c r="A3" s="3" t="s">
        <v>183</v>
      </c>
    </row>
    <row r="4" spans="1:8" x14ac:dyDescent="0.25">
      <c r="A4" s="34" t="s">
        <v>205</v>
      </c>
      <c r="B4" s="22">
        <v>100000</v>
      </c>
    </row>
    <row r="5" spans="1:8" x14ac:dyDescent="0.25">
      <c r="A5" s="34" t="s">
        <v>209</v>
      </c>
      <c r="B5" s="22">
        <v>200</v>
      </c>
      <c r="C5" s="44" t="s">
        <v>196</v>
      </c>
      <c r="D5" s="44" t="s">
        <v>207</v>
      </c>
    </row>
    <row r="6" spans="1:8" x14ac:dyDescent="0.25">
      <c r="A6" s="34" t="s">
        <v>206</v>
      </c>
      <c r="B6" s="13"/>
      <c r="C6" s="44"/>
      <c r="D6" s="44"/>
    </row>
    <row r="7" spans="1:8" x14ac:dyDescent="0.25">
      <c r="A7" s="34" t="s">
        <v>208</v>
      </c>
      <c r="B7" s="49">
        <v>0.03</v>
      </c>
      <c r="C7" s="44" t="s">
        <v>197</v>
      </c>
      <c r="D7" s="44"/>
      <c r="F7" s="3" t="s">
        <v>189</v>
      </c>
    </row>
    <row r="8" spans="1:8" x14ac:dyDescent="0.25">
      <c r="A8" s="3"/>
      <c r="F8" t="s">
        <v>228</v>
      </c>
    </row>
    <row r="9" spans="1:8" x14ac:dyDescent="0.25">
      <c r="A9" t="s">
        <v>184</v>
      </c>
      <c r="B9" s="25">
        <f>SUM(B5,B4*B7)</f>
        <v>3200</v>
      </c>
    </row>
    <row r="10" spans="1:8" x14ac:dyDescent="0.25">
      <c r="C10" s="25"/>
      <c r="F10" s="3" t="s">
        <v>212</v>
      </c>
    </row>
    <row r="11" spans="1:8" x14ac:dyDescent="0.25">
      <c r="A11" s="2" t="s">
        <v>5</v>
      </c>
      <c r="F11" t="s">
        <v>229</v>
      </c>
    </row>
    <row r="12" spans="1:8" x14ac:dyDescent="0.25">
      <c r="A12" t="s">
        <v>6</v>
      </c>
      <c r="B12" s="1" t="s">
        <v>1</v>
      </c>
    </row>
    <row r="13" spans="1:8" x14ac:dyDescent="0.25">
      <c r="F13" s="19" t="s">
        <v>230</v>
      </c>
    </row>
    <row r="14" spans="1:8" x14ac:dyDescent="0.25">
      <c r="F14" s="10" t="s">
        <v>218</v>
      </c>
      <c r="G14" s="10" t="s">
        <v>219</v>
      </c>
      <c r="H14" s="10" t="s">
        <v>220</v>
      </c>
    </row>
    <row r="15" spans="1:8" x14ac:dyDescent="0.25">
      <c r="F15" t="s">
        <v>213</v>
      </c>
      <c r="G15" s="13">
        <v>5000</v>
      </c>
      <c r="H15" s="13">
        <f>G15*4</f>
        <v>20000</v>
      </c>
    </row>
    <row r="16" spans="1:8" x14ac:dyDescent="0.25">
      <c r="A16" t="s">
        <v>7</v>
      </c>
      <c r="B16" s="1">
        <v>200000</v>
      </c>
      <c r="F16" t="s">
        <v>214</v>
      </c>
      <c r="G16" s="13">
        <v>5500</v>
      </c>
      <c r="H16" s="13">
        <f>(G16*2)+H15</f>
        <v>31000</v>
      </c>
    </row>
    <row r="17" spans="1:13" x14ac:dyDescent="0.25">
      <c r="F17" s="54" t="s">
        <v>231</v>
      </c>
      <c r="G17" s="13">
        <v>10000</v>
      </c>
      <c r="H17" s="13">
        <f>(G17*1)+H16</f>
        <v>41000</v>
      </c>
    </row>
    <row r="18" spans="1:13" x14ac:dyDescent="0.25">
      <c r="F18" s="54" t="s">
        <v>232</v>
      </c>
      <c r="G18" s="13">
        <v>5500</v>
      </c>
      <c r="H18" s="55">
        <f>(G18*1)+H17</f>
        <v>46500</v>
      </c>
    </row>
    <row r="19" spans="1:13" x14ac:dyDescent="0.25">
      <c r="A19" s="2" t="s">
        <v>8</v>
      </c>
    </row>
    <row r="20" spans="1:13" x14ac:dyDescent="0.25">
      <c r="A20" s="3" t="s">
        <v>9</v>
      </c>
      <c r="F20" t="s">
        <v>233</v>
      </c>
    </row>
    <row r="21" spans="1:13" x14ac:dyDescent="0.25">
      <c r="B21" s="3" t="s">
        <v>27</v>
      </c>
    </row>
    <row r="22" spans="1:13" ht="15.75" x14ac:dyDescent="0.25">
      <c r="A22" t="s">
        <v>10</v>
      </c>
      <c r="B22" s="4">
        <v>0</v>
      </c>
      <c r="C22" s="5">
        <v>45282</v>
      </c>
      <c r="D22" s="6">
        <v>0.15</v>
      </c>
      <c r="F22" t="s">
        <v>234</v>
      </c>
    </row>
    <row r="23" spans="1:13" ht="15.75" x14ac:dyDescent="0.25">
      <c r="A23" t="s">
        <v>11</v>
      </c>
      <c r="B23" s="5">
        <v>45282</v>
      </c>
      <c r="C23" s="5">
        <v>90563</v>
      </c>
      <c r="D23" s="7">
        <v>0.20499999999999999</v>
      </c>
      <c r="J23" s="6"/>
      <c r="K23" s="4"/>
      <c r="L23" s="5"/>
      <c r="M23" s="6"/>
    </row>
    <row r="24" spans="1:13" ht="15.75" x14ac:dyDescent="0.25">
      <c r="A24" t="s">
        <v>11</v>
      </c>
      <c r="B24" s="5">
        <v>90563</v>
      </c>
      <c r="C24" s="5">
        <v>140388</v>
      </c>
      <c r="D24" s="7">
        <v>0.26</v>
      </c>
      <c r="F24" t="s">
        <v>215</v>
      </c>
      <c r="J24" s="7"/>
      <c r="K24" s="5"/>
      <c r="L24" s="5"/>
      <c r="M24" s="7"/>
    </row>
    <row r="25" spans="1:13" ht="15.75" x14ac:dyDescent="0.25">
      <c r="A25" t="s">
        <v>11</v>
      </c>
      <c r="B25" s="5">
        <v>140388</v>
      </c>
      <c r="C25" s="5">
        <v>200000</v>
      </c>
      <c r="D25" s="7">
        <v>0.28999999999999998</v>
      </c>
      <c r="G25" s="3"/>
      <c r="I25" s="6"/>
      <c r="J25" s="7"/>
      <c r="K25" s="5"/>
      <c r="L25" s="5"/>
      <c r="M25" s="7"/>
    </row>
    <row r="26" spans="1:13" ht="15.75" x14ac:dyDescent="0.25">
      <c r="B26" s="5">
        <v>200000</v>
      </c>
      <c r="D26" s="7">
        <v>0.33</v>
      </c>
      <c r="G26" s="29"/>
      <c r="H26" s="5"/>
      <c r="I26" s="7"/>
      <c r="J26" s="7"/>
      <c r="K26" s="5"/>
      <c r="L26" s="5"/>
      <c r="M26" s="7"/>
    </row>
    <row r="27" spans="1:13" ht="15.75" x14ac:dyDescent="0.25">
      <c r="F27" s="13"/>
      <c r="G27" s="29"/>
      <c r="H27" s="5"/>
      <c r="I27" s="7"/>
      <c r="J27" s="7"/>
      <c r="K27" s="5"/>
      <c r="M27" s="7"/>
    </row>
    <row r="28" spans="1:13" ht="15.75" x14ac:dyDescent="0.25">
      <c r="F28" s="13"/>
      <c r="G28" s="29"/>
      <c r="H28" s="5"/>
      <c r="I28" s="7"/>
    </row>
    <row r="29" spans="1:13" ht="15.75" x14ac:dyDescent="0.25">
      <c r="A29" s="3" t="s">
        <v>12</v>
      </c>
      <c r="F29" s="13"/>
      <c r="G29" s="29"/>
      <c r="H29" s="28"/>
      <c r="I29" s="7"/>
    </row>
    <row r="30" spans="1:13" ht="15.75" x14ac:dyDescent="0.25">
      <c r="A30" s="10" t="s">
        <v>13</v>
      </c>
      <c r="F30" s="13"/>
      <c r="G30" s="29"/>
      <c r="H30" s="4"/>
    </row>
    <row r="31" spans="1:13" ht="15.75" x14ac:dyDescent="0.25">
      <c r="A31" t="s">
        <v>10</v>
      </c>
      <c r="B31">
        <v>0</v>
      </c>
      <c r="C31" s="5">
        <v>41536</v>
      </c>
      <c r="D31" s="7">
        <v>5.0500000000000003E-2</v>
      </c>
      <c r="F31" s="13"/>
      <c r="G31" s="13"/>
      <c r="I31" s="9"/>
      <c r="J31" s="30"/>
    </row>
    <row r="32" spans="1:13" ht="15.75" x14ac:dyDescent="0.25">
      <c r="A32" t="s">
        <v>11</v>
      </c>
      <c r="B32" s="5">
        <v>41536</v>
      </c>
      <c r="C32" s="5">
        <v>83075</v>
      </c>
      <c r="D32" s="7">
        <v>9.1499999999999998E-2</v>
      </c>
      <c r="F32" t="s">
        <v>217</v>
      </c>
      <c r="G32" s="13"/>
      <c r="I32" s="7"/>
    </row>
    <row r="33" spans="1:16" ht="15.75" x14ac:dyDescent="0.25">
      <c r="A33" t="s">
        <v>11</v>
      </c>
      <c r="B33" s="33">
        <v>83075</v>
      </c>
      <c r="C33" s="5">
        <v>150000</v>
      </c>
      <c r="D33" s="7">
        <v>0.1116</v>
      </c>
      <c r="F33" s="4"/>
      <c r="G33" s="4"/>
      <c r="H33" s="5"/>
      <c r="I33" s="29"/>
      <c r="J33" s="18"/>
      <c r="K33" s="15"/>
    </row>
    <row r="34" spans="1:16" ht="15.75" x14ac:dyDescent="0.25">
      <c r="A34" t="s">
        <v>11</v>
      </c>
      <c r="B34" s="5">
        <v>150000</v>
      </c>
      <c r="C34" s="5">
        <v>220000</v>
      </c>
      <c r="D34" s="7">
        <v>0.1216</v>
      </c>
      <c r="F34" s="13" t="s">
        <v>216</v>
      </c>
      <c r="G34" s="4"/>
      <c r="H34" s="5"/>
      <c r="I34" s="29"/>
      <c r="J34" s="4"/>
      <c r="K34" s="13"/>
      <c r="M34" s="18"/>
    </row>
    <row r="35" spans="1:16" ht="15.75" x14ac:dyDescent="0.25">
      <c r="B35" s="5">
        <v>220000</v>
      </c>
      <c r="D35" s="7">
        <v>0.13159999999999999</v>
      </c>
      <c r="F35" s="13"/>
      <c r="G35" s="4"/>
      <c r="H35" s="4"/>
      <c r="I35" s="29"/>
      <c r="J35" s="4"/>
      <c r="K35" s="13"/>
      <c r="M35" s="4"/>
    </row>
    <row r="36" spans="1:16" x14ac:dyDescent="0.25">
      <c r="F36" s="51" t="s">
        <v>221</v>
      </c>
      <c r="G36" s="4"/>
      <c r="H36" s="4"/>
      <c r="J36" s="4"/>
      <c r="K36" s="13"/>
    </row>
    <row r="37" spans="1:16" ht="15.75" x14ac:dyDescent="0.25">
      <c r="F37" s="3">
        <v>2016</v>
      </c>
      <c r="I37" s="29"/>
      <c r="J37" s="16"/>
      <c r="K37" s="31"/>
    </row>
    <row r="38" spans="1:16" x14ac:dyDescent="0.25">
      <c r="A38" s="2" t="s">
        <v>16</v>
      </c>
      <c r="F38" s="3"/>
      <c r="G38">
        <v>5500</v>
      </c>
      <c r="H38" t="s">
        <v>224</v>
      </c>
      <c r="I38" s="31"/>
      <c r="J38" s="16"/>
    </row>
    <row r="39" spans="1:16" x14ac:dyDescent="0.25">
      <c r="B39" s="11"/>
      <c r="C39" t="s">
        <v>17</v>
      </c>
      <c r="F39" s="52">
        <v>42401</v>
      </c>
      <c r="G39" s="4">
        <v>4000</v>
      </c>
      <c r="H39" s="4" t="s">
        <v>222</v>
      </c>
      <c r="I39" s="4"/>
      <c r="J39" s="4"/>
      <c r="K39" s="16"/>
    </row>
    <row r="40" spans="1:16" x14ac:dyDescent="0.25">
      <c r="F40" s="52">
        <v>42583</v>
      </c>
      <c r="G40" s="50">
        <v>2000</v>
      </c>
      <c r="H40" s="4" t="s">
        <v>4</v>
      </c>
      <c r="I40" s="4"/>
      <c r="J40" s="4"/>
      <c r="K40" s="16"/>
    </row>
    <row r="41" spans="1:16" x14ac:dyDescent="0.25">
      <c r="A41" t="s">
        <v>210</v>
      </c>
      <c r="B41" s="17">
        <f>IF(AND((B9+B16)&gt;=B22,(B9+B16)&lt;=C22),B9*D22,IF(AND((B9+B16)&gt;B23,(B9+B16)&lt;=C23),IF((B9+B16-B23)&gt;B9,B9*D23,((B9+B16-B23)*D23)+((B9-(B9+B16-B23))*D22)),IF(AND((B9+B16)&gt;B24,(B9+B16)&lt;=C24),IF((B9+B16-B24)&gt;B9,B9*D24,IF((B9+B16-B23)&gt;B9,(((B9+B16-B24)*D24)+((B9-(B9+B16-B24))*D23)),((B9+B16-B24)*D24)+((C23-B23)*D23)+((B9-(B9+B16-B23))*D22))),IF(AND((B9+B16)&gt;B25,(B9+B16)&lt;=C25),IF((B9+B16-B25)&gt;B9,B9*D25,IF((B9+B16-B24)&gt;B9,((B9+B16-B25)*D25)+(((B9-(B9+B16-B25))*D24)),IF((B9+B16-B23)&gt;B9,(((B9+B16-B25)*D25)+((C24-B24)*D24)+((B9-(B9+B16-B24))*D23)),((B9+B16-B25)*D25)+((C24-B24)*D24)+((C23-B23)*D23)+((B9-(B9+B16-B23))*D22)))),IF((B9+B16)&gt;B26,IF((B9+B16-B26)&gt;B9,B9*D26,IF((B9+B16-B25)&gt;B9,(((B9+B16-B26)*D26)+((B9-(B9+B16-B26))*D25)),IF((B9+B16-B24)&gt;B9,(((B9+B16-B26)*D26)+((C25-B25)*D25)+((B9-(B9+B16-B25))*D24)),IF((B9+B16-B23)&gt;B9,(((B9+B16-B26)*D26)+((C25-B25)*D25)+((C24-B24)*D24)+((B9-(B9+B16-B24))*D23)),((B9+B16-B26)*D26)+((C25-B25)*D25)+((C24-B24)*D24)+((C23-B23)*D23)+((B9-(B9+B16-B23))*D22))))))))))</f>
        <v>1056</v>
      </c>
      <c r="C41" t="s">
        <v>19</v>
      </c>
      <c r="G41" s="4">
        <f>G38-G40</f>
        <v>3500</v>
      </c>
      <c r="H41" s="53" t="s">
        <v>223</v>
      </c>
      <c r="I41" s="4"/>
      <c r="J41" s="4"/>
      <c r="K41" s="16"/>
    </row>
    <row r="42" spans="1:16" x14ac:dyDescent="0.25">
      <c r="B42" s="12">
        <f>IF(AND((B9+B16)&gt;=B31,(B9+B16)&lt;=C31),B9*D31,IF(AND((B9+B16)&gt;B32,(B9+B16)&lt;=C32),IF((B9+B16-B32)&gt;B9,B9*D32,((B9+B16-B32)*D32)+((B9-(B9+B16-B32))*D31)),IF(AND((B9+B16)&gt;B33,(B9+B16)&lt;=C33),IF((B9+B16-B33)&gt;B9,B9*D33,IF((B9+B16-B32)&gt;B9,(((B9+B16-B33)*D33)+((B9-(B9+B16-B33))*D32)),((B9+B16-B33)*D33)+((C32-B32)*D32)+((B9-(B9+B16-B32))*D31))),IF(AND((B9+B16)&gt;B34,(B9+B16)&lt;=C34),IF((B9+B16-B34)&gt;B9,B9*D34,IF((B9+B16-B33)&gt;B9,(((B9+B16-B34)*D34)+((B9-(B9+B16-B34))*D33)),IF((B9+B16-B32)&gt;B9,(((B9+B16-B34)*D34)+((C33-B33)*D33)+((B9-(B9+B16-B33))*D32)),((B9+B16-B34)*D34)+((C33-B33)*D33)+((C32-B32)*D32)+((B9-(B9+B16-B32))*D31)))),IF((B9+B16)&gt;B35,IF((B9+B16-B35)&gt;B9,B9*D35,IF((B9+B16-B34)&gt;B9,(((B9+B16-B35)*D35)+((B9-(B9+B16-B35))*D34)),IF((B9+B16-B33)&gt;B9,(((B9+B16-B35)*D35)+((C34-B34)*D34)+((B9-(B9+B16-B34))*D33)),IF((B9+B16-B32)&gt;B9,(((B9+B16-B35)*D35)+((C34-B34)*D34)+((C33-B33)*D33)+((B9-(B9+B16-B33))*D32)),((B9+B16-B35)*D35)+((C34-B34)*D34)+((C33-B33)*D33)+((C32-B32)*D32)+((B9-(B9+B16-B32))*D31))))))))))</f>
        <v>389.12</v>
      </c>
      <c r="C42" t="s">
        <v>20</v>
      </c>
      <c r="D42" t="s">
        <v>21</v>
      </c>
      <c r="E42" t="s">
        <v>22</v>
      </c>
      <c r="I42" s="4"/>
      <c r="J42" s="4"/>
      <c r="K42" s="16"/>
    </row>
    <row r="43" spans="1:16" x14ac:dyDescent="0.25">
      <c r="B43" s="12">
        <f>IF(AND((B9+B16)&gt;=E43,(B9+B16)&lt;=C32),IF((B9+B16-E43)&gt;B9,B9*D32*D43,(B9+B16-E43)*D32*D43),IF(AND(B9+B16&gt;B33,(B9+B16)&lt;=C33),IF((B9+B16-B33)&gt;B9,B9*D33*D43,IF((B9+B16-E43)&gt;B9,(((B9+B16-B33)*D33*D43)+((B9-(B9+B16-B33))*D32*D43)),((B9+B16-B33)*D33*D43)+((B33-E43)*D32*D43))),IF(AND(B9+B16&gt;B34,(B9+B16)&lt;=C34),IF((B9+B16-B34)&gt;B9,B9*D34*D43,IF((B9+B16-B33)&gt;B9,(((B9+B16-B34)*D34*D43)+((B9-(B9+B16-B34))*D33*D43)),IF((B9+B16-E43)&gt;B9,(((B9+B16-B34)*D34*D43)+(((C33-B33)*D33*D43))+((B9-(B9+B16-B33))*D32*D43)),(((B9+B16-B34)*D34*D43)+(((C33-B33)*D33*D43))+((C32-E43)*D32*D43))))),IF((B9+B16)&gt;B35,IF((B9+B16-B35)&gt;B9,B9*D35*D43,IF((B9+B16-B34)&gt;B9,(((B9+B16-B35)*D35*D43)+((B9-(B9+B16-B35))*D34*D43)),IF((B9+B16-B33)&gt;B9,(((B9+B16-B35)*D35*D43)+(((C34-B34)*D34*D43))+((B9-(B9+B16-B34))*D33*D43)),IF((B9+B16-E43)&gt;B9,(((B9+B16-B35)*D35*D43)+(((C34-B34)*D34*D43))+(((C33-B33)*D33*D43))+((B9-(B9+B16-B33))*D32*D43)),(((B9+B16-B35)*D35*D43)+(((C34-B34)*D34*D43))+(((C33-B33)*D33*D43))+((C32-E43)*D32*D43))))))))))</f>
        <v>77.824000000000012</v>
      </c>
      <c r="C43" t="s">
        <v>23</v>
      </c>
      <c r="D43" s="8">
        <v>0.2</v>
      </c>
      <c r="E43" s="13">
        <v>73145</v>
      </c>
      <c r="F43" s="52" t="s">
        <v>225</v>
      </c>
      <c r="P43" s="15"/>
    </row>
    <row r="44" spans="1:16" x14ac:dyDescent="0.25">
      <c r="B44" s="12">
        <f>IF(AND(B9+B16&gt;=E44,(B9+B16)&lt;=C33),IF((B9+B16-E44)&gt;B9,B9*D33*D44,(B9+B16-E44)*D33*D44),IF(AND((B9+B16)&gt;B34,(B9+B16)&lt;=C34),IF((B9+B16-B34)&gt;B9,B9*D34*D44,IF((B9+B16-E44)&gt;B9,(((B9+B16-B34)*D34*D44)+((B9-(B9+B16-B34))*D33*D44)),((B9+B16-B34)*D34*D44)+((C33-E44)*D33*D44))),IF((B9+B16)&gt;B35,IF((B9+B16-B35)&gt;B9,B9*D35*D44,IF((B9+B16-B34)&gt;B9,(((B9+B16-B35)*D35*D44)+((B9-(B9+B16-B35))*D34*D44)),IF((B9+B16-E44)&gt;B9,(((B9+B16-B35)*D35*D44)+(((C34-B34)*D34*D44))+((B9-(B9+B16-B34))*D33*D44)),((B9+B16-B35)*D35*D44)+((C34-B34)*D34*D44)+((C33-E44)*D33*D44)))))))</f>
        <v>140.08320000000001</v>
      </c>
      <c r="C44" t="s">
        <v>23</v>
      </c>
      <c r="D44" s="8">
        <v>0.36</v>
      </c>
      <c r="E44" s="13">
        <v>86176</v>
      </c>
      <c r="G44" s="3"/>
      <c r="J44" s="4"/>
      <c r="K44" s="4"/>
      <c r="O44" s="18"/>
    </row>
    <row r="45" spans="1:16" x14ac:dyDescent="0.25">
      <c r="A45" t="s">
        <v>211</v>
      </c>
      <c r="B45" s="14">
        <f>SUM(B41:B44)</f>
        <v>1663.0272</v>
      </c>
      <c r="F45" s="3">
        <v>2017</v>
      </c>
      <c r="J45" s="4"/>
      <c r="K45" s="4"/>
    </row>
    <row r="46" spans="1:16" x14ac:dyDescent="0.25">
      <c r="E46" s="18">
        <f>E43-B32</f>
        <v>31609</v>
      </c>
      <c r="G46" s="4">
        <f>G41</f>
        <v>3500</v>
      </c>
      <c r="H46" s="53" t="s">
        <v>223</v>
      </c>
      <c r="J46" s="18"/>
      <c r="K46" s="4"/>
      <c r="P46" s="15"/>
    </row>
    <row r="47" spans="1:16" x14ac:dyDescent="0.25">
      <c r="B47" s="13"/>
      <c r="G47" s="4">
        <f>G39</f>
        <v>4000</v>
      </c>
      <c r="H47" s="53" t="s">
        <v>226</v>
      </c>
    </row>
    <row r="48" spans="1:16" x14ac:dyDescent="0.25">
      <c r="B48" s="13"/>
      <c r="G48" s="21">
        <v>5500</v>
      </c>
      <c r="H48" t="s">
        <v>224</v>
      </c>
    </row>
    <row r="49" spans="2:12" x14ac:dyDescent="0.25">
      <c r="B49" s="13"/>
      <c r="G49" s="4">
        <f>SUM(G46:G48)</f>
        <v>13000</v>
      </c>
      <c r="H49" s="53" t="s">
        <v>227</v>
      </c>
    </row>
    <row r="50" spans="2:12" x14ac:dyDescent="0.25">
      <c r="B50" s="13"/>
      <c r="G50" s="3"/>
    </row>
    <row r="51" spans="2:12" x14ac:dyDescent="0.25">
      <c r="B51" s="13"/>
    </row>
    <row r="52" spans="2:12" x14ac:dyDescent="0.25">
      <c r="B52" s="13"/>
    </row>
    <row r="53" spans="2:12" x14ac:dyDescent="0.25">
      <c r="B53" s="13"/>
    </row>
    <row r="54" spans="2:12" x14ac:dyDescent="0.25">
      <c r="B54" s="13"/>
    </row>
    <row r="55" spans="2:12" x14ac:dyDescent="0.25">
      <c r="B55" s="13"/>
    </row>
    <row r="56" spans="2:12" x14ac:dyDescent="0.25">
      <c r="B56" s="15"/>
    </row>
    <row r="57" spans="2:12" x14ac:dyDescent="0.25">
      <c r="G57" s="32"/>
    </row>
    <row r="58" spans="2:12" x14ac:dyDescent="0.25">
      <c r="G58" s="25"/>
    </row>
    <row r="59" spans="2:12" x14ac:dyDescent="0.25">
      <c r="G59" s="25"/>
      <c r="H59" s="4"/>
      <c r="I59" s="4"/>
    </row>
    <row r="60" spans="2:12" x14ac:dyDescent="0.25">
      <c r="G60" s="25"/>
    </row>
    <row r="61" spans="2:12" x14ac:dyDescent="0.25">
      <c r="G61" s="25"/>
    </row>
    <row r="63" spans="2:12" x14ac:dyDescent="0.25">
      <c r="G63" s="3"/>
      <c r="L63" s="27"/>
    </row>
  </sheetData>
  <dataValidations disablePrompts="1" count="1">
    <dataValidation type="list" allowBlank="1" showInputMessage="1" showErrorMessage="1" sqref="B12">
      <formula1>$G$1:$G$20</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Q65"/>
  <sheetViews>
    <sheetView zoomScaleNormal="100" workbookViewId="0">
      <selection activeCell="H21" sqref="H21"/>
    </sheetView>
  </sheetViews>
  <sheetFormatPr defaultRowHeight="15" x14ac:dyDescent="0.25"/>
  <cols>
    <col min="1" max="1" width="25" customWidth="1"/>
    <col min="2" max="2" width="11.140625" customWidth="1"/>
    <col min="3" max="3" width="11.7109375" customWidth="1"/>
    <col min="4" max="4" width="9.5703125" bestFit="1" customWidth="1"/>
    <col min="5" max="5" width="9" bestFit="1" customWidth="1"/>
    <col min="6" max="6" width="10.5703125" bestFit="1" customWidth="1"/>
    <col min="7" max="7" width="13.140625" customWidth="1"/>
    <col min="8" max="8" width="25" bestFit="1" customWidth="1"/>
    <col min="9" max="9" width="14" customWidth="1"/>
    <col min="10" max="10" width="12.85546875" bestFit="1" customWidth="1"/>
    <col min="11" max="11" width="12" bestFit="1" customWidth="1"/>
    <col min="12" max="12" width="10.140625" bestFit="1" customWidth="1"/>
    <col min="13" max="13" width="12.28515625" bestFit="1" customWidth="1"/>
    <col min="17" max="17" width="9.5703125" bestFit="1" customWidth="1"/>
  </cols>
  <sheetData>
    <row r="1" spans="1:6" x14ac:dyDescent="0.25">
      <c r="C1" s="1"/>
      <c r="D1" t="s">
        <v>0</v>
      </c>
      <c r="F1" t="s">
        <v>175</v>
      </c>
    </row>
    <row r="2" spans="1:6" x14ac:dyDescent="0.25">
      <c r="A2" s="2" t="s">
        <v>185</v>
      </c>
      <c r="B2" s="2"/>
      <c r="F2" t="s">
        <v>172</v>
      </c>
    </row>
    <row r="3" spans="1:6" x14ac:dyDescent="0.25">
      <c r="A3" s="3" t="s">
        <v>159</v>
      </c>
      <c r="B3" s="3"/>
    </row>
    <row r="4" spans="1:6" ht="30" x14ac:dyDescent="0.25">
      <c r="A4" s="34" t="s">
        <v>177</v>
      </c>
      <c r="B4" s="3"/>
      <c r="C4" s="42" t="s">
        <v>175</v>
      </c>
    </row>
    <row r="5" spans="1:6" x14ac:dyDescent="0.25">
      <c r="A5" s="34" t="s">
        <v>159</v>
      </c>
      <c r="B5" s="34"/>
      <c r="C5" s="1">
        <v>1000</v>
      </c>
      <c r="E5" s="36" t="s">
        <v>170</v>
      </c>
      <c r="F5" s="36" t="s">
        <v>173</v>
      </c>
    </row>
    <row r="6" spans="1:6" x14ac:dyDescent="0.25">
      <c r="A6" s="34" t="s">
        <v>161</v>
      </c>
      <c r="C6" s="40">
        <v>0.38</v>
      </c>
      <c r="E6" s="36"/>
      <c r="F6" s="36" t="s">
        <v>174</v>
      </c>
    </row>
    <row r="7" spans="1:6" x14ac:dyDescent="0.25">
      <c r="A7" t="s">
        <v>160</v>
      </c>
      <c r="C7" s="25">
        <f>IF(C4="Canadian corporation",C5*(1+C6),C5)</f>
        <v>1380</v>
      </c>
      <c r="F7" s="36" t="s">
        <v>171</v>
      </c>
    </row>
    <row r="8" spans="1:6" x14ac:dyDescent="0.25">
      <c r="F8" s="36" t="s">
        <v>176</v>
      </c>
    </row>
    <row r="9" spans="1:6" x14ac:dyDescent="0.25">
      <c r="A9" s="2" t="s">
        <v>5</v>
      </c>
      <c r="B9" s="2"/>
      <c r="F9" s="36" t="s">
        <v>178</v>
      </c>
    </row>
    <row r="10" spans="1:6" x14ac:dyDescent="0.25">
      <c r="A10" t="s">
        <v>6</v>
      </c>
      <c r="C10" s="1" t="s">
        <v>1</v>
      </c>
    </row>
    <row r="11" spans="1:6" x14ac:dyDescent="0.25">
      <c r="F11" s="43" t="s">
        <v>181</v>
      </c>
    </row>
    <row r="12" spans="1:6" x14ac:dyDescent="0.25">
      <c r="F12" s="36" t="s">
        <v>179</v>
      </c>
    </row>
    <row r="13" spans="1:6" x14ac:dyDescent="0.25">
      <c r="F13" s="36" t="s">
        <v>180</v>
      </c>
    </row>
    <row r="14" spans="1:6" x14ac:dyDescent="0.25">
      <c r="A14" t="s">
        <v>7</v>
      </c>
      <c r="C14" s="1">
        <v>200000</v>
      </c>
      <c r="F14" s="36" t="s">
        <v>182</v>
      </c>
    </row>
    <row r="17" spans="1:14" x14ac:dyDescent="0.25">
      <c r="A17" s="2" t="s">
        <v>8</v>
      </c>
      <c r="B17" s="2"/>
    </row>
    <row r="18" spans="1:14" x14ac:dyDescent="0.25">
      <c r="A18" s="3" t="s">
        <v>9</v>
      </c>
      <c r="B18" s="3"/>
    </row>
    <row r="19" spans="1:14" x14ac:dyDescent="0.25">
      <c r="C19" s="3" t="s">
        <v>27</v>
      </c>
      <c r="H19" s="3"/>
    </row>
    <row r="20" spans="1:14" ht="15.75" x14ac:dyDescent="0.25">
      <c r="A20" t="s">
        <v>10</v>
      </c>
      <c r="C20" s="4">
        <v>0</v>
      </c>
      <c r="D20" s="5">
        <v>45282</v>
      </c>
      <c r="E20" s="6">
        <v>0.15</v>
      </c>
      <c r="G20" s="13"/>
      <c r="H20" s="29"/>
      <c r="I20" s="5"/>
      <c r="J20" s="6"/>
      <c r="K20" s="6"/>
      <c r="L20" s="4"/>
      <c r="M20" s="5"/>
      <c r="N20" s="6"/>
    </row>
    <row r="21" spans="1:14" ht="15.75" x14ac:dyDescent="0.25">
      <c r="A21" t="s">
        <v>11</v>
      </c>
      <c r="C21" s="5">
        <v>45282</v>
      </c>
      <c r="D21" s="5">
        <v>90563</v>
      </c>
      <c r="E21" s="7">
        <v>0.20499999999999999</v>
      </c>
      <c r="G21" s="13"/>
      <c r="H21" s="29"/>
      <c r="I21" s="5"/>
      <c r="J21" s="7"/>
      <c r="K21" s="7"/>
      <c r="L21" s="5"/>
      <c r="M21" s="5"/>
      <c r="N21" s="7"/>
    </row>
    <row r="22" spans="1:14" ht="15.75" x14ac:dyDescent="0.25">
      <c r="A22" t="s">
        <v>11</v>
      </c>
      <c r="C22" s="5">
        <v>90563</v>
      </c>
      <c r="D22" s="5">
        <v>140388</v>
      </c>
      <c r="E22" s="7">
        <v>0.26</v>
      </c>
      <c r="G22" s="13"/>
      <c r="H22" s="29"/>
      <c r="I22" s="5"/>
      <c r="J22" s="7"/>
      <c r="K22" s="7"/>
      <c r="L22" s="5"/>
      <c r="M22" s="5"/>
      <c r="N22" s="7"/>
    </row>
    <row r="23" spans="1:14" ht="15.75" x14ac:dyDescent="0.25">
      <c r="A23" t="s">
        <v>11</v>
      </c>
      <c r="C23" s="5">
        <v>140388</v>
      </c>
      <c r="D23" s="5">
        <v>200000</v>
      </c>
      <c r="E23" s="7">
        <v>0.28999999999999998</v>
      </c>
      <c r="G23" s="13"/>
      <c r="H23" s="29"/>
      <c r="I23" s="28"/>
      <c r="J23" s="7"/>
      <c r="K23" s="7"/>
      <c r="L23" s="5"/>
      <c r="M23" s="5"/>
      <c r="N23" s="7"/>
    </row>
    <row r="24" spans="1:14" ht="15.75" x14ac:dyDescent="0.25">
      <c r="C24" s="5">
        <v>200000</v>
      </c>
      <c r="E24" s="7">
        <v>0.33</v>
      </c>
      <c r="G24" s="13"/>
      <c r="H24" s="29"/>
      <c r="I24" s="4"/>
      <c r="J24" s="7"/>
      <c r="K24" s="7"/>
      <c r="L24" s="5"/>
      <c r="N24" s="7"/>
    </row>
    <row r="25" spans="1:14" x14ac:dyDescent="0.25">
      <c r="G25" s="13"/>
      <c r="H25" s="13"/>
    </row>
    <row r="26" spans="1:14" x14ac:dyDescent="0.25">
      <c r="G26" s="13"/>
      <c r="H26" s="13"/>
      <c r="J26" s="9"/>
    </row>
    <row r="27" spans="1:14" x14ac:dyDescent="0.25">
      <c r="A27" s="3" t="s">
        <v>12</v>
      </c>
      <c r="B27" s="3"/>
    </row>
    <row r="28" spans="1:14" x14ac:dyDescent="0.25">
      <c r="A28" s="10" t="s">
        <v>13</v>
      </c>
      <c r="B28" s="10"/>
      <c r="G28" s="10"/>
      <c r="H28" s="10"/>
      <c r="I28" s="30"/>
      <c r="J28" s="10"/>
      <c r="K28" s="30"/>
    </row>
    <row r="29" spans="1:14" ht="15.75" x14ac:dyDescent="0.25">
      <c r="A29" t="s">
        <v>10</v>
      </c>
      <c r="C29">
        <v>0</v>
      </c>
      <c r="D29" s="5">
        <v>41536</v>
      </c>
      <c r="E29" s="7">
        <v>5.0500000000000003E-2</v>
      </c>
      <c r="G29" s="4"/>
      <c r="H29" s="4"/>
      <c r="I29" s="5"/>
      <c r="J29" s="7"/>
    </row>
    <row r="30" spans="1:14" ht="15.75" x14ac:dyDescent="0.25">
      <c r="A30" t="s">
        <v>11</v>
      </c>
      <c r="C30" s="5">
        <v>41536</v>
      </c>
      <c r="D30" s="5">
        <v>83075</v>
      </c>
      <c r="E30" s="7">
        <v>9.1499999999999998E-2</v>
      </c>
      <c r="G30" s="13">
        <v>73145</v>
      </c>
      <c r="H30" s="4"/>
      <c r="I30" s="5"/>
      <c r="J30" s="29"/>
      <c r="K30" s="18"/>
      <c r="L30" s="15"/>
    </row>
    <row r="31" spans="1:14" ht="15.75" x14ac:dyDescent="0.25">
      <c r="A31" t="s">
        <v>11</v>
      </c>
      <c r="C31" s="33">
        <v>83075</v>
      </c>
      <c r="D31" s="5">
        <v>150000</v>
      </c>
      <c r="E31" s="7">
        <v>0.1116</v>
      </c>
      <c r="G31" s="13">
        <v>86176</v>
      </c>
      <c r="H31" s="4"/>
      <c r="I31" s="4"/>
      <c r="J31" s="29"/>
      <c r="K31" s="4"/>
      <c r="L31" s="13"/>
      <c r="N31" s="18"/>
    </row>
    <row r="32" spans="1:14" ht="15.75" x14ac:dyDescent="0.25">
      <c r="A32" t="s">
        <v>11</v>
      </c>
      <c r="C32" s="5">
        <v>150000</v>
      </c>
      <c r="D32" s="5">
        <v>220000</v>
      </c>
      <c r="E32" s="7">
        <v>0.1216</v>
      </c>
      <c r="G32" s="4"/>
      <c r="H32" s="4"/>
      <c r="I32" s="4"/>
      <c r="J32" s="29"/>
      <c r="K32" s="4"/>
      <c r="L32" s="13"/>
      <c r="N32" s="4"/>
    </row>
    <row r="33" spans="1:17" ht="15.75" x14ac:dyDescent="0.25">
      <c r="C33" s="5">
        <v>220000</v>
      </c>
      <c r="E33" s="7">
        <v>0.13159999999999999</v>
      </c>
      <c r="G33" s="4"/>
      <c r="H33" s="4"/>
      <c r="I33" s="4"/>
      <c r="J33" s="29"/>
      <c r="K33" s="4"/>
      <c r="L33" s="13"/>
    </row>
    <row r="34" spans="1:17" x14ac:dyDescent="0.25">
      <c r="G34" s="4"/>
      <c r="H34" s="31"/>
      <c r="I34" s="4"/>
      <c r="J34" s="31"/>
      <c r="K34" s="16"/>
      <c r="L34" s="31"/>
    </row>
    <row r="35" spans="1:17" x14ac:dyDescent="0.25">
      <c r="I35" s="18"/>
      <c r="J35" s="4"/>
      <c r="K35" s="16"/>
    </row>
    <row r="36" spans="1:17" x14ac:dyDescent="0.25">
      <c r="A36" s="2" t="s">
        <v>16</v>
      </c>
      <c r="B36" s="2"/>
      <c r="J36" s="4"/>
      <c r="K36" s="4"/>
      <c r="L36" s="16"/>
    </row>
    <row r="37" spans="1:17" x14ac:dyDescent="0.25">
      <c r="C37" s="11"/>
      <c r="D37" t="s">
        <v>17</v>
      </c>
      <c r="J37" s="4"/>
      <c r="K37" s="4"/>
      <c r="L37" s="16"/>
    </row>
    <row r="38" spans="1:17" x14ac:dyDescent="0.25">
      <c r="J38" s="4"/>
      <c r="K38" s="4"/>
      <c r="L38" s="16"/>
    </row>
    <row r="39" spans="1:17" x14ac:dyDescent="0.25">
      <c r="A39" t="s">
        <v>26</v>
      </c>
      <c r="C39" s="17">
        <f>IF(AND((C7+C14)&gt;=C20,(C7+C14)&lt;=D20),C7*E20,IF(AND((C7+C14)&gt;C21,(C7+C14)&lt;=D21),IF((C7+C14-C21)&gt;C7,C7*E21,((C7+C14-C21)*E21)+((C7-(C7+C14-C21))*E20)),IF(AND((C7+C14)&gt;C22,(C7+C14)&lt;=D22),IF((C7+C14-C22)&gt;C7,C7*E22,IF((C7+C14-C21)&gt;C7,(((C7+C14-C22)*E22)+((C7-(C7+C14-C22))*E21)),((C7+C14-C22)*E22)+((D21-C21)*E21)+((C7-(C7+C14-C21))*E20))),IF(AND((C7+C14)&gt;C23,(C7+C14)&lt;=D23),IF((C7+C14-C23)&gt;C7,C7*E23,IF((C7+C14-C22)&gt;C7,((C7+C14-C23)*E23)+(((C7-(C7+C14-C23))*E22)),IF((C7+C14-C21)&gt;C7,(((C7+C14-C23)*E23)+((D22-C22)*E22)+((C7-(C7+C14-C22))*E21)),((C7+C14-C23)*E23)+((D22-C22)*E22)+((D21-C21)*E21)+((C7-(C7+C14-C21))*E20)))),IF((C7+C14)&gt;C24,IF((C7+C14-C24)&gt;C7,C7*E24,IF((C7+C14-C23)&gt;C7,(((C7+C14-C24)*E24)+((C7-(C7+C14-C24))*E23)),IF((C7+C14-C22)&gt;C7,(((C7+C14-C24)*E24)+((D23-C23)*E23)+((C7-(C7+C14-C23))*E22)),IF((C7+C14-C21)&gt;C7,(((C7+C14-C24)*E24)+((D23-C23)*E23)+((D22-C22)*E22)+((C7-(C7+C14-C22))*E21)),((C7+C14-C24)*E24)+((D23-C23)*E23)+((D22-C22)*E22)+((D21-C21)*E21)+((C7-(C7+C14-C21))*E20))))))))))</f>
        <v>455.40000000000003</v>
      </c>
      <c r="D39" t="s">
        <v>19</v>
      </c>
      <c r="H39" s="3" t="s">
        <v>96</v>
      </c>
      <c r="K39" s="4"/>
      <c r="L39" s="16"/>
    </row>
    <row r="40" spans="1:17" x14ac:dyDescent="0.25">
      <c r="B40" s="16">
        <v>0.1502</v>
      </c>
      <c r="C40" s="41">
        <f>IF($C$4="Canadian corporation",-($C$7*B40),0)</f>
        <v>-207.27600000000001</v>
      </c>
      <c r="D40" t="s">
        <v>162</v>
      </c>
      <c r="H40" s="3"/>
      <c r="K40" s="4"/>
      <c r="L40" s="16"/>
    </row>
    <row r="41" spans="1:17" x14ac:dyDescent="0.25">
      <c r="C41" s="12">
        <f>IF(AND((C7+C14)&gt;=C29,(C7+C14)&lt;=D29),C7*E29,IF(AND((C7+C14)&gt;C30,(C7+C14)&lt;=D30),IF((C7+C14-C30)&gt;C7,C7*E30,((C7+C14-C30)*E30)+((C7-(C7+C14-C30))*E29)),IF(AND((C7+C14)&gt;C31,(C7+C14)&lt;=D31),IF((C7+C14-C31)&gt;C7,C7*E31,IF((C7+C14-C30)&gt;C7,(((C7+C14-C31)*E31)+((C7-(C7+C14-C31))*E30)),((C7+C14-C31)*E31)+((D30-C30)*E30)+((C7-(C7+C14-C30))*E29))),IF(AND((C7+C14)&gt;C32,(C7+C14)&lt;=D32),IF((C7+C14-C32)&gt;C7,C7*E32,IF((C7+C14-C31)&gt;C7,(((C7+C14-C32)*E32)+((C7-(C7+C14-C32))*E31)),IF((C7+C14-C30)&gt;C7,(((C7+C14-C32)*E32)+((D31-C31)*E31)+((C7-(C7+C14-C31))*E30)),((C7+C14-C32)*E32)+((D31-C31)*E31)+((D30-C30)*E30)+((C7-(C7+C14-C30))*E29)))),IF((C7+C14)&gt;C33,IF((C7+C14-C33)&gt;C7,C7*E33,IF((C7+C14-C32)&gt;C7,(((C7+C14-C33)*E33)+((C7-(C7+C14-C33))*E32)),IF((C7+C14-C31)&gt;C7,(((C7+C14-C33)*E33)+((D32-C32)*E32)+((C7-(C7+C14-C32))*E31)),IF((C7+C14-C30)&gt;C7,(((C7+C14-C33)*E33)+((D32-C32)*E32)+((D31-C31)*E31)+((C7-(C7+C14-C31))*E30)),((C7+C14-C33)*E33)+((D32-C32)*E32)+((D31-C31)*E31)+((D30-C30)*E30)+((C7-(C7+C14-C30))*E29))))))))))</f>
        <v>167.80799999999999</v>
      </c>
      <c r="D41" t="s">
        <v>20</v>
      </c>
      <c r="E41" t="s">
        <v>21</v>
      </c>
      <c r="F41" t="s">
        <v>22</v>
      </c>
      <c r="H41" t="s">
        <v>109</v>
      </c>
    </row>
    <row r="42" spans="1:17" x14ac:dyDescent="0.25">
      <c r="B42" s="16">
        <v>0.1</v>
      </c>
      <c r="C42" s="41">
        <f>IF($C$4="Canadian corporation",-($C$7*B42),0)</f>
        <v>-138</v>
      </c>
      <c r="D42" t="s">
        <v>163</v>
      </c>
    </row>
    <row r="43" spans="1:17" x14ac:dyDescent="0.25">
      <c r="C43" s="12">
        <f>IF(AND((C7+C14)&gt;=F43,(C7+C14)&lt;=D30),IF((C7+C14-F43)&gt;C7,C7*E30*E43,(C7+C14-F43)*E30*E43),IF(AND(C7+C14&gt;C31,(C7+C14)&lt;=D31),IF((C7+C14-C31)&gt;C7,C7*E31*E43,IF((C7+C14-F43)&gt;C7,(((C7+C14-C31)*E31*E43)+((C7-(C7+C14-C31))*E30*E43)),((C7+C14-C31)*E31*E43)+((C31-F43)*E30*E43))),IF(AND(C7+C14&gt;C32,(C7+C14)&lt;=D32),IF((C7+C14-C32)&gt;C7,C7*E32*E43,IF((C7+C14-C31)&gt;C7,(((C7+C14-C32)*E32*E43)+((C7-(C7+C14-C32))*E31*E43)),IF((C7+C14-F43)&gt;C7,(((C7+C14-C32)*E32*E43)+(((D31-C31)*E31*E43))+((C7-(C7+C14-C31))*E30*E43)),(((C7+C14-C32)*E32*E43)+(((D31-C31)*E31*E43))+((D30-F43)*E30*E43))))),IF((C7+C14)&gt;C33,IF((C7+C14-C33)&gt;C7,C7*E33*E43,IF((C7+C14-C32)&gt;C7,(((C7+C14-C33)*E33*E43)+((C7-(C7+C14-C33))*E32*E43)),IF((C7+C14-C31)&gt;C7,(((C7+C14-C33)*E33*E43)+(((D32-C32)*E32*E43))+((C7-(C7+C14-C32))*E31*E43)),IF((C7+C14-F43)&gt;C7,(((C7+C14-C33)*E33*E43)+(((D32-C32)*E32*E43))+(((D31-C31)*E31*E43))+((C7-(C7+C14-C31))*E30*E43)),(((C7+C14-C33)*E33*E43)+(((D32-C32)*E32*E43))+(((D31-C31)*E31*E43))+((D30-F43)*E30*E43))))))))))</f>
        <v>33.561599999999999</v>
      </c>
      <c r="D43" t="s">
        <v>23</v>
      </c>
      <c r="E43" s="8">
        <v>0.2</v>
      </c>
      <c r="F43" s="13">
        <v>73145</v>
      </c>
      <c r="H43" t="s">
        <v>110</v>
      </c>
      <c r="K43" s="4"/>
      <c r="L43" s="4"/>
      <c r="P43" s="18"/>
      <c r="Q43" s="15"/>
    </row>
    <row r="44" spans="1:17" x14ac:dyDescent="0.25">
      <c r="C44" s="12">
        <f>IF(AND(C7+C14&gt;=F44,(C7+C14)&lt;=D31),IF((C7+C14-F44)&gt;C7,C7*E31*E44,(C7+C14-F44)*E31*E44),IF(AND((C7+C14)&gt;C32,(C7+C14)&lt;=D32),IF((C7+C14-C32)&gt;C7,C7*E32*E44,IF((C7+C14-F44)&gt;C7,(((C7+C14-C32)*E32*E44)+((C7-(C7+C14-C32))*E31*E44)),((C7+C14-C32)*E32*E44)+((D31-F44)*E31*E44))),IF((C7+C14)&gt;C33,IF((C7+C14-C33)&gt;C7,C7*E33*E44,IF((C7+C14-C32)&gt;C7,(((C7+C14-C33)*E33*E44)+((C7-(C7+C14-C33))*E32*E44)),IF((C7+C14-F44)&gt;C7,(((C7+C14-C33)*E33*E44)+(((D32-C32)*E32*E44))+((C7-(C7+C14-C32))*E31*E44)),((C7+C14-C33)*E33*E44)+((D32-C32)*E32*E44)+((D31-F44)*E31*E44)))))))</f>
        <v>60.410879999999992</v>
      </c>
      <c r="D44" t="s">
        <v>23</v>
      </c>
      <c r="E44" s="8">
        <v>0.36</v>
      </c>
      <c r="F44" s="13">
        <v>86176</v>
      </c>
      <c r="H44" t="s">
        <v>111</v>
      </c>
      <c r="K44" s="4"/>
      <c r="L44" s="4"/>
    </row>
    <row r="45" spans="1:17" x14ac:dyDescent="0.25">
      <c r="A45" t="s">
        <v>28</v>
      </c>
      <c r="C45" s="14">
        <f>SUM(C39:C44)</f>
        <v>371.90448000000004</v>
      </c>
      <c r="H45" t="s">
        <v>112</v>
      </c>
      <c r="K45" s="18"/>
      <c r="L45" s="4"/>
    </row>
    <row r="46" spans="1:17" x14ac:dyDescent="0.25">
      <c r="F46" s="18">
        <f>F43-C30</f>
        <v>31609</v>
      </c>
      <c r="H46" t="s">
        <v>113</v>
      </c>
      <c r="Q46" s="15"/>
    </row>
    <row r="47" spans="1:17" x14ac:dyDescent="0.25">
      <c r="C47" s="13"/>
    </row>
    <row r="48" spans="1:17" x14ac:dyDescent="0.25">
      <c r="C48" s="13"/>
    </row>
    <row r="49" spans="3:13" x14ac:dyDescent="0.25">
      <c r="C49" s="13"/>
      <c r="H49" s="3" t="s">
        <v>97</v>
      </c>
    </row>
    <row r="50" spans="3:13" x14ac:dyDescent="0.25">
      <c r="C50" s="13"/>
      <c r="H50" t="s">
        <v>114</v>
      </c>
    </row>
    <row r="51" spans="3:13" x14ac:dyDescent="0.25">
      <c r="C51" s="13"/>
      <c r="H51" t="s">
        <v>115</v>
      </c>
    </row>
    <row r="52" spans="3:13" x14ac:dyDescent="0.25">
      <c r="C52" s="13"/>
      <c r="H52" t="s">
        <v>116</v>
      </c>
    </row>
    <row r="53" spans="3:13" x14ac:dyDescent="0.25">
      <c r="C53" s="13"/>
      <c r="H53" t="s">
        <v>117</v>
      </c>
    </row>
    <row r="54" spans="3:13" x14ac:dyDescent="0.25">
      <c r="C54" s="13"/>
      <c r="H54" t="s">
        <v>118</v>
      </c>
    </row>
    <row r="55" spans="3:13" x14ac:dyDescent="0.25">
      <c r="C55" s="13"/>
    </row>
    <row r="56" spans="3:13" x14ac:dyDescent="0.25">
      <c r="C56" s="15"/>
      <c r="H56" s="32" t="s">
        <v>29</v>
      </c>
    </row>
    <row r="57" spans="3:13" x14ac:dyDescent="0.25">
      <c r="H57" s="25" t="s">
        <v>119</v>
      </c>
    </row>
    <row r="58" spans="3:13" x14ac:dyDescent="0.25">
      <c r="H58" s="25" t="s">
        <v>120</v>
      </c>
      <c r="I58" s="4"/>
      <c r="J58" s="4"/>
    </row>
    <row r="59" spans="3:13" x14ac:dyDescent="0.25">
      <c r="H59" s="25" t="s">
        <v>121</v>
      </c>
    </row>
    <row r="60" spans="3:13" x14ac:dyDescent="0.25">
      <c r="H60" s="25" t="s">
        <v>122</v>
      </c>
    </row>
    <row r="62" spans="3:13" x14ac:dyDescent="0.25">
      <c r="H62" s="3" t="s">
        <v>30</v>
      </c>
      <c r="M62" s="27"/>
    </row>
    <row r="63" spans="3:13" x14ac:dyDescent="0.25">
      <c r="H63" t="s">
        <v>123</v>
      </c>
    </row>
    <row r="64" spans="3:13" x14ac:dyDescent="0.25">
      <c r="H64" t="s">
        <v>124</v>
      </c>
    </row>
    <row r="65" spans="8:8" x14ac:dyDescent="0.25">
      <c r="H65" t="s">
        <v>125</v>
      </c>
    </row>
  </sheetData>
  <dataValidations count="2">
    <dataValidation type="list" allowBlank="1" showInputMessage="1" showErrorMessage="1" sqref="C10">
      <formula1>$H$1:$H$15</formula1>
    </dataValidation>
    <dataValidation type="list" allowBlank="1" showInputMessage="1" showErrorMessage="1" sqref="C4">
      <formula1>$F$1:$F$2</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RRSP (ded'n)</vt:lpstr>
      <vt:lpstr>RESP</vt:lpstr>
      <vt:lpstr>Tax Credit</vt:lpstr>
      <vt:lpstr>Interest Inc</vt:lpstr>
      <vt:lpstr>Child Care Exp (ded'n)</vt:lpstr>
      <vt:lpstr>TFSA</vt:lpstr>
      <vt:lpstr>Dividend Income</vt:lpstr>
    </vt:vector>
  </TitlesOfParts>
  <Company>diakov.net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RePack by Diakov</dc:creator>
  <cp:lastModifiedBy>RePack by Diakov</cp:lastModifiedBy>
  <dcterms:created xsi:type="dcterms:W3CDTF">2016-07-05T04:18:43Z</dcterms:created>
  <dcterms:modified xsi:type="dcterms:W3CDTF">2016-09-18T17:51:29Z</dcterms:modified>
</cp:coreProperties>
</file>