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5.xml" ContentType="application/vnd.openxmlformats-officedocument.spreadsheetml.table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ed9978eed2db27/"/>
    </mc:Choice>
  </mc:AlternateContent>
  <xr:revisionPtr revIDLastSave="1033" documentId="8_{6CDBAD67-375F-40C5-B9B5-2C7DE5110D41}" xr6:coauthVersionLast="47" xr6:coauthVersionMax="47" xr10:uidLastSave="{6BE9841A-4F06-4337-8E3E-EDA986ECFEFB}"/>
  <bookViews>
    <workbookView xWindow="-110" yWindow="-110" windowWidth="19420" windowHeight="10300" tabRatio="827" firstSheet="4" activeTab="4" xr2:uid="{473C597A-142E-4B4C-A5F2-A5061DA4FF36}"/>
  </bookViews>
  <sheets>
    <sheet name="Source" sheetId="1" r:id="rId1"/>
    <sheet name="Financials (2)" sheetId="10" state="hidden" r:id="rId2"/>
    <sheet name="financials" sheetId="2" r:id="rId3"/>
    <sheet name="release_date" sheetId="20" r:id="rId4"/>
    <sheet name="DAY 1" sheetId="3" r:id="rId5"/>
    <sheet name="DAY 2" sheetId="7" r:id="rId6"/>
    <sheet name="DAY 3" sheetId="11" r:id="rId7"/>
    <sheet name="DAY 4" sheetId="19" r:id="rId8"/>
    <sheet name="DAY 5" sheetId="22" r:id="rId9"/>
    <sheet name="Day5 pivot table 1" sheetId="24" r:id="rId10"/>
    <sheet name="Day5 pivot table 2" sheetId="25" r:id="rId11"/>
    <sheet name="Day 6 pivot table 1" sheetId="29" r:id="rId12"/>
    <sheet name="Day 6 pivot table 2" sheetId="31" r:id="rId13"/>
    <sheet name="Day 6 pivot table 3" sheetId="32" r:id="rId14"/>
    <sheet name="DAY 7" sheetId="36" r:id="rId15"/>
    <sheet name="DAY 8" sheetId="38" r:id="rId16"/>
    <sheet name="DAY 9" sheetId="40" r:id="rId17"/>
    <sheet name="Day 10 power query editor" sheetId="43" r:id="rId18"/>
    <sheet name="DAY 10" sheetId="41" r:id="rId19"/>
    <sheet name="DAY 11" sheetId="44" r:id="rId20"/>
    <sheet name="DAY 12" sheetId="45" r:id="rId21"/>
    <sheet name="Source_lists" sheetId="50" state="hidden" r:id="rId22"/>
    <sheet name="DAY 13" sheetId="51" r:id="rId23"/>
    <sheet name="DAY 14" sheetId="52" r:id="rId24"/>
    <sheet name="DAY 15" sheetId="54" r:id="rId25"/>
  </sheets>
  <definedNames>
    <definedName name="_xlcn.WorksheetConnection_Excel_learnigs.xlsxFinancials1" hidden="1">Financials[]</definedName>
    <definedName name="_xlcn.WorksheetConnection_Excel_learnigs.xlsxMovie_financials__with_release_date1" hidden="1">Movie_financials__with_release_date[]</definedName>
    <definedName name="Bollywood">Source_lists!$B$2:$B$13</definedName>
    <definedName name="data">Table16[]</definedName>
    <definedName name="ExternalData_1" localSheetId="4" hidden="1">'DAY 1'!$A$1:$H$42</definedName>
    <definedName name="ExternalData_1" localSheetId="17" hidden="1">'Day 10 power query editor'!$A$1:$H$32</definedName>
    <definedName name="ExternalData_1" localSheetId="1" hidden="1">'Financials (2)'!$A$1:$E$41</definedName>
    <definedName name="ExternalData_2" localSheetId="6" hidden="1">'DAY 3'!$A$1:$L$40</definedName>
    <definedName name="ExternalData_2" localSheetId="8" hidden="1">'DAY 5'!$A$1:$L$40</definedName>
    <definedName name="Hollywood">Source_lists!$C$2:$C$10</definedName>
    <definedName name="Marvel_studios">Source_lists!$D$2:$D$9</definedName>
    <definedName name="release_date" localSheetId="8">Table11[#All]</definedName>
    <definedName name="release_date" localSheetId="12">Table11[#All]</definedName>
    <definedName name="release_date" localSheetId="13">Table11[#All]</definedName>
    <definedName name="release_date">Table11[#All]</definedName>
    <definedName name="Vinod_Chopra_Films">Source_lists!$D$42:$D$44</definedName>
  </definedNames>
  <calcPr calcId="191029"/>
  <pivotCaches>
    <pivotCache cacheId="0" r:id="rId26"/>
    <pivotCache cacheId="1" r:id="rId27"/>
    <pivotCache cacheId="2" r:id="rId28"/>
    <pivotCache cacheId="5" r:id="rId29"/>
    <pivotCache cacheId="4" r:id="rId3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vie_financials__with_release_date" name="Movie_financials__with_release_date" connection="WorksheetConnection_Excel_learnigs.xlsx!Movie_financials__with_release_date"/>
          <x15:modelTable id="Financials" name="Financials" connection="WorksheetConnection_Excel_learnig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2" l="1"/>
  <c r="C9" i="52"/>
  <c r="F9" i="52" s="1"/>
  <c r="E9" i="52"/>
  <c r="E10" i="52"/>
  <c r="E11" i="52"/>
  <c r="E12" i="52"/>
  <c r="E13" i="52"/>
  <c r="E14" i="52"/>
  <c r="E15" i="52"/>
  <c r="E16" i="52"/>
  <c r="E17" i="52"/>
  <c r="E18" i="52"/>
  <c r="D10" i="52"/>
  <c r="D11" i="52"/>
  <c r="D12" i="52"/>
  <c r="D13" i="52"/>
  <c r="D14" i="52"/>
  <c r="D15" i="52"/>
  <c r="D16" i="52"/>
  <c r="D17" i="52"/>
  <c r="D18" i="52"/>
  <c r="C10" i="52"/>
  <c r="F10" i="52" s="1"/>
  <c r="C11" i="52"/>
  <c r="F11" i="52" s="1"/>
  <c r="C12" i="52"/>
  <c r="F12" i="52" s="1"/>
  <c r="C13" i="52"/>
  <c r="F13" i="52" s="1"/>
  <c r="C14" i="52"/>
  <c r="F14" i="52" s="1"/>
  <c r="C15" i="52"/>
  <c r="F15" i="52" s="1"/>
  <c r="C16" i="52"/>
  <c r="F16" i="52" s="1"/>
  <c r="C17" i="52"/>
  <c r="F17" i="52" s="1"/>
  <c r="C18" i="52"/>
  <c r="F18" i="52" s="1"/>
  <c r="K7" i="51"/>
  <c r="K8" i="51"/>
  <c r="C14" i="51"/>
  <c r="C13" i="51"/>
  <c r="C11" i="51"/>
  <c r="K6" i="51"/>
  <c r="C19" i="45"/>
  <c r="D11" i="45"/>
  <c r="D12" i="45" s="1"/>
  <c r="E19" i="45"/>
  <c r="D19" i="45"/>
  <c r="C111" i="44" a="1"/>
  <c r="E111" i="44" a="1"/>
  <c r="D111" i="44" a="1"/>
  <c r="B111" i="44" a="1"/>
  <c r="E68" i="44" a="1"/>
  <c r="D68" i="44" a="1"/>
  <c r="E27" i="44" a="1"/>
  <c r="D27" i="44" a="1"/>
  <c r="C68" i="44" a="1"/>
  <c r="B68" i="44" a="1"/>
  <c r="C27" i="44" a="1"/>
  <c r="B27" i="44" a="1"/>
  <c r="M2" i="22" a="1"/>
  <c r="M3" i="22" a="1"/>
  <c r="M4" i="22" a="1"/>
  <c r="M5" i="22" a="1"/>
  <c r="M6" i="22" a="1"/>
  <c r="M7" i="22" a="1"/>
  <c r="M8" i="22" a="1"/>
  <c r="M9" i="22" a="1"/>
  <c r="C15" i="51" s="1"/>
  <c r="M10" i="22" a="1"/>
  <c r="M11" i="22" a="1"/>
  <c r="M12" i="22" a="1"/>
  <c r="M13" i="22" a="1"/>
  <c r="M14" i="22" a="1"/>
  <c r="M15" i="22" a="1"/>
  <c r="M16" i="22" a="1"/>
  <c r="M17" i="22" a="1"/>
  <c r="M18" i="22" a="1"/>
  <c r="M19" i="22" a="1"/>
  <c r="M20" i="22" a="1"/>
  <c r="M21" i="22" a="1"/>
  <c r="M22" i="22" a="1"/>
  <c r="M23" i="22" a="1"/>
  <c r="M24" i="22" a="1"/>
  <c r="M25" i="22" a="1"/>
  <c r="M26" i="22" a="1"/>
  <c r="M27" i="22" a="1"/>
  <c r="M28" i="22" a="1"/>
  <c r="M29" i="22" a="1"/>
  <c r="M30" i="22" a="1"/>
  <c r="M31" i="22" a="1"/>
  <c r="M32" i="22" a="1"/>
  <c r="M33" i="22" a="1"/>
  <c r="M34" i="22" a="1"/>
  <c r="M35" i="22" a="1"/>
  <c r="M36" i="22" a="1"/>
  <c r="M37" i="22" a="1"/>
  <c r="M38" i="22" a="1"/>
  <c r="M39" i="22" a="1"/>
  <c r="M40" i="22" a="1"/>
  <c r="N2" i="22" a="1"/>
  <c r="N3" i="22" a="1"/>
  <c r="N4" i="22" a="1"/>
  <c r="N5" i="22" a="1"/>
  <c r="N6" i="22" a="1"/>
  <c r="N7" i="22" a="1"/>
  <c r="N8" i="22" a="1"/>
  <c r="N9" i="22" a="1"/>
  <c r="C16" i="51" s="1"/>
  <c r="N10" i="22" a="1"/>
  <c r="N11" i="22" a="1"/>
  <c r="N12" i="22" a="1"/>
  <c r="N13" i="22" a="1"/>
  <c r="N14" i="22" a="1"/>
  <c r="N15" i="22" a="1"/>
  <c r="N16" i="22" a="1"/>
  <c r="N17" i="22" a="1"/>
  <c r="N18" i="22" a="1"/>
  <c r="N19" i="22" a="1"/>
  <c r="N20" i="22" a="1"/>
  <c r="N21" i="22" a="1"/>
  <c r="N22" i="22" a="1"/>
  <c r="N23" i="22" a="1"/>
  <c r="N24" i="22" a="1"/>
  <c r="N25" i="22" a="1"/>
  <c r="N26" i="22" a="1"/>
  <c r="N27" i="22" a="1"/>
  <c r="N28" i="22" a="1"/>
  <c r="N29" i="22" a="1"/>
  <c r="N30" i="22" a="1"/>
  <c r="N31" i="22" a="1"/>
  <c r="N32" i="22" a="1"/>
  <c r="N33" i="22" a="1"/>
  <c r="N34" i="22" a="1"/>
  <c r="N35" i="22" a="1"/>
  <c r="N36" i="22" a="1"/>
  <c r="N37" i="22" a="1"/>
  <c r="N38" i="22" a="1"/>
  <c r="N39" i="22" a="1"/>
  <c r="N40" i="22" a="1"/>
  <c r="O2" i="22" a="1"/>
  <c r="O3" i="22" a="1"/>
  <c r="O4" i="22" a="1"/>
  <c r="O5" i="22" a="1"/>
  <c r="O6" i="22" a="1"/>
  <c r="O7" i="22" a="1"/>
  <c r="O8" i="22" a="1"/>
  <c r="O9" i="22" a="1"/>
  <c r="C17" i="51" s="1"/>
  <c r="O10" i="22" a="1"/>
  <c r="O11" i="22" a="1"/>
  <c r="O12" i="22" a="1"/>
  <c r="O13" i="22" a="1"/>
  <c r="O14" i="22" a="1"/>
  <c r="O15" i="22" a="1"/>
  <c r="O16" i="22" a="1"/>
  <c r="O17" i="22" a="1"/>
  <c r="O18" i="22" a="1"/>
  <c r="O19" i="22" a="1"/>
  <c r="O20" i="22" a="1"/>
  <c r="O21" i="22" a="1"/>
  <c r="O22" i="22" a="1"/>
  <c r="O23" i="22" a="1"/>
  <c r="O24" i="22" a="1"/>
  <c r="O25" i="22" a="1"/>
  <c r="O26" i="22" a="1"/>
  <c r="O27" i="22" a="1"/>
  <c r="O28" i="22" a="1"/>
  <c r="O29" i="22" a="1"/>
  <c r="O30" i="22" a="1"/>
  <c r="O31" i="22" a="1"/>
  <c r="O32" i="22" a="1"/>
  <c r="O33" i="22" a="1"/>
  <c r="O34" i="22" a="1"/>
  <c r="O35" i="22" a="1"/>
  <c r="O36" i="22" a="1"/>
  <c r="O37" i="22" a="1"/>
  <c r="O38" i="22" a="1"/>
  <c r="O39" i="22" a="1"/>
  <c r="O40" i="22" a="1"/>
  <c r="P2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Q2" i="22"/>
  <c r="R2" i="22" s="1" a="1"/>
  <c r="Q3" i="22"/>
  <c r="R3" i="22" s="1" a="1"/>
  <c r="Q4" i="22"/>
  <c r="R4" i="22" s="1" a="1"/>
  <c r="Q5" i="22"/>
  <c r="R5" i="22" s="1" a="1"/>
  <c r="Q6" i="22"/>
  <c r="Q7" i="22"/>
  <c r="R7" i="22" s="1" a="1"/>
  <c r="Q8" i="22"/>
  <c r="R8" i="22" s="1" a="1"/>
  <c r="Q9" i="22"/>
  <c r="R9" i="22" s="1" a="1"/>
  <c r="Q10" i="22"/>
  <c r="R10" i="22" s="1" a="1"/>
  <c r="Q11" i="22"/>
  <c r="R11" i="22" s="1" a="1"/>
  <c r="Q12" i="22"/>
  <c r="R12" i="22" s="1" a="1"/>
  <c r="Q13" i="22"/>
  <c r="R13" i="22" s="1" a="1"/>
  <c r="Q14" i="22"/>
  <c r="R14" i="22" s="1" a="1"/>
  <c r="Q15" i="22"/>
  <c r="R15" i="22" s="1" a="1"/>
  <c r="Q16" i="22"/>
  <c r="R16" i="22" s="1" a="1"/>
  <c r="Q17" i="22"/>
  <c r="R17" i="22" s="1" a="1"/>
  <c r="Q18" i="22"/>
  <c r="R18" i="22" s="1" a="1"/>
  <c r="Q19" i="22"/>
  <c r="R19" i="22" s="1" a="1"/>
  <c r="Q20" i="22"/>
  <c r="R20" i="22" s="1" a="1"/>
  <c r="Q21" i="22"/>
  <c r="R21" i="22" s="1" a="1"/>
  <c r="Q22" i="22"/>
  <c r="R22" i="22" s="1" a="1"/>
  <c r="Q23" i="22"/>
  <c r="R23" i="22" s="1" a="1"/>
  <c r="Q24" i="22"/>
  <c r="R24" i="22" s="1" a="1"/>
  <c r="Q25" i="22"/>
  <c r="R25" i="22" s="1" a="1"/>
  <c r="Q26" i="22"/>
  <c r="R26" i="22" s="1" a="1"/>
  <c r="Q27" i="22"/>
  <c r="R27" i="22" s="1" a="1"/>
  <c r="Q28" i="22"/>
  <c r="R28" i="22" s="1" a="1"/>
  <c r="Q29" i="22"/>
  <c r="R29" i="22" s="1" a="1"/>
  <c r="Q30" i="22"/>
  <c r="R30" i="22" s="1" a="1"/>
  <c r="Q31" i="22"/>
  <c r="R31" i="22" s="1" a="1"/>
  <c r="Q32" i="22"/>
  <c r="R32" i="22" s="1" a="1"/>
  <c r="Q33" i="22"/>
  <c r="R33" i="22" s="1" a="1"/>
  <c r="Q34" i="22"/>
  <c r="R34" i="22" s="1" a="1"/>
  <c r="Q35" i="22"/>
  <c r="R35" i="22" s="1" a="1"/>
  <c r="Q36" i="22"/>
  <c r="R36" i="22" s="1" a="1"/>
  <c r="Q37" i="22"/>
  <c r="R37" i="22" s="1" a="1"/>
  <c r="Q38" i="22"/>
  <c r="R38" i="22" s="1" a="1"/>
  <c r="Q39" i="22"/>
  <c r="R39" i="22" s="1" a="1"/>
  <c r="Q40" i="22"/>
  <c r="R40" i="22" s="1" a="1"/>
  <c r="S2" i="22" a="1"/>
  <c r="V2" i="22" s="1"/>
  <c r="S3" i="22" a="1"/>
  <c r="V3" i="22" s="1"/>
  <c r="S4" i="22" a="1"/>
  <c r="V4" i="22" s="1"/>
  <c r="S5" i="22" a="1"/>
  <c r="V5" i="22" s="1"/>
  <c r="S6" i="22" a="1"/>
  <c r="V6" i="22" s="1"/>
  <c r="S7" i="22" a="1"/>
  <c r="V7" i="22" s="1"/>
  <c r="S8" i="22" a="1"/>
  <c r="V8" i="22" s="1"/>
  <c r="S9" i="22" a="1"/>
  <c r="S10" i="22" a="1"/>
  <c r="V10" i="22" s="1"/>
  <c r="S11" i="22" a="1"/>
  <c r="V11" i="22" s="1"/>
  <c r="S12" i="22" a="1"/>
  <c r="V12" i="22" s="1"/>
  <c r="S13" i="22" a="1"/>
  <c r="S14" i="22" a="1"/>
  <c r="S15" i="22" a="1"/>
  <c r="S16" i="22" a="1"/>
  <c r="S17" i="22" a="1"/>
  <c r="S18" i="22" a="1"/>
  <c r="S19" i="22" a="1"/>
  <c r="S20" i="22" a="1"/>
  <c r="S21" i="22" a="1"/>
  <c r="S22" i="22" a="1"/>
  <c r="S23" i="22" a="1"/>
  <c r="S24" i="22" a="1"/>
  <c r="S25" i="22" a="1"/>
  <c r="S26" i="22" a="1"/>
  <c r="S27" i="22" a="1"/>
  <c r="S28" i="22" a="1"/>
  <c r="S29" i="22" a="1"/>
  <c r="S30" i="22" a="1"/>
  <c r="S31" i="22" a="1"/>
  <c r="S32" i="22" a="1"/>
  <c r="S33" i="22" a="1"/>
  <c r="S34" i="22" a="1"/>
  <c r="S35" i="22" a="1"/>
  <c r="S36" i="22" a="1"/>
  <c r="S37" i="22" a="1"/>
  <c r="S38" i="22" a="1"/>
  <c r="S39" i="22" a="1"/>
  <c r="S40" i="22" a="1"/>
  <c r="T2" i="22" a="1"/>
  <c r="T3" i="22" a="1"/>
  <c r="T4" i="22" a="1"/>
  <c r="T5" i="22" a="1"/>
  <c r="T6" i="22" a="1"/>
  <c r="T7" i="22" a="1"/>
  <c r="T8" i="22" a="1"/>
  <c r="T9" i="22" a="1"/>
  <c r="C12" i="51" s="1"/>
  <c r="T10" i="22" a="1"/>
  <c r="T11" i="22" a="1"/>
  <c r="T12" i="22" a="1"/>
  <c r="T13" i="22" a="1"/>
  <c r="T14" i="22" a="1"/>
  <c r="T15" i="22" a="1"/>
  <c r="T16" i="22" a="1"/>
  <c r="T17" i="22" a="1"/>
  <c r="T18" i="22" a="1"/>
  <c r="T19" i="22" a="1"/>
  <c r="T20" i="22" a="1"/>
  <c r="T21" i="22" a="1"/>
  <c r="T22" i="22" a="1"/>
  <c r="T23" i="22" a="1"/>
  <c r="T24" i="22" a="1"/>
  <c r="T25" i="22" a="1"/>
  <c r="T26" i="22" a="1"/>
  <c r="T27" i="22" a="1"/>
  <c r="T28" i="22" a="1"/>
  <c r="T29" i="22" a="1"/>
  <c r="T30" i="22" a="1"/>
  <c r="T31" i="22" a="1"/>
  <c r="T32" i="22" a="1"/>
  <c r="T33" i="22" a="1"/>
  <c r="T34" i="22" a="1"/>
  <c r="T35" i="22" a="1"/>
  <c r="T36" i="22" a="1"/>
  <c r="T37" i="22" a="1"/>
  <c r="T38" i="22" a="1"/>
  <c r="T39" i="22" a="1"/>
  <c r="T40" i="22" a="1"/>
  <c r="U2" i="22" a="1"/>
  <c r="U3" i="22" a="1"/>
  <c r="U4" i="22" a="1"/>
  <c r="U5" i="22" a="1"/>
  <c r="U6" i="22" a="1"/>
  <c r="U7" i="22" a="1"/>
  <c r="U8" i="22" a="1"/>
  <c r="U9" i="22" a="1"/>
  <c r="C19" i="51" s="1"/>
  <c r="U10" i="22" a="1"/>
  <c r="U11" i="22" a="1"/>
  <c r="U12" i="22" a="1"/>
  <c r="U13" i="22" a="1"/>
  <c r="U14" i="22" a="1"/>
  <c r="U15" i="22" a="1"/>
  <c r="U16" i="22" a="1"/>
  <c r="U17" i="22" a="1"/>
  <c r="U18" i="22" a="1"/>
  <c r="U19" i="22" a="1"/>
  <c r="U20" i="22" a="1"/>
  <c r="U21" i="22" a="1"/>
  <c r="U22" i="22" a="1"/>
  <c r="U23" i="22" a="1"/>
  <c r="U24" i="22" a="1"/>
  <c r="U25" i="22" a="1"/>
  <c r="U26" i="22" a="1"/>
  <c r="U27" i="22" a="1"/>
  <c r="U28" i="22" a="1"/>
  <c r="U29" i="22" a="1"/>
  <c r="U30" i="22" a="1"/>
  <c r="U31" i="22" a="1"/>
  <c r="U32" i="22" a="1"/>
  <c r="U33" i="22" a="1"/>
  <c r="U34" i="22" a="1"/>
  <c r="U35" i="22" a="1"/>
  <c r="U36" i="22" a="1"/>
  <c r="U37" i="22" a="1"/>
  <c r="U38" i="22" a="1"/>
  <c r="U39" i="22" a="1"/>
  <c r="U40" i="22" a="1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M2" i="11" a="1"/>
  <c r="M3" i="11" a="1"/>
  <c r="M4" i="11" a="1"/>
  <c r="M5" i="11" a="1"/>
  <c r="M6" i="11" a="1"/>
  <c r="M7" i="11" a="1"/>
  <c r="M8" i="11" a="1"/>
  <c r="M9" i="11" a="1"/>
  <c r="M10" i="11" a="1"/>
  <c r="M11" i="11" a="1"/>
  <c r="M12" i="11" a="1"/>
  <c r="M13" i="11" a="1"/>
  <c r="M14" i="11" a="1"/>
  <c r="M15" i="11" a="1"/>
  <c r="M16" i="11" a="1"/>
  <c r="M17" i="11" a="1"/>
  <c r="M18" i="11" a="1"/>
  <c r="M19" i="11" a="1"/>
  <c r="M20" i="11" a="1"/>
  <c r="M21" i="11" a="1"/>
  <c r="M22" i="11" a="1"/>
  <c r="M23" i="11" a="1"/>
  <c r="M24" i="11" a="1"/>
  <c r="M25" i="11" a="1"/>
  <c r="M26" i="11" a="1"/>
  <c r="M27" i="11" a="1"/>
  <c r="M28" i="11" a="1"/>
  <c r="M29" i="11" a="1"/>
  <c r="M30" i="11" a="1"/>
  <c r="M31" i="11" a="1"/>
  <c r="M32" i="11" a="1"/>
  <c r="M33" i="11" a="1"/>
  <c r="M34" i="11" a="1"/>
  <c r="M35" i="11" a="1"/>
  <c r="M36" i="11" a="1"/>
  <c r="M37" i="11" a="1"/>
  <c r="M38" i="11" a="1"/>
  <c r="M39" i="11" a="1"/>
  <c r="M40" i="11" a="1"/>
  <c r="N2" i="11" a="1"/>
  <c r="N3" i="11" a="1"/>
  <c r="N4" i="11" a="1"/>
  <c r="N5" i="11" a="1"/>
  <c r="N6" i="11" a="1"/>
  <c r="N7" i="11" a="1"/>
  <c r="N8" i="11" a="1"/>
  <c r="N9" i="11" a="1"/>
  <c r="N10" i="11" a="1"/>
  <c r="N11" i="11" a="1"/>
  <c r="N12" i="11" a="1"/>
  <c r="N13" i="11" a="1"/>
  <c r="N14" i="11" a="1"/>
  <c r="N15" i="11" a="1"/>
  <c r="N16" i="11" a="1"/>
  <c r="N17" i="11" a="1"/>
  <c r="N18" i="11" a="1"/>
  <c r="N19" i="11" a="1"/>
  <c r="N20" i="11" a="1"/>
  <c r="N21" i="11" a="1"/>
  <c r="N22" i="11" a="1"/>
  <c r="N23" i="11" a="1"/>
  <c r="N24" i="11" a="1"/>
  <c r="N25" i="11" a="1"/>
  <c r="N26" i="11" a="1"/>
  <c r="N27" i="11" a="1"/>
  <c r="N28" i="11" a="1"/>
  <c r="N29" i="11" a="1"/>
  <c r="N30" i="11" a="1"/>
  <c r="N31" i="11" a="1"/>
  <c r="N32" i="11" a="1"/>
  <c r="N33" i="11" a="1"/>
  <c r="N34" i="11" a="1"/>
  <c r="N35" i="11" a="1"/>
  <c r="N36" i="11" a="1"/>
  <c r="N37" i="11" a="1"/>
  <c r="N38" i="11" a="1"/>
  <c r="N39" i="11" a="1"/>
  <c r="N40" i="11" a="1"/>
  <c r="O2" i="11" a="1"/>
  <c r="O3" i="11" a="1"/>
  <c r="O4" i="11" a="1"/>
  <c r="O5" i="11" a="1"/>
  <c r="O6" i="11" a="1"/>
  <c r="O7" i="11" a="1"/>
  <c r="O8" i="11" a="1"/>
  <c r="O9" i="11" a="1"/>
  <c r="O10" i="11" a="1"/>
  <c r="O11" i="11" a="1"/>
  <c r="O12" i="11" a="1"/>
  <c r="O13" i="11" a="1"/>
  <c r="O14" i="11" a="1"/>
  <c r="O15" i="11" a="1"/>
  <c r="O16" i="11" a="1"/>
  <c r="O17" i="11" a="1"/>
  <c r="O18" i="11" a="1"/>
  <c r="O19" i="11" a="1"/>
  <c r="O20" i="11" a="1"/>
  <c r="O21" i="11" a="1"/>
  <c r="O22" i="11" a="1"/>
  <c r="O23" i="11" a="1"/>
  <c r="O24" i="11" a="1"/>
  <c r="O25" i="11" a="1"/>
  <c r="O26" i="11" a="1"/>
  <c r="O27" i="11" a="1"/>
  <c r="O28" i="11" a="1"/>
  <c r="O29" i="11" a="1"/>
  <c r="O30" i="11" a="1"/>
  <c r="O31" i="11" a="1"/>
  <c r="O32" i="11" a="1"/>
  <c r="O33" i="11" a="1"/>
  <c r="O34" i="11" a="1"/>
  <c r="O35" i="11" a="1"/>
  <c r="O36" i="11" a="1"/>
  <c r="O37" i="11" a="1"/>
  <c r="O38" i="11" a="1"/>
  <c r="O39" i="11" a="1"/>
  <c r="O40" i="11" a="1"/>
  <c r="I2" i="3"/>
  <c r="M2" i="3" s="1"/>
  <c r="I3" i="3"/>
  <c r="M3" i="3" s="1"/>
  <c r="I4" i="3"/>
  <c r="M4" i="3" s="1"/>
  <c r="I5" i="3"/>
  <c r="M5" i="3" s="1"/>
  <c r="I6" i="3"/>
  <c r="M6" i="3" s="1"/>
  <c r="I7" i="3"/>
  <c r="M7" i="3" s="1"/>
  <c r="I8" i="3"/>
  <c r="M8" i="3" s="1"/>
  <c r="I9" i="3"/>
  <c r="M9" i="3" s="1"/>
  <c r="I10" i="3"/>
  <c r="M10" i="3" s="1"/>
  <c r="I11" i="3"/>
  <c r="M11" i="3" s="1"/>
  <c r="I12" i="3"/>
  <c r="M12" i="3" s="1"/>
  <c r="I13" i="3"/>
  <c r="M13" i="3" s="1"/>
  <c r="I14" i="3"/>
  <c r="M14" i="3" s="1"/>
  <c r="I15" i="3"/>
  <c r="M15" i="3" s="1"/>
  <c r="I16" i="3"/>
  <c r="M16" i="3" s="1"/>
  <c r="I17" i="3"/>
  <c r="M17" i="3" s="1"/>
  <c r="I18" i="3"/>
  <c r="M18" i="3" s="1"/>
  <c r="I19" i="3"/>
  <c r="M19" i="3" s="1"/>
  <c r="I20" i="3"/>
  <c r="M20" i="3" s="1"/>
  <c r="I21" i="3"/>
  <c r="M21" i="3" s="1"/>
  <c r="I22" i="3"/>
  <c r="M22" i="3" s="1"/>
  <c r="I23" i="3"/>
  <c r="M23" i="3" s="1"/>
  <c r="I24" i="3"/>
  <c r="M24" i="3" s="1"/>
  <c r="I25" i="3"/>
  <c r="M25" i="3" s="1"/>
  <c r="I26" i="3"/>
  <c r="M26" i="3" s="1"/>
  <c r="I27" i="3"/>
  <c r="M27" i="3" s="1"/>
  <c r="I28" i="3"/>
  <c r="M28" i="3" s="1"/>
  <c r="I29" i="3"/>
  <c r="M29" i="3" s="1"/>
  <c r="I30" i="3"/>
  <c r="M30" i="3" s="1"/>
  <c r="I31" i="3"/>
  <c r="M31" i="3" s="1"/>
  <c r="I32" i="3"/>
  <c r="M32" i="3" s="1"/>
  <c r="I33" i="3"/>
  <c r="M33" i="3" s="1"/>
  <c r="I34" i="3"/>
  <c r="M34" i="3" s="1"/>
  <c r="I35" i="3"/>
  <c r="M35" i="3" s="1"/>
  <c r="I36" i="3"/>
  <c r="M36" i="3" s="1"/>
  <c r="I37" i="3"/>
  <c r="M37" i="3" s="1"/>
  <c r="I38" i="3"/>
  <c r="M38" i="3" s="1"/>
  <c r="I39" i="3"/>
  <c r="M39" i="3" s="1"/>
  <c r="I40" i="3"/>
  <c r="M40" i="3" s="1"/>
  <c r="I41" i="3"/>
  <c r="M41" i="3" s="1"/>
  <c r="I42" i="3"/>
  <c r="M42" i="3" s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N5" i="40"/>
  <c r="N6" i="40"/>
  <c r="N7" i="40"/>
  <c r="N8" i="40"/>
  <c r="N9" i="40"/>
  <c r="N10" i="40"/>
  <c r="N11" i="40"/>
  <c r="N12" i="40"/>
  <c r="N4" i="40"/>
  <c r="N14" i="40"/>
  <c r="H7" i="38"/>
  <c r="C6" i="38"/>
  <c r="C7" i="38"/>
  <c r="H8" i="36"/>
  <c r="D4" i="36"/>
  <c r="B5" i="19"/>
  <c r="B6" i="19"/>
  <c r="B7" i="19"/>
  <c r="B8" i="19"/>
  <c r="B9" i="19"/>
  <c r="C9" i="19" s="1"/>
  <c r="B10" i="19"/>
  <c r="C10" i="19" s="1"/>
  <c r="B11" i="19"/>
  <c r="C11" i="19" s="1"/>
  <c r="B12" i="19"/>
  <c r="B13" i="19"/>
  <c r="B14" i="19"/>
  <c r="B15" i="19"/>
  <c r="B16" i="19"/>
  <c r="B17" i="19"/>
  <c r="B18" i="19"/>
  <c r="B19" i="19"/>
  <c r="B20" i="19"/>
  <c r="B21" i="19"/>
  <c r="B22" i="19"/>
  <c r="D9" i="19"/>
  <c r="D10" i="19"/>
  <c r="D11" i="19"/>
  <c r="O6" i="7"/>
  <c r="O7" i="7"/>
  <c r="O8" i="7"/>
  <c r="O9" i="7"/>
  <c r="O10" i="7"/>
  <c r="O11" i="7"/>
  <c r="O3" i="7"/>
  <c r="O4" i="7"/>
  <c r="O5" i="7"/>
  <c r="O2" i="7"/>
  <c r="N5" i="7"/>
  <c r="N3" i="7"/>
  <c r="N4" i="7"/>
  <c r="N2" i="7"/>
  <c r="J3" i="7"/>
  <c r="J4" i="7"/>
  <c r="J5" i="7"/>
  <c r="J2" i="7"/>
  <c r="C18" i="51" l="1"/>
  <c r="V9" i="22"/>
  <c r="R6" i="22" a="1"/>
  <c r="K10" i="51" s="1"/>
  <c r="K9" i="51"/>
  <c r="C8" i="38"/>
  <c r="C9" i="38"/>
  <c r="C11" i="38"/>
  <c r="C10" i="38"/>
  <c r="D5" i="36"/>
  <c r="D6" i="36"/>
  <c r="H3" i="36"/>
  <c r="D12" i="19"/>
  <c r="C12" i="19"/>
  <c r="D14" i="19"/>
  <c r="C14" i="19"/>
  <c r="D15" i="19"/>
  <c r="C15" i="19"/>
  <c r="D16" i="19"/>
  <c r="C16" i="19"/>
  <c r="C5" i="19"/>
  <c r="D5" i="19"/>
  <c r="C6" i="19"/>
  <c r="D6" i="19"/>
  <c r="C7" i="19"/>
  <c r="D7" i="19"/>
  <c r="C8" i="19"/>
  <c r="D8" i="19"/>
  <c r="C13" i="19"/>
  <c r="D13" i="19"/>
  <c r="C17" i="19"/>
  <c r="D17" i="19"/>
  <c r="C18" i="19"/>
  <c r="D18" i="19"/>
  <c r="C19" i="19"/>
  <c r="D19" i="19"/>
  <c r="C20" i="19"/>
  <c r="D20" i="19"/>
  <c r="C21" i="19"/>
  <c r="D21" i="19"/>
  <c r="C22" i="19"/>
  <c r="D2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B2DD7-114B-4740-ACDF-047E6A379826}" keepAlive="1" name="Query - Excel files" description="Connection to the 'Excel files' query in the workbook." type="5" refreshedVersion="8" background="1" saveData="1">
    <dbPr connection="Provider=Microsoft.Mashup.OleDb.1;Data Source=$Workbook$;Location=&quot;Excel files&quot;;Extended Properties=&quot;&quot;" command="SELECT * FROM [Excel files]"/>
  </connection>
  <connection id="2" xr16:uid="{EA7767AC-C853-4822-A4C9-310AE3178EAE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  <connection id="3" xr16:uid="{008DB0FE-D69D-442B-AF01-56FA33AE9E14}" keepAlive="1" name="Query - Movie_financials" description="Connection to the 'Movie_financials' query in the workbook." type="5" refreshedVersion="8" background="1" saveData="1">
    <dbPr connection="Provider=Microsoft.Mashup.OleDb.1;Data Source=$Workbook$;Location=Movie_financials;Extended Properties=&quot;&quot;" command="SELECT * FROM [Movie_financials]"/>
  </connection>
  <connection id="4" xr16:uid="{4D5CF055-3669-45A9-9B86-C1E36E333985}" keepAlive="1" name="Query - Movie_financials  with release_date" description="Connection to the 'Movie_financials  with release_date' query in the workbook." type="5" refreshedVersion="8" background="1" saveData="1">
    <dbPr connection="Provider=Microsoft.Mashup.OleDb.1;Data Source=$Workbook$;Location=&quot;Movie_financials  with release_date&quot;;Extended Properties=&quot;&quot;" command="SELECT * FROM [Movie_financials  with release_date]"/>
  </connection>
  <connection id="5" xr16:uid="{4FB27D79-CDF7-43C8-A9C5-8CEB85778CEC}" keepAlive="1" name="Query - Movies" description="Connection to the 'Movies' query in the workbook." type="5" refreshedVersion="8" background="1" saveData="1">
    <dbPr connection="Provider=Microsoft.Mashup.OleDb.1;Data Source=$Workbook$;Location=Movies;Extended Properties=&quot;&quot;" command="SELECT * FROM [Movies]"/>
  </connection>
  <connection id="6" xr16:uid="{29F4F401-1902-43BD-98B6-4DFF986681E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F94F950B-9D5E-4528-B705-8BB0DAC2F677}" keepAlive="1" name="Query - release_date" description="Connection to the 'release_date' query in the workbook." type="5" refreshedVersion="0" background="1">
    <dbPr connection="Provider=Microsoft.Mashup.OleDb.1;Data Source=$Workbook$;Location=release_date;Extended Properties=&quot;&quot;" command="SELECT * FROM [release_date]"/>
  </connection>
  <connection id="8" xr16:uid="{ABEEFDD6-9423-4C00-931F-133CA1A993A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9" xr16:uid="{C6B4F472-BE85-4E6D-BDB5-B9F216F794A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71A0CB25-A0E9-42E5-90F5-1A020B5E589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00DB5E6A-959F-46DC-9798-9FCD0D3908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E1BBD99A-AA56-4591-B0B7-F48C9DC9AA15}" name="WorksheetConnection_Excel_learnigs.xlsx!Financials" type="102" refreshedVersion="8" minRefreshableVersion="5">
    <extLst>
      <ext xmlns:x15="http://schemas.microsoft.com/office/spreadsheetml/2010/11/main" uri="{DE250136-89BD-433C-8126-D09CA5730AF9}">
        <x15:connection id="Financials">
          <x15:rangePr sourceName="_xlcn.WorksheetConnection_Excel_learnigs.xlsxFinancials1"/>
        </x15:connection>
      </ext>
    </extLst>
  </connection>
  <connection id="13" xr16:uid="{085249B5-D93A-4B1F-9DA2-07F0896AE205}" name="WorksheetConnection_Excel_learnigs.xlsx!Movie_financials__with_release_date" type="102" refreshedVersion="8" minRefreshableVersion="5">
    <extLst>
      <ext xmlns:x15="http://schemas.microsoft.com/office/spreadsheetml/2010/11/main" uri="{DE250136-89BD-433C-8126-D09CA5730AF9}">
        <x15:connection id="Movie_financials__with_release_date" autoDelete="1">
          <x15:rangePr sourceName="_xlcn.WorksheetConnection_Excel_learnigs.xlsxMovie_financials__with_release_dat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<sst xmlns="http://schemas.openxmlformats.org/spreadsheetml/2006/main" count="1799" uniqueCount="392">
  <si>
    <t>movie_id_title</t>
  </si>
  <si>
    <t>industry</t>
  </si>
  <si>
    <t>release_year</t>
  </si>
  <si>
    <t>imdb_rating</t>
  </si>
  <si>
    <t>studio</t>
  </si>
  <si>
    <t>language_id</t>
  </si>
  <si>
    <t>101:K.G.F: Chapter 2</t>
  </si>
  <si>
    <t>Bollywood</t>
  </si>
  <si>
    <t xml:space="preserve">  Hombale Films</t>
  </si>
  <si>
    <t>102:Doctor Strange in the Multiverse of Madness</t>
  </si>
  <si>
    <t>Hollywood</t>
  </si>
  <si>
    <t>Marvel Studios</t>
  </si>
  <si>
    <t xml:space="preserve">103:Thor: The Dark World </t>
  </si>
  <si>
    <t xml:space="preserve">104:Thor: Ragnarok </t>
  </si>
  <si>
    <t xml:space="preserve"> Marvel Studios</t>
  </si>
  <si>
    <t xml:space="preserve">105:Thor: Love and Thunder </t>
  </si>
  <si>
    <t>106:Sholay</t>
  </si>
  <si>
    <t>United Producers</t>
  </si>
  <si>
    <t>107:Dilwale Dulhania Le Jayenge</t>
  </si>
  <si>
    <t>Yash Raj Films</t>
  </si>
  <si>
    <t>108: 3 Idiots</t>
  </si>
  <si>
    <t xml:space="preserve">  Vinod Chopra Films</t>
  </si>
  <si>
    <t>109:Kabhi Khushi Kabhie Gham</t>
  </si>
  <si>
    <t>Dharma Productions</t>
  </si>
  <si>
    <t xml:space="preserve">110:Bajirao Mastani </t>
  </si>
  <si>
    <t>111: The Shawshank Redemption</t>
  </si>
  <si>
    <t>Castle Rock Entertainment</t>
  </si>
  <si>
    <t>112:Inception</t>
  </si>
  <si>
    <t>Warner Bros. Pictures</t>
  </si>
  <si>
    <t>113:Interstellar</t>
  </si>
  <si>
    <t>115:The Pursuit of Happyness</t>
  </si>
  <si>
    <t>Columbia Pictures</t>
  </si>
  <si>
    <t>116:Gladiator</t>
  </si>
  <si>
    <t xml:space="preserve">Universal Pictures  </t>
  </si>
  <si>
    <t>117:Titanic</t>
  </si>
  <si>
    <t>Paramount Pictures</t>
  </si>
  <si>
    <t>118:It's a Wonderful Life</t>
  </si>
  <si>
    <t>Liberty Films</t>
  </si>
  <si>
    <t>119:Avatar</t>
  </si>
  <si>
    <t>20th Century Fox</t>
  </si>
  <si>
    <t>120:The Godfather</t>
  </si>
  <si>
    <t xml:space="preserve">    Paramount Pictures</t>
  </si>
  <si>
    <t>121:The Dark Knight</t>
  </si>
  <si>
    <t>Syncopy</t>
  </si>
  <si>
    <t>122:Schindler's List</t>
  </si>
  <si>
    <t>Universal Pictures</t>
  </si>
  <si>
    <t>123:Jurassic Park</t>
  </si>
  <si>
    <t>124:Parasite</t>
  </si>
  <si>
    <t>125:Avengers: Endgame</t>
  </si>
  <si>
    <t>126:Avengers: Infinity War</t>
  </si>
  <si>
    <t>127:Pather Panchali</t>
  </si>
  <si>
    <t xml:space="preserve"> Government of West Bengal  </t>
  </si>
  <si>
    <t>128:Taare Zameen Par</t>
  </si>
  <si>
    <t>129:Munna Bhai M.B.B.S.</t>
  </si>
  <si>
    <t>Vinod Chopra Productions</t>
  </si>
  <si>
    <t>130:PK</t>
  </si>
  <si>
    <t>Vinod Chopra Films</t>
  </si>
  <si>
    <t>131:Sanju</t>
  </si>
  <si>
    <t>NULL</t>
  </si>
  <si>
    <t>132:Pushpa: The Rise - Part 1</t>
  </si>
  <si>
    <t>Mythri Movie Makers</t>
  </si>
  <si>
    <t>133:RRR</t>
  </si>
  <si>
    <t>DVV Entertainment</t>
  </si>
  <si>
    <t>134:Baahubali: The Beginning</t>
  </si>
  <si>
    <t>Arka Media Works</t>
  </si>
  <si>
    <t>135:The Kashmir Files</t>
  </si>
  <si>
    <t>Zee Studios</t>
  </si>
  <si>
    <t>136:Bajrangi Bhaijaan</t>
  </si>
  <si>
    <t>Salman Khan Films</t>
  </si>
  <si>
    <t>137:Captain America: The First Avenger</t>
  </si>
  <si>
    <t>138:Captain America: The Winter Soldier</t>
  </si>
  <si>
    <t>139:Race 3</t>
  </si>
  <si>
    <t>140:Shershaah</t>
  </si>
  <si>
    <t>movie_id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</si>
  <si>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</si>
  <si>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</si>
  <si>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</si>
  <si>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</si>
  <si>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</si>
  <si>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</si>
  <si>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</si>
  <si>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</si>
  <si>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Movie_id</t>
  </si>
  <si>
    <t>Title</t>
  </si>
  <si>
    <t>K.G.F: Chapter 2</t>
  </si>
  <si>
    <t>2022</t>
  </si>
  <si>
    <t>Hombale Films</t>
  </si>
  <si>
    <t>Doctor Strange in the Multiverse of Madness</t>
  </si>
  <si>
    <t>Thor: The Dark World</t>
  </si>
  <si>
    <t>2013</t>
  </si>
  <si>
    <t>Thor: Ragnarok</t>
  </si>
  <si>
    <t>2017</t>
  </si>
  <si>
    <t>Thor: Love and Thunder</t>
  </si>
  <si>
    <t>Sholay</t>
  </si>
  <si>
    <t>1975</t>
  </si>
  <si>
    <t>Dilwale Dulhania Le Jayenge</t>
  </si>
  <si>
    <t>1995</t>
  </si>
  <si>
    <t>3 Idiots</t>
  </si>
  <si>
    <t>2009</t>
  </si>
  <si>
    <t>Kabhi Khushi Kabhie Gham</t>
  </si>
  <si>
    <t>2001</t>
  </si>
  <si>
    <t>Bajirao Mastani</t>
  </si>
  <si>
    <t>2015</t>
  </si>
  <si>
    <t>Not Avialable</t>
  </si>
  <si>
    <t>The Shawshank Redemption</t>
  </si>
  <si>
    <t>1994</t>
  </si>
  <si>
    <t>Inception</t>
  </si>
  <si>
    <t>2010</t>
  </si>
  <si>
    <t>Interstellar</t>
  </si>
  <si>
    <t>2014</t>
  </si>
  <si>
    <t>The Pursuit of Happyness</t>
  </si>
  <si>
    <t>2006</t>
  </si>
  <si>
    <t>Gladiator</t>
  </si>
  <si>
    <t>2000</t>
  </si>
  <si>
    <t>Titanic</t>
  </si>
  <si>
    <t>1997</t>
  </si>
  <si>
    <t>It's a Wonderful Life</t>
  </si>
  <si>
    <t>1946</t>
  </si>
  <si>
    <t>Avatar</t>
  </si>
  <si>
    <t>The Godfather</t>
  </si>
  <si>
    <t>1972</t>
  </si>
  <si>
    <t>The Dark Knight</t>
  </si>
  <si>
    <t>2008</t>
  </si>
  <si>
    <t>Schindler's List</t>
  </si>
  <si>
    <t>1993</t>
  </si>
  <si>
    <t>Jurassic Park</t>
  </si>
  <si>
    <t>Parasite</t>
  </si>
  <si>
    <t>2019</t>
  </si>
  <si>
    <t>Avengers: Endgame</t>
  </si>
  <si>
    <t>Avengers: Infinity War</t>
  </si>
  <si>
    <t>2018</t>
  </si>
  <si>
    <t>Pather Panchali</t>
  </si>
  <si>
    <t>1955</t>
  </si>
  <si>
    <t>Government of West Bengal</t>
  </si>
  <si>
    <t>Taare Zameen Par</t>
  </si>
  <si>
    <t>2007</t>
  </si>
  <si>
    <t>Munna Bhai M.B.B.S.</t>
  </si>
  <si>
    <t>2003</t>
  </si>
  <si>
    <t>PK</t>
  </si>
  <si>
    <t>Sanju</t>
  </si>
  <si>
    <t>Pushpa: The Rise - Part 1</t>
  </si>
  <si>
    <t>2021</t>
  </si>
  <si>
    <t>RRR</t>
  </si>
  <si>
    <t>Baahubali: The Beginning</t>
  </si>
  <si>
    <t>The Kashmir Files</t>
  </si>
  <si>
    <t>Bajrangi Bhaijaan</t>
  </si>
  <si>
    <t>Captain America: The First Avenger</t>
  </si>
  <si>
    <t>2011</t>
  </si>
  <si>
    <t>Captain America: The Winter Soldier</t>
  </si>
  <si>
    <t>Race 3</t>
  </si>
  <si>
    <t>Shershaah</t>
  </si>
  <si>
    <t>Xlookup Budget</t>
  </si>
  <si>
    <t>Vlookup Budget</t>
  </si>
  <si>
    <t>Revenue</t>
  </si>
  <si>
    <t>status</t>
  </si>
  <si>
    <t>Grand Total</t>
  </si>
  <si>
    <t>Industry</t>
  </si>
  <si>
    <t xml:space="preserve">Sales </t>
  </si>
  <si>
    <t>Tax rate</t>
  </si>
  <si>
    <t>Tax amount</t>
  </si>
  <si>
    <t>*</t>
  </si>
  <si>
    <t>3</t>
  </si>
  <si>
    <t>5</t>
  </si>
  <si>
    <t>1</t>
  </si>
  <si>
    <t>7</t>
  </si>
  <si>
    <t>2</t>
  </si>
  <si>
    <t>Movie_performance</t>
  </si>
  <si>
    <t>Rating_category</t>
  </si>
  <si>
    <t>Budget_category</t>
  </si>
  <si>
    <t>Average</t>
  </si>
  <si>
    <t>Hit</t>
  </si>
  <si>
    <t/>
  </si>
  <si>
    <t>Studio_number</t>
  </si>
  <si>
    <t>Studio-103</t>
  </si>
  <si>
    <t>Studio-104</t>
  </si>
  <si>
    <t>Studio-105</t>
  </si>
  <si>
    <t>Studio-106</t>
  </si>
  <si>
    <t>Studio-107</t>
  </si>
  <si>
    <t>Studio-108</t>
  </si>
  <si>
    <t>Studio-109</t>
  </si>
  <si>
    <t>Studio-110</t>
  </si>
  <si>
    <t>Studio-115</t>
  </si>
  <si>
    <t>Studio-116</t>
  </si>
  <si>
    <t>Studio-117</t>
  </si>
  <si>
    <t>Studio-118</t>
  </si>
  <si>
    <t>Extracted_studio_number</t>
  </si>
  <si>
    <t>Studio-  102</t>
  </si>
  <si>
    <t>Studio-  101</t>
  </si>
  <si>
    <t>Studio-1111</t>
  </si>
  <si>
    <t>Studio-1112</t>
  </si>
  <si>
    <t>Studio-13</t>
  </si>
  <si>
    <t>Studio-14</t>
  </si>
  <si>
    <t>Text functions in Excel</t>
  </si>
  <si>
    <t>Trim checking</t>
  </si>
  <si>
    <t>value checking</t>
  </si>
  <si>
    <t>release_date</t>
  </si>
  <si>
    <t>Movie_age</t>
  </si>
  <si>
    <t>Movie_era</t>
  </si>
  <si>
    <t>Movie_age(years)</t>
  </si>
  <si>
    <t>Classic</t>
  </si>
  <si>
    <t>Modern Classic</t>
  </si>
  <si>
    <t>New Release</t>
  </si>
  <si>
    <t>Movie_count</t>
  </si>
  <si>
    <t>Movie era distribution</t>
  </si>
  <si>
    <t>Movie age distribution by industry</t>
  </si>
  <si>
    <t>profit_category</t>
  </si>
  <si>
    <t>Imdb_grade</t>
  </si>
  <si>
    <t>revenue_category</t>
  </si>
  <si>
    <t>Highly Profitable</t>
  </si>
  <si>
    <t>Low Profit</t>
  </si>
  <si>
    <t>Profitable</t>
  </si>
  <si>
    <t>A</t>
  </si>
  <si>
    <t>A+</t>
  </si>
  <si>
    <t>B</t>
  </si>
  <si>
    <t>C</t>
  </si>
  <si>
    <t>Mega Hit</t>
  </si>
  <si>
    <t>Super Hit</t>
  </si>
  <si>
    <t>Highest priority</t>
  </si>
  <si>
    <t>Quality vs revenue analysis</t>
  </si>
  <si>
    <t>Industry profitability comparison</t>
  </si>
  <si>
    <t>MOVIE BUSINESS DASHBOARD</t>
  </si>
  <si>
    <t>High Revenue but low Profit Analysis</t>
  </si>
  <si>
    <t>Column1</t>
  </si>
  <si>
    <t>Status</t>
  </si>
  <si>
    <t>OK</t>
  </si>
  <si>
    <t>⚠ Movies Requiring Management Review</t>
  </si>
  <si>
    <t xml:space="preserve">DAY 8 - SUMIFS Bussiness Questions </t>
  </si>
  <si>
    <t>S.no</t>
  </si>
  <si>
    <t>Bussiness questions</t>
  </si>
  <si>
    <t>Result(Revenue)</t>
  </si>
  <si>
    <t>Total Hollywood Revenue</t>
  </si>
  <si>
    <t>Total Bollywood Revenue</t>
  </si>
  <si>
    <t>Total Hit movies  Revenue</t>
  </si>
  <si>
    <t>Total High Budget Revenue</t>
  </si>
  <si>
    <t>Hollywood + High Budget + Hit</t>
  </si>
  <si>
    <t xml:space="preserve">Hollywood + High Budget + Hit + Excellent  </t>
  </si>
  <si>
    <t>Formula demonstration</t>
  </si>
  <si>
    <t>Key take aways</t>
  </si>
  <si>
    <r>
      <t xml:space="preserve">✅ </t>
    </r>
    <r>
      <rPr>
        <b/>
        <sz val="14"/>
        <color theme="1"/>
        <rFont val="Aptos Narrow"/>
        <family val="2"/>
        <scheme val="minor"/>
      </rPr>
      <t>Always remember:</t>
    </r>
    <r>
      <rPr>
        <sz val="14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Sum first, Conditions after.</t>
    </r>
  </si>
  <si>
    <r>
      <t xml:space="preserve">✅ Use </t>
    </r>
    <r>
      <rPr>
        <b/>
        <sz val="14"/>
        <color theme="1"/>
        <rFont val="Aptos Narrow"/>
        <family val="2"/>
        <scheme val="minor"/>
      </rPr>
      <t>SUMIF</t>
    </r>
    <r>
      <rPr>
        <sz val="14"/>
        <color theme="1"/>
        <rFont val="Aptos Narrow"/>
        <family val="2"/>
        <scheme val="minor"/>
      </rPr>
      <t xml:space="preserve"> for one condition and </t>
    </r>
    <r>
      <rPr>
        <b/>
        <sz val="14"/>
        <color theme="1"/>
        <rFont val="Aptos Narrow"/>
        <family val="2"/>
        <scheme val="minor"/>
      </rPr>
      <t>SUMIFS</t>
    </r>
    <r>
      <rPr>
        <sz val="14"/>
        <color theme="1"/>
        <rFont val="Aptos Narrow"/>
        <family val="2"/>
        <scheme val="minor"/>
      </rPr>
      <t xml:space="preserve"> for one or more conditions.</t>
    </r>
  </si>
  <si>
    <r>
      <t xml:space="preserve">✅ </t>
    </r>
    <r>
      <rPr>
        <b/>
        <sz val="14"/>
        <color theme="1"/>
        <rFont val="Aptos Narrow"/>
        <family val="2"/>
        <scheme val="minor"/>
      </rPr>
      <t>SUMIFS syntax:</t>
    </r>
    <r>
      <rPr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rial Unicode MS"/>
      </rPr>
      <t>SUMIFS(sum_range, criteria_range1, criteria1, ...)</t>
    </r>
  </si>
  <si>
    <r>
      <t xml:space="preserve">✅ </t>
    </r>
    <r>
      <rPr>
        <sz val="14"/>
        <color theme="1"/>
        <rFont val="Arial Unicode MS"/>
      </rPr>
      <t>SUMIFS</t>
    </r>
    <r>
      <rPr>
        <sz val="14"/>
        <color theme="1"/>
        <rFont val="Aptos Narrow"/>
        <family val="2"/>
        <scheme val="minor"/>
      </rPr>
      <t xml:space="preserve"> uses </t>
    </r>
    <r>
      <rPr>
        <b/>
        <sz val="14"/>
        <color theme="1"/>
        <rFont val="Aptos Narrow"/>
        <family val="2"/>
        <scheme val="minor"/>
      </rPr>
      <t>AND logic</t>
    </r>
    <r>
      <rPr>
        <sz val="14"/>
        <color theme="1"/>
        <rFont val="Aptos Narrow"/>
        <family val="2"/>
        <scheme val="minor"/>
      </rPr>
      <t xml:space="preserve"> (all conditions must be true).</t>
    </r>
  </si>
  <si>
    <t>Movie Table</t>
  </si>
  <si>
    <t>Finance Table</t>
  </si>
  <si>
    <t>DAY 9 - INDEX MATCH(Looking left)</t>
  </si>
  <si>
    <t>Studio</t>
  </si>
  <si>
    <t>Source.Name</t>
  </si>
  <si>
    <t>Movie_feb.xlsx</t>
  </si>
  <si>
    <t>Movie_jan.xlsx</t>
  </si>
  <si>
    <t>Movie_mar.xlsx</t>
  </si>
  <si>
    <t>release_year2</t>
  </si>
  <si>
    <t>Movie_apr.xlsx</t>
  </si>
  <si>
    <t>DAY 11 -DYNAMIC ARRAY DASHBOARD</t>
  </si>
  <si>
    <t>S NO</t>
  </si>
  <si>
    <t>Bussiness Questions</t>
  </si>
  <si>
    <t>All Unique Studios</t>
  </si>
  <si>
    <t>RESULT</t>
  </si>
  <si>
    <t>Hollywood Movies Only</t>
  </si>
  <si>
    <t>Latest Released Movies</t>
  </si>
  <si>
    <t>Random Movie Recommendation</t>
  </si>
  <si>
    <t>First 5 Movies</t>
  </si>
  <si>
    <t>Selected Important Columns</t>
  </si>
  <si>
    <t>Auto Movie Numbers</t>
  </si>
  <si>
    <t>Combine Hollywood + Bollywood</t>
  </si>
  <si>
    <t>Show only Hollywood movies.</t>
  </si>
  <si>
    <t>Sort movie titles using Revenue</t>
  </si>
  <si>
    <t>Show Top 5 highest revenue movies</t>
  </si>
  <si>
    <t>Ignore Top 5 movies</t>
  </si>
  <si>
    <t>Skip First 5 Movies</t>
  </si>
  <si>
    <t>Create automatic serial numbers</t>
  </si>
  <si>
    <t>Dynamic Report</t>
  </si>
  <si>
    <t>Function Used</t>
  </si>
  <si>
    <t>Show latest released movies</t>
  </si>
  <si>
    <t>TAKE + SORTBY</t>
  </si>
  <si>
    <t>How many unique 
studios do we have?</t>
  </si>
  <si>
    <t>Management wants Hollywood
 and Bollywood combined</t>
  </si>
  <si>
    <t>Management needs 
only key columns</t>
  </si>
  <si>
    <t>Suggest a movie of the day</t>
  </si>
  <si>
    <t>Compare Revenue and Budget</t>
  </si>
  <si>
    <t>Revenue vs Budget Comparison</t>
  </si>
  <si>
    <t>HSTACK</t>
  </si>
  <si>
    <t>RANDARRAY</t>
  </si>
  <si>
    <t>VSTACK</t>
  </si>
  <si>
    <t>SEQUENCE</t>
  </si>
  <si>
    <t>CHOOSECOLS</t>
  </si>
  <si>
    <t>DROP</t>
  </si>
  <si>
    <t xml:space="preserve">TAKE </t>
  </si>
  <si>
    <t>Revenue-wise Movie List</t>
  </si>
  <si>
    <t>SORTBY</t>
  </si>
  <si>
    <t>FILTER</t>
  </si>
  <si>
    <t>SORT</t>
  </si>
  <si>
    <t>UNIQUE</t>
  </si>
  <si>
    <t>DAY 11'!B47</t>
  </si>
  <si>
    <t xml:space="preserve">Top  Movies </t>
  </si>
  <si>
    <t>Show  movies in alphabetical order</t>
  </si>
  <si>
    <t xml:space="preserve">Top Movies </t>
  </si>
  <si>
    <t>DAY 11'!C55</t>
  </si>
  <si>
    <t>DAY 11'!D42</t>
  </si>
  <si>
    <t>DAY 11'!B67</t>
  </si>
  <si>
    <t>DAY 11'!C68</t>
  </si>
  <si>
    <t>DAY 11'!E26</t>
  </si>
  <si>
    <t>DAY 11'!D67</t>
  </si>
  <si>
    <t>DAY 11'!E67</t>
  </si>
  <si>
    <t>Random Movie 
Recommendation</t>
  </si>
  <si>
    <t>DAY 11'!B111</t>
  </si>
  <si>
    <t>DAY 11'!C111</t>
  </si>
  <si>
    <t>DAY 11'!D111</t>
  </si>
  <si>
    <t>DAY 11'!E111</t>
  </si>
  <si>
    <t>DAY 12 - GOAL SEEK &amp; SCENARIO MANAGER</t>
  </si>
  <si>
    <t>Movie Analysis Dashboard</t>
  </si>
  <si>
    <t>Budget</t>
  </si>
  <si>
    <t>Current Revenue</t>
  </si>
  <si>
    <t>Target Revenue</t>
  </si>
  <si>
    <t>Expected units</t>
  </si>
  <si>
    <t>Ticket price</t>
  </si>
  <si>
    <t>Discount %</t>
  </si>
  <si>
    <t>Project Revenue</t>
  </si>
  <si>
    <t>Difference</t>
  </si>
  <si>
    <t>Scenario Summary</t>
  </si>
  <si>
    <t>Conservative</t>
  </si>
  <si>
    <t>Moderate</t>
  </si>
  <si>
    <t>Aggressive</t>
  </si>
  <si>
    <t>Profit/ loss</t>
  </si>
  <si>
    <t>Movie Name</t>
  </si>
  <si>
    <t>3 Idoits</t>
  </si>
  <si>
    <t>Bollywood studios</t>
  </si>
  <si>
    <t>Select Industry</t>
  </si>
  <si>
    <t>MOVIE SELECTOR</t>
  </si>
  <si>
    <t>Hollywood studios</t>
  </si>
  <si>
    <t>Movie name</t>
  </si>
  <si>
    <t>Movie ID</t>
  </si>
  <si>
    <t>Release Date</t>
  </si>
  <si>
    <t>Release Year</t>
  </si>
  <si>
    <t>Movie Age</t>
  </si>
  <si>
    <t>Movie Era</t>
  </si>
  <si>
    <t>Field</t>
  </si>
  <si>
    <t>Movie Details</t>
  </si>
  <si>
    <t>IMDb Rating</t>
  </si>
  <si>
    <t>IMDb Grade</t>
  </si>
  <si>
    <t>Movie Performance</t>
  </si>
  <si>
    <t>Rating Category</t>
  </si>
  <si>
    <t>Budget Category</t>
  </si>
  <si>
    <t>Profit Category</t>
  </si>
  <si>
    <t>Revenue Category</t>
  </si>
  <si>
    <t>Metric</t>
  </si>
  <si>
    <t>Value</t>
  </si>
  <si>
    <t>DAY 13 - MOVIE SELECTOR DASHBOARD</t>
  </si>
  <si>
    <t>Select  Studios</t>
  </si>
  <si>
    <t>Movie  snapshot</t>
  </si>
  <si>
    <t xml:space="preserve">Select Movie </t>
  </si>
  <si>
    <t xml:space="preserve">DAY 14 - VLOOKUP DEBUGGING </t>
  </si>
  <si>
    <t xml:space="preserve">Doctor Strange </t>
  </si>
  <si>
    <t>Business Scenario:</t>
  </si>
  <si>
    <t>A finance report returned incorrect movie budgets after a VLOOKUP was used without proper precautions.</t>
  </si>
  <si>
    <t>This worksheet demonstrates how VLOOKUP can silently fail and how XLOOKUP and INDEX+MATCH provide safer alternatives.</t>
  </si>
  <si>
    <t>INDEX + MATCH</t>
  </si>
  <si>
    <t>VLOOKUP (Approximate)</t>
  </si>
  <si>
    <t>VLOOKUP
 (Exact Match)</t>
  </si>
  <si>
    <t>Situation</t>
  </si>
  <si>
    <t>Excel</t>
  </si>
  <si>
    <t>POWERBI</t>
  </si>
  <si>
    <t>Best Use Case</t>
  </si>
  <si>
    <t>Scalability</t>
  </si>
  <si>
    <t>Automation &amp; Refresh</t>
  </si>
  <si>
    <t>Interactive Dashboards</t>
  </si>
  <si>
    <t>Large Datasets</t>
  </si>
  <si>
    <t>Pivot Tables</t>
  </si>
  <si>
    <t>Formulas &amp; Calculations</t>
  </si>
  <si>
    <t>Data Entry &amp; Editing</t>
  </si>
  <si>
    <t>Small Datasets</t>
  </si>
  <si>
    <t>Best for personal or team analysis</t>
  </si>
  <si>
    <t>File sharing through Excel</t>
  </si>
  <si>
    <t>Manual refresh required</t>
  </si>
  <si>
    <t>Limited interactivity</t>
  </si>
  <si>
    <t>❌ Performance decreases as data grows</t>
  </si>
  <si>
    <t>✅ Fast and easy to create</t>
  </si>
  <si>
    <t>✅ Powerful formulas and what-if analysis</t>
  </si>
  <si>
    <t>✅ Easy manual entry and quick updates</t>
  </si>
  <si>
    <t>✅ Best choice for small to medium datasets</t>
  </si>
  <si>
    <t>Business intelligence, dashboards, automated reporting</t>
  </si>
  <si>
    <t>✅ Built for enterprise reporting</t>
  </si>
  <si>
    <t>✅ Publish and share reports securely</t>
  </si>
  <si>
    <t>✅ Scheduled and automatic refresh</t>
  </si>
  <si>
    <t>✅ Optimized for millions of rows</t>
  </si>
  <si>
    <t>Available through visuals instead of Pivot Tables</t>
  </si>
  <si>
    <t>DAX is powerful but focused on analytics</t>
  </si>
  <si>
    <t>❌ Not designed for data entry</t>
  </si>
  <si>
    <t>Not necessary</t>
  </si>
  <si>
    <t>Analysis, calculations, financial modeling</t>
  </si>
  <si>
    <t>✅ Rich interactive dashboards with drill-downs &amp; slicers</t>
  </si>
  <si>
    <t>EXCEL VS POWER BI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</si>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</sst>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₹&quot;\ #,##0.0&quot;M&quot;"/>
    <numFmt numFmtId="165" formatCode="0.0%"/>
    <numFmt numFmtId="166" formatCode="&quot;verified&quot;;&quot;incorrect budget&quot;;&quot;mismatched&quot;"/>
  </numFmts>
  <fonts count="3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rial Black"/>
      <family val="2"/>
    </font>
    <font>
      <sz val="8"/>
      <name val="Aptos Narrow"/>
      <family val="2"/>
      <scheme val="minor"/>
    </font>
    <font>
      <sz val="24"/>
      <color theme="1"/>
      <name val="Arial Black"/>
      <family val="2"/>
    </font>
    <font>
      <sz val="11"/>
      <color theme="0"/>
      <name val="Aptos Narrow"/>
      <family val="2"/>
      <scheme val="minor"/>
    </font>
    <font>
      <sz val="16"/>
      <color theme="1"/>
      <name val="Times New Roman"/>
      <family val="1"/>
    </font>
    <font>
      <b/>
      <sz val="22"/>
      <color theme="0"/>
      <name val="Times New Roman"/>
      <family val="1"/>
    </font>
    <font>
      <b/>
      <sz val="16"/>
      <color rgb="FFFFFF00"/>
      <name val="Times New Roman"/>
      <family val="1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 Unicode MS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7" fillId="10" borderId="0" applyNumberFormat="0" applyBorder="0" applyAlignment="0" applyProtection="0"/>
  </cellStyleXfs>
  <cellXfs count="122">
    <xf numFmtId="0" fontId="0" fillId="0" borderId="0" xfId="0"/>
    <xf numFmtId="0" fontId="1" fillId="2" borderId="0" xfId="0" applyFont="1" applyFill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4" fillId="3" borderId="1" xfId="0" applyFont="1" applyFill="1" applyBorder="1"/>
    <xf numFmtId="9" fontId="0" fillId="0" borderId="0" xfId="0" applyNumberFormat="1"/>
    <xf numFmtId="0" fontId="0" fillId="2" borderId="0" xfId="0" applyFill="1"/>
    <xf numFmtId="0" fontId="5" fillId="2" borderId="0" xfId="0" applyFont="1" applyFill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4" borderId="1" xfId="0" applyFill="1" applyBorder="1"/>
    <xf numFmtId="0" fontId="0" fillId="0" borderId="1" xfId="0" applyBorder="1"/>
    <xf numFmtId="14" fontId="0" fillId="0" borderId="0" xfId="0" applyNumberFormat="1"/>
    <xf numFmtId="0" fontId="10" fillId="7" borderId="0" xfId="0" applyFont="1" applyFill="1"/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/>
    </xf>
    <xf numFmtId="0" fontId="16" fillId="0" borderId="0" xfId="0" applyFont="1"/>
    <xf numFmtId="0" fontId="17" fillId="8" borderId="0" xfId="0" applyFont="1" applyFill="1"/>
    <xf numFmtId="0" fontId="9" fillId="0" borderId="0" xfId="0" applyFont="1"/>
    <xf numFmtId="0" fontId="13" fillId="8" borderId="0" xfId="0" applyFont="1" applyFill="1"/>
    <xf numFmtId="0" fontId="16" fillId="0" borderId="3" xfId="0" applyFont="1" applyBorder="1"/>
    <xf numFmtId="0" fontId="16" fillId="0" borderId="5" xfId="0" applyFont="1" applyBorder="1"/>
    <xf numFmtId="0" fontId="13" fillId="9" borderId="5" xfId="0" applyFont="1" applyFill="1" applyBorder="1"/>
    <xf numFmtId="0" fontId="13" fillId="9" borderId="4" xfId="0" applyFont="1" applyFill="1" applyBorder="1"/>
    <xf numFmtId="164" fontId="16" fillId="0" borderId="4" xfId="0" applyNumberFormat="1" applyFont="1" applyBorder="1"/>
    <xf numFmtId="164" fontId="16" fillId="0" borderId="2" xfId="0" applyNumberFormat="1" applyFont="1" applyBorder="1"/>
    <xf numFmtId="0" fontId="15" fillId="8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19" fillId="0" borderId="0" xfId="0" applyFont="1"/>
    <xf numFmtId="0" fontId="13" fillId="0" borderId="0" xfId="0" applyFont="1"/>
    <xf numFmtId="0" fontId="0" fillId="8" borderId="0" xfId="0" applyFill="1"/>
    <xf numFmtId="0" fontId="24" fillId="8" borderId="0" xfId="0" applyFont="1" applyFill="1"/>
    <xf numFmtId="0" fontId="24" fillId="8" borderId="0" xfId="0" applyFont="1" applyFill="1" applyAlignment="1">
      <alignment wrapText="1"/>
    </xf>
    <xf numFmtId="0" fontId="19" fillId="8" borderId="0" xfId="0" applyFont="1" applyFill="1"/>
    <xf numFmtId="0" fontId="29" fillId="0" borderId="0" xfId="0" applyFont="1"/>
    <xf numFmtId="0" fontId="0" fillId="0" borderId="6" xfId="0" applyBorder="1"/>
    <xf numFmtId="0" fontId="0" fillId="0" borderId="7" xfId="0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9" fillId="0" borderId="2" xfId="0" applyFont="1" applyBorder="1"/>
    <xf numFmtId="0" fontId="24" fillId="3" borderId="2" xfId="0" applyFont="1" applyFill="1" applyBorder="1" applyAlignment="1">
      <alignment horizontal="center"/>
    </xf>
    <xf numFmtId="0" fontId="19" fillId="4" borderId="2" xfId="0" applyFont="1" applyFill="1" applyBorder="1"/>
    <xf numFmtId="0" fontId="4" fillId="11" borderId="0" xfId="0" applyFont="1" applyFill="1"/>
    <xf numFmtId="0" fontId="0" fillId="12" borderId="0" xfId="0" applyFill="1"/>
    <xf numFmtId="0" fontId="25" fillId="0" borderId="0" xfId="0" applyFont="1"/>
    <xf numFmtId="0" fontId="13" fillId="14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left"/>
    </xf>
    <xf numFmtId="0" fontId="20" fillId="5" borderId="0" xfId="0" applyFont="1" applyFill="1" applyAlignment="1">
      <alignment horizontal="center"/>
    </xf>
    <xf numFmtId="0" fontId="19" fillId="2" borderId="0" xfId="0" applyFont="1" applyFill="1"/>
    <xf numFmtId="0" fontId="19" fillId="12" borderId="0" xfId="0" applyFont="1" applyFill="1" applyAlignment="1">
      <alignment horizontal="right"/>
    </xf>
    <xf numFmtId="0" fontId="0" fillId="12" borderId="12" xfId="0" applyFill="1" applyBorder="1"/>
    <xf numFmtId="0" fontId="20" fillId="5" borderId="14" xfId="0" applyFont="1" applyFill="1" applyBorder="1" applyAlignment="1">
      <alignment horizontal="center"/>
    </xf>
    <xf numFmtId="0" fontId="19" fillId="2" borderId="14" xfId="0" applyFont="1" applyFill="1" applyBorder="1"/>
    <xf numFmtId="0" fontId="19" fillId="2" borderId="15" xfId="0" applyFont="1" applyFill="1" applyBorder="1"/>
    <xf numFmtId="0" fontId="19" fillId="12" borderId="12" xfId="0" applyFont="1" applyFill="1" applyBorder="1" applyAlignment="1">
      <alignment horizontal="right"/>
    </xf>
    <xf numFmtId="14" fontId="19" fillId="12" borderId="0" xfId="0" applyNumberFormat="1" applyFont="1" applyFill="1" applyAlignment="1">
      <alignment horizontal="right"/>
    </xf>
    <xf numFmtId="0" fontId="30" fillId="0" borderId="0" xfId="0" applyFont="1"/>
    <xf numFmtId="0" fontId="30" fillId="0" borderId="0" xfId="0" applyFont="1" applyAlignment="1">
      <alignment wrapText="1"/>
    </xf>
    <xf numFmtId="0" fontId="26" fillId="3" borderId="8" xfId="0" applyFont="1" applyFill="1" applyBorder="1"/>
    <xf numFmtId="0" fontId="26" fillId="3" borderId="9" xfId="0" applyFont="1" applyFill="1" applyBorder="1"/>
    <xf numFmtId="0" fontId="26" fillId="3" borderId="10" xfId="0" applyFont="1" applyFill="1" applyBorder="1"/>
    <xf numFmtId="0" fontId="25" fillId="0" borderId="0" xfId="0" applyFont="1" applyAlignment="1">
      <alignment wrapText="1"/>
    </xf>
    <xf numFmtId="0" fontId="0" fillId="14" borderId="0" xfId="0" applyFill="1"/>
    <xf numFmtId="0" fontId="15" fillId="12" borderId="0" xfId="0" applyFont="1" applyFill="1" applyAlignment="1">
      <alignment horizontal="center"/>
    </xf>
    <xf numFmtId="166" fontId="0" fillId="0" borderId="0" xfId="0" applyNumberFormat="1"/>
    <xf numFmtId="166" fontId="25" fillId="0" borderId="0" xfId="0" applyNumberFormat="1" applyFont="1"/>
    <xf numFmtId="0" fontId="6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1" fillId="7" borderId="0" xfId="0" applyFont="1" applyFill="1" applyAlignment="1">
      <alignment horizontal="left" vertical="center" indent="43"/>
    </xf>
    <xf numFmtId="0" fontId="12" fillId="7" borderId="0" xfId="0" applyFont="1" applyFill="1" applyAlignment="1">
      <alignment horizontal="left"/>
    </xf>
    <xf numFmtId="0" fontId="13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14" fillId="8" borderId="0" xfId="0" applyFont="1" applyFill="1" applyAlignment="1">
      <alignment horizontal="left" indent="48"/>
    </xf>
    <xf numFmtId="0" fontId="22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0" fontId="19" fillId="10" borderId="2" xfId="1" applyFont="1" applyBorder="1" applyAlignment="1">
      <alignment horizontal="right"/>
    </xf>
    <xf numFmtId="0" fontId="19" fillId="10" borderId="2" xfId="1" applyFont="1" applyBorder="1" applyAlignment="1">
      <alignment horizontal="left"/>
    </xf>
    <xf numFmtId="0" fontId="14" fillId="8" borderId="0" xfId="0" applyFont="1" applyFill="1" applyAlignment="1">
      <alignment horizontal="center"/>
    </xf>
    <xf numFmtId="165" fontId="19" fillId="10" borderId="2" xfId="1" applyNumberFormat="1" applyFont="1" applyBorder="1" applyAlignment="1">
      <alignment horizontal="right"/>
    </xf>
    <xf numFmtId="0" fontId="19" fillId="10" borderId="3" xfId="1" applyFont="1" applyBorder="1" applyAlignment="1">
      <alignment horizontal="left"/>
    </xf>
    <xf numFmtId="0" fontId="19" fillId="10" borderId="11" xfId="1" applyFont="1" applyBorder="1" applyAlignment="1">
      <alignment horizontal="left"/>
    </xf>
    <xf numFmtId="0" fontId="19" fillId="10" borderId="3" xfId="1" applyFont="1" applyBorder="1" applyAlignment="1">
      <alignment horizontal="right"/>
    </xf>
    <xf numFmtId="0" fontId="19" fillId="10" borderId="11" xfId="1" applyFont="1" applyBorder="1" applyAlignment="1">
      <alignment horizontal="right"/>
    </xf>
    <xf numFmtId="0" fontId="15" fillId="11" borderId="0" xfId="0" applyFont="1" applyFill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15" fillId="11" borderId="13" xfId="0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19" fillId="0" borderId="0" xfId="0" applyFont="1" applyAlignment="1">
      <alignment horizontal="left" vertical="top"/>
    </xf>
    <xf numFmtId="0" fontId="15" fillId="11" borderId="16" xfId="0" applyFont="1" applyFill="1" applyBorder="1" applyAlignment="1">
      <alignment horizontal="center"/>
    </xf>
    <xf numFmtId="0" fontId="15" fillId="11" borderId="17" xfId="0" applyFont="1" applyFill="1" applyBorder="1" applyAlignment="1">
      <alignment horizontal="center"/>
    </xf>
    <xf numFmtId="0" fontId="15" fillId="11" borderId="24" xfId="0" applyFont="1" applyFill="1" applyBorder="1" applyAlignment="1">
      <alignment horizontal="center"/>
    </xf>
    <xf numFmtId="0" fontId="19" fillId="12" borderId="22" xfId="0" applyFont="1" applyFill="1" applyBorder="1" applyAlignment="1">
      <alignment horizontal="left" vertical="top"/>
    </xf>
    <xf numFmtId="0" fontId="19" fillId="12" borderId="22" xfId="0" applyFont="1" applyFill="1" applyBorder="1"/>
    <xf numFmtId="0" fontId="19" fillId="12" borderId="0" xfId="0" applyFont="1" applyFill="1" applyBorder="1" applyAlignment="1">
      <alignment horizontal="left" vertical="top"/>
    </xf>
    <xf numFmtId="0" fontId="19" fillId="12" borderId="0" xfId="0" applyFont="1" applyFill="1" applyBorder="1"/>
    <xf numFmtId="0" fontId="19" fillId="12" borderId="18" xfId="0" applyFont="1" applyFill="1" applyBorder="1" applyAlignment="1">
      <alignment horizontal="left"/>
    </xf>
    <xf numFmtId="0" fontId="19" fillId="12" borderId="19" xfId="0" applyFont="1" applyFill="1" applyBorder="1" applyAlignment="1">
      <alignment horizontal="left"/>
    </xf>
    <xf numFmtId="0" fontId="19" fillId="12" borderId="20" xfId="0" applyFont="1" applyFill="1" applyBorder="1" applyAlignment="1">
      <alignment horizontal="left" vertical="top"/>
    </xf>
    <xf numFmtId="0" fontId="19" fillId="12" borderId="23" xfId="0" applyFont="1" applyFill="1" applyBorder="1" applyAlignment="1">
      <alignment horizontal="left" vertical="top"/>
    </xf>
    <xf numFmtId="0" fontId="19" fillId="12" borderId="20" xfId="0" applyFont="1" applyFill="1" applyBorder="1"/>
    <xf numFmtId="0" fontId="13" fillId="15" borderId="0" xfId="0" applyFont="1" applyFill="1" applyAlignment="1">
      <alignment horizontal="center"/>
    </xf>
    <xf numFmtId="0" fontId="31" fillId="15" borderId="0" xfId="0" applyFont="1" applyFill="1" applyAlignment="1">
      <alignment horizontal="center"/>
    </xf>
    <xf numFmtId="0" fontId="15" fillId="11" borderId="25" xfId="0" applyFont="1" applyFill="1" applyBorder="1" applyAlignment="1">
      <alignment horizontal="center"/>
    </xf>
    <xf numFmtId="0" fontId="19" fillId="12" borderId="14" xfId="0" applyFont="1" applyFill="1" applyBorder="1"/>
    <xf numFmtId="0" fontId="19" fillId="12" borderId="15" xfId="0" applyFont="1" applyFill="1" applyBorder="1"/>
    <xf numFmtId="0" fontId="19" fillId="12" borderId="12" xfId="0" applyFont="1" applyFill="1" applyBorder="1"/>
    <xf numFmtId="0" fontId="19" fillId="12" borderId="21" xfId="0" applyFont="1" applyFill="1" applyBorder="1"/>
    <xf numFmtId="0" fontId="2" fillId="0" borderId="0" xfId="0" applyNumberFormat="1" applyFont="1"/>
  </cellXfs>
  <cellStyles count="2">
    <cellStyle name="40% - Accent6" xfId="1" builtinId="51"/>
    <cellStyle name="Normal" xfId="0" builtinId="0"/>
  </cellStyles>
  <dxfs count="149"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&quot;verified&quot;;&quot;incorrect budget&quot;;&quot;mismatched&quot;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numFmt numFmtId="0" formatCode="General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208872E9-7A99-46A8-9B3E-974F9B430F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36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4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5.xml"/><Relationship Id="rId35" Type="http://schemas.openxmlformats.org/officeDocument/2006/relationships/sheetMetadata" Target="metadata.xml"/><Relationship Id="rId43" Type="http://schemas.openxmlformats.org/officeDocument/2006/relationships/customXml" Target="../customXml/item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[Excel_learnigs.xlsx]Day5 pivot table 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Movie</a:t>
            </a:r>
            <a:r>
              <a:rPr lang="en-IN" baseline="0"/>
              <a:t> era distribution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'Day5 pivot table 1'!$B$7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'Day5 pivot table 1'!$A$8:$A$11</c:f>
              <c:strCache>
                <c:ptCount val="3"/>
                <c:pt idx="0">
                  <c:v>Classic</c:v>
                </c:pt>
                <c:pt idx="1">
                  <c:v>Modern Classic</c:v>
                </c:pt>
                <c:pt idx="2">
                  <c:v>New Release</c:v>
                </c:pt>
              </c:strCache>
            </c:strRef>
          </c:cat>
          <c:val>
            <c:numRef>
              <c:f>'Day5 pivot table 1'!$B$8:$B$11</c:f>
              <c:numCache>
                <c:formatCode>General</c:formatCode>
                <c:ptCount val="3"/>
                <c:pt idx="0">
                  <c:v>17</c:v>
                </c:pt>
                <c:pt idx="1">
                  <c:v>15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8-4959-84FD-1DCAD6D972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4371952"/>
        <c:axId val="203108176"/>
      </c:barChart>
      <c:catAx>
        <c:axId val="184371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108176"/>
        <c:crosses val="autoZero"/>
        <c:auto val="1"/>
        <c:lblAlgn val="ctr"/>
        <c:lblOffset val="100"/>
        <c:noMultiLvlLbl val="0"/>
      </c:catAx>
      <c:valAx>
        <c:axId val="2031081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3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[Excel_learnigs.xlsx]Day5 pivot table 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'Day5 pivot table 2'!$B$7:$B$8</c:f>
              <c:strCache>
                <c:ptCount val="1"/>
                <c:pt idx="0">
                  <c:v>Classic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'Day5 pivot table 2'!$A$9:$A$11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'Day5 pivot table 2'!$B$9:$B$11</c:f>
              <c:numCache>
                <c:formatCode>General</c:formatCode>
                <c:ptCount val="2"/>
                <c:pt idx="0">
                  <c:v>7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6-49BE-A921-49FA4C3685E9}"/>
            </c:ext>
          </c:extLst>
        </c:ser>
        <c:ser>
          <c:idx val="1"/>
          <c:order val="1"/>
          <c:tx>
            <c:strRef>
              <c:f>'Day5 pivot table 2'!$C$7:$C$8</c:f>
              <c:strCache>
                <c:ptCount val="1"/>
                <c:pt idx="0">
                  <c:v>Modern Classic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'Day5 pivot table 2'!$A$9:$A$11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'Day5 pivot table 2'!$C$9:$C$11</c:f>
              <c:numCache>
                <c:formatCode>General</c:formatCode>
                <c:ptCount val="2"/>
                <c:pt idx="0">
                  <c:v>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6-49BE-A921-49FA4C3685E9}"/>
            </c:ext>
          </c:extLst>
        </c:ser>
        <c:ser>
          <c:idx val="2"/>
          <c:order val="2"/>
          <c:tx>
            <c:strRef>
              <c:f>'Day5 pivot table 2'!$D$7:$D$8</c:f>
              <c:strCache>
                <c:ptCount val="1"/>
                <c:pt idx="0">
                  <c:v>New Release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'Day5 pivot table 2'!$A$9:$A$11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'Day5 pivot table 2'!$D$9:$D$11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6-49BE-A921-49FA4C3685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92993487"/>
        <c:axId val="203047696"/>
      </c:barChart>
      <c:catAx>
        <c:axId val="69299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7696"/>
        <c:crosses val="autoZero"/>
        <c:auto val="1"/>
        <c:lblAlgn val="ctr"/>
        <c:lblOffset val="100"/>
        <c:noMultiLvlLbl val="0"/>
      </c:catAx>
      <c:valAx>
        <c:axId val="203047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9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 6 pivot table 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'Day 6 pivot table 1'!$B$7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E58-4269-933A-294235E429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E58-4269-933A-294235E429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E58-4269-933A-294235E429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'Day 6 pivot table 1'!$A$8:$A$11</c:f>
              <c:strCache>
                <c:ptCount val="3"/>
                <c:pt idx="0">
                  <c:v>Highly Profitable</c:v>
                </c:pt>
                <c:pt idx="1">
                  <c:v>Low Profit</c:v>
                </c:pt>
                <c:pt idx="2">
                  <c:v>Profitable</c:v>
                </c:pt>
              </c:strCache>
            </c:strRef>
          </c:cat>
          <c:val>
            <c:numRef>
              <c:f>'Day 6 pivot table 1'!$B$8:$B$11</c:f>
              <c:numCache>
                <c:formatCode>General</c:formatCode>
                <c:ptCount val="3"/>
                <c:pt idx="0">
                  <c:v>28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6-4C94-BC33-769A928C29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 6 pivot table 2!PivotTable10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'Day 6 pivot table 2'!$B$7:$B$8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2'!$A$9:$A$13</c:f>
              <c:strCache>
                <c:ptCount val="4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'Day 6 pivot table 2'!$B$9:$B$13</c:f>
              <c:numCache>
                <c:formatCode>General</c:formatCode>
                <c:ptCount val="4"/>
                <c:pt idx="0">
                  <c:v>11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3-4E09-9DF6-EDB36CB421DD}"/>
            </c:ext>
          </c:extLst>
        </c:ser>
        <c:ser>
          <c:idx val="1"/>
          <c:order val="1"/>
          <c:tx>
            <c:strRef>
              <c:f>'Day 6 pivot table 2'!$C$7:$C$8</c:f>
              <c:strCache>
                <c:ptCount val="1"/>
                <c:pt idx="0">
                  <c:v>Hit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2'!$A$9:$A$13</c:f>
              <c:strCache>
                <c:ptCount val="4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'Day 6 pivot table 2'!$C$9:$C$13</c:f>
              <c:numCache>
                <c:formatCode>General</c:formatCode>
                <c:ptCount val="4"/>
                <c:pt idx="0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3-4E09-9DF6-EDB36CB421DD}"/>
            </c:ext>
          </c:extLst>
        </c:ser>
        <c:ser>
          <c:idx val="2"/>
          <c:order val="2"/>
          <c:tx>
            <c:strRef>
              <c:f>'Day 6 pivot table 2'!$D$7:$D$8</c:f>
              <c:strCache>
                <c:ptCount val="1"/>
                <c:pt idx="0">
                  <c:v>Mega Hit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2'!$A$9:$A$13</c:f>
              <c:strCache>
                <c:ptCount val="4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'Day 6 pivot table 2'!$D$9:$D$13</c:f>
              <c:numCache>
                <c:formatCode>General</c:formatCode>
                <c:ptCount val="4"/>
                <c:pt idx="0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3-4E09-9DF6-EDB36CB421DD}"/>
            </c:ext>
          </c:extLst>
        </c:ser>
        <c:ser>
          <c:idx val="3"/>
          <c:order val="3"/>
          <c:tx>
            <c:strRef>
              <c:f>'Day 6 pivot table 2'!$E$7:$E$8</c:f>
              <c:strCache>
                <c:ptCount val="1"/>
                <c:pt idx="0">
                  <c:v>Super Hit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2'!$A$9:$A$13</c:f>
              <c:strCache>
                <c:ptCount val="4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'Day 6 pivot table 2'!$E$9:$E$13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3-4E09-9DF6-EDB36CB421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4515023"/>
        <c:axId val="1704834288"/>
      </c:barChart>
      <c:catAx>
        <c:axId val="804515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34288"/>
        <c:crosses val="autoZero"/>
        <c:auto val="1"/>
        <c:lblAlgn val="ctr"/>
        <c:lblOffset val="100"/>
        <c:noMultiLvlLbl val="0"/>
      </c:catAx>
      <c:valAx>
        <c:axId val="1704834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1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 6 pivot table 3!PivotTable10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'Day 6 pivot table 3'!$B$7:$B$8</c:f>
              <c:strCache>
                <c:ptCount val="1"/>
                <c:pt idx="0">
                  <c:v>Highly Profitable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3'!$A$9:$A$11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 6 pivot table 3'!$B$9:$B$11</c:f>
              <c:numCache>
                <c:formatCode>General</c:formatCode>
                <c:ptCount val="2"/>
                <c:pt idx="0">
                  <c:v>12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D-4851-8B13-0680EE7C3479}"/>
            </c:ext>
          </c:extLst>
        </c:ser>
        <c:ser>
          <c:idx val="1"/>
          <c:order val="1"/>
          <c:tx>
            <c:strRef>
              <c:f>'Day 6 pivot table 3'!$C$7:$C$8</c:f>
              <c:strCache>
                <c:ptCount val="1"/>
                <c:pt idx="0">
                  <c:v>Low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3'!$A$9:$A$11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 6 pivot table 3'!$C$9:$C$11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D-4851-8B13-0680EE7C3479}"/>
            </c:ext>
          </c:extLst>
        </c:ser>
        <c:ser>
          <c:idx val="2"/>
          <c:order val="2"/>
          <c:tx>
            <c:strRef>
              <c:f>'Day 6 pivot table 3'!$D$7:$D$8</c:f>
              <c:strCache>
                <c:ptCount val="1"/>
                <c:pt idx="0">
                  <c:v>Profitable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3'!$A$9:$A$11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 6 pivot table 3'!$D$9:$D$11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AD-4851-8B13-0680EE7C3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47376335"/>
        <c:axId val="803810223"/>
        <c:axId val="0"/>
      </c:bar3DChart>
      <c:catAx>
        <c:axId val="54737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10223"/>
        <c:crosses val="autoZero"/>
        <c:auto val="1"/>
        <c:lblAlgn val="ctr"/>
        <c:lblOffset val="100"/>
        <c:noMultiLvlLbl val="0"/>
      </c:catAx>
      <c:valAx>
        <c:axId val="803810223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 6 pivot table 1!PivotTable10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analysis</a:t>
            </a:r>
          </a:p>
        </c:rich>
      </c:tx>
      <c:layout>
        <c:manualLayout>
          <c:xMode val="edge"/>
          <c:yMode val="edge"/>
          <c:x val="0.3454705375568512"/>
          <c:y val="5.0312478848453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1552683777123279"/>
          <c:y val="0.36063488482277822"/>
          <c:w val="0.38472240588247081"/>
          <c:h val="0.43322609029172215"/>
        </c:manualLayout>
      </c:layout>
      <c:doughnutChart>
        <c:varyColors val="1"/>
        <c:ser>
          <c:idx val="0"/>
          <c:order val="0"/>
          <c:tx>
            <c:strRef>
              <c:f>'Day 6 pivot table 1'!$B$7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EAC-4949-9DCD-E8F022253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EAC-4949-9DCD-E8F022253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EAC-4949-9DCD-E8F022253C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'Day 6 pivot table 1'!$A$8:$A$11</c:f>
              <c:strCache>
                <c:ptCount val="3"/>
                <c:pt idx="0">
                  <c:v>Highly Profitable</c:v>
                </c:pt>
                <c:pt idx="1">
                  <c:v>Low Profit</c:v>
                </c:pt>
                <c:pt idx="2">
                  <c:v>Profitable</c:v>
                </c:pt>
              </c:strCache>
            </c:strRef>
          </c:cat>
          <c:val>
            <c:numRef>
              <c:f>'Day 6 pivot table 1'!$B$8:$B$11</c:f>
              <c:numCache>
                <c:formatCode>General</c:formatCode>
                <c:ptCount val="3"/>
                <c:pt idx="0">
                  <c:v>28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AC-4949-9DCD-E8F022253C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13231552162852"/>
          <c:y val="0.32823590460934504"/>
          <c:w val="0.33333333333333331"/>
          <c:h val="0.49802359948559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[Excel_learnigs.xlsx]Day 6 pivot table 3!PivotTable10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Industry wise profitability</a:t>
            </a:r>
          </a:p>
        </c:rich>
      </c:tx>
      <c:layout>
        <c:manualLayout>
          <c:xMode val="edge"/>
          <c:yMode val="edge"/>
          <c:x val="0.19271794871794873"/>
          <c:y val="2.1721422753190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120088835049464"/>
          <c:y val="0.28649153769571906"/>
          <c:w val="0.76238885523924893"/>
          <c:h val="0.58103040999185451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'Day 6 pivot table 3'!$B$7:$B$8</c:f>
              <c:strCache>
                <c:ptCount val="1"/>
                <c:pt idx="0">
                  <c:v>Highly Profitable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3'!$A$9:$A$11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 6 pivot table 3'!$B$9:$B$11</c:f>
              <c:numCache>
                <c:formatCode>General</c:formatCode>
                <c:ptCount val="2"/>
                <c:pt idx="0">
                  <c:v>12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5-415A-B47E-DEE78D2EECF8}"/>
            </c:ext>
          </c:extLst>
        </c:ser>
        <c:ser>
          <c:idx val="1"/>
          <c:order val="1"/>
          <c:tx>
            <c:strRef>
              <c:f>'Day 6 pivot table 3'!$C$7:$C$8</c:f>
              <c:strCache>
                <c:ptCount val="1"/>
                <c:pt idx="0">
                  <c:v>Low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3'!$A$9:$A$11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 6 pivot table 3'!$C$9:$C$11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5-415A-B47E-DEE78D2EECF8}"/>
            </c:ext>
          </c:extLst>
        </c:ser>
        <c:ser>
          <c:idx val="2"/>
          <c:order val="2"/>
          <c:tx>
            <c:strRef>
              <c:f>'Day 6 pivot table 3'!$D$7:$D$8</c:f>
              <c:strCache>
                <c:ptCount val="1"/>
                <c:pt idx="0">
                  <c:v>Profitable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 6 pivot table 3'!$A$9:$A$11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'Day 6 pivot table 3'!$D$9:$D$11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5-415A-B47E-DEE78D2EEC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47376335"/>
        <c:axId val="803810223"/>
        <c:axId val="0"/>
      </c:bar3DChart>
      <c:catAx>
        <c:axId val="54737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10223"/>
        <c:crosses val="autoZero"/>
        <c:auto val="1"/>
        <c:lblAlgn val="ctr"/>
        <c:lblOffset val="100"/>
        <c:noMultiLvlLbl val="0"/>
      </c:catAx>
      <c:valAx>
        <c:axId val="803810223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120650</xdr:rowOff>
    </xdr:from>
    <xdr:to>
      <xdr:col>9</xdr:col>
      <xdr:colOff>552450</xdr:colOff>
      <xdr:row>5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61205D-876E-0BC6-AD9C-17BDD9B0CDEB}"/>
            </a:ext>
          </a:extLst>
        </xdr:cNvPr>
        <xdr:cNvSpPr txBox="1"/>
      </xdr:nvSpPr>
      <xdr:spPr>
        <a:xfrm>
          <a:off x="6438900" y="120650"/>
          <a:ext cx="1162050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FIND("-") </a:t>
          </a:r>
          <a:r>
            <a:rPr lang="en-IN" baseline="0"/>
            <a:t>      </a:t>
          </a:r>
          <a:r>
            <a:rPr lang="en-IN"/>
            <a:t> Finds the dash </a:t>
          </a:r>
          <a:endParaRPr lang="en-IN" sz="1100"/>
        </a:p>
      </xdr:txBody>
    </xdr:sp>
    <xdr:clientData/>
  </xdr:twoCellAnchor>
  <xdr:twoCellAnchor>
    <xdr:from>
      <xdr:col>8</xdr:col>
      <xdr:colOff>31750</xdr:colOff>
      <xdr:row>7</xdr:row>
      <xdr:rowOff>12700</xdr:rowOff>
    </xdr:from>
    <xdr:to>
      <xdr:col>9</xdr:col>
      <xdr:colOff>584200</xdr:colOff>
      <xdr:row>12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452BBE-D633-4F90-A372-BCA99D4EB57D}"/>
            </a:ext>
          </a:extLst>
        </xdr:cNvPr>
        <xdr:cNvSpPr txBox="1"/>
      </xdr:nvSpPr>
      <xdr:spPr>
        <a:xfrm>
          <a:off x="6470650" y="1301750"/>
          <a:ext cx="116205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LEN()                Counts length</a:t>
          </a:r>
          <a:endParaRPr lang="en-IN" sz="1100"/>
        </a:p>
      </xdr:txBody>
    </xdr:sp>
    <xdr:clientData/>
  </xdr:twoCellAnchor>
  <xdr:twoCellAnchor>
    <xdr:from>
      <xdr:col>11</xdr:col>
      <xdr:colOff>6350</xdr:colOff>
      <xdr:row>2</xdr:row>
      <xdr:rowOff>82550</xdr:rowOff>
    </xdr:from>
    <xdr:to>
      <xdr:col>12</xdr:col>
      <xdr:colOff>558800</xdr:colOff>
      <xdr:row>7</xdr:row>
      <xdr:rowOff>146050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20F844-3320-491D-89E1-C86B2DF953DF}"/>
            </a:ext>
          </a:extLst>
        </xdr:cNvPr>
        <xdr:cNvSpPr txBox="1"/>
      </xdr:nvSpPr>
      <xdr:spPr>
        <a:xfrm>
          <a:off x="8274050" y="450850"/>
          <a:ext cx="116205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TRIM() </a:t>
          </a:r>
          <a:r>
            <a:rPr lang="en-IN" baseline="0"/>
            <a:t>           </a:t>
          </a:r>
          <a:r>
            <a:rPr lang="en-IN"/>
            <a:t> Removes spaces</a:t>
          </a:r>
          <a:endParaRPr lang="en-IN" sz="1100"/>
        </a:p>
      </xdr:txBody>
    </xdr:sp>
    <xdr:clientData/>
  </xdr:twoCellAnchor>
  <xdr:twoCellAnchor>
    <xdr:from>
      <xdr:col>8</xdr:col>
      <xdr:colOff>6350</xdr:colOff>
      <xdr:row>13</xdr:row>
      <xdr:rowOff>88900</xdr:rowOff>
    </xdr:from>
    <xdr:to>
      <xdr:col>9</xdr:col>
      <xdr:colOff>558800</xdr:colOff>
      <xdr:row>18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B577CE-27B4-4D92-BB69-79C559F0CF3A}"/>
            </a:ext>
          </a:extLst>
        </xdr:cNvPr>
        <xdr:cNvSpPr txBox="1"/>
      </xdr:nvSpPr>
      <xdr:spPr>
        <a:xfrm>
          <a:off x="6445250" y="2482850"/>
          <a:ext cx="116205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RIGHT() </a:t>
          </a:r>
          <a:r>
            <a:rPr lang="en-IN" baseline="0"/>
            <a:t>           </a:t>
          </a:r>
          <a:r>
            <a:rPr lang="en-IN"/>
            <a:t> Extracts text  after "-" </a:t>
          </a:r>
          <a:endParaRPr lang="en-IN" sz="1100"/>
        </a:p>
      </xdr:txBody>
    </xdr:sp>
    <xdr:clientData/>
  </xdr:twoCellAnchor>
  <xdr:twoCellAnchor>
    <xdr:from>
      <xdr:col>11</xdr:col>
      <xdr:colOff>69850</xdr:colOff>
      <xdr:row>10</xdr:row>
      <xdr:rowOff>25400</xdr:rowOff>
    </xdr:from>
    <xdr:to>
      <xdr:col>13</xdr:col>
      <xdr:colOff>12700</xdr:colOff>
      <xdr:row>15</xdr:row>
      <xdr:rowOff>88900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7EA99B-3E08-4B07-9F7E-E97CDE56EE6E}"/>
            </a:ext>
          </a:extLst>
        </xdr:cNvPr>
        <xdr:cNvSpPr txBox="1"/>
      </xdr:nvSpPr>
      <xdr:spPr>
        <a:xfrm>
          <a:off x="8337550" y="1866900"/>
          <a:ext cx="116205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VALUE() Converts text into number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5</xdr:row>
      <xdr:rowOff>76200</xdr:rowOff>
    </xdr:from>
    <xdr:to>
      <xdr:col>9</xdr:col>
      <xdr:colOff>215900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9A4E1-2568-4F2E-EA99-0638170C5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133350</xdr:rowOff>
    </xdr:from>
    <xdr:to>
      <xdr:col>9</xdr:col>
      <xdr:colOff>76200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B949B-83F6-5DC5-F5EB-812C0CAF1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4</xdr:row>
      <xdr:rowOff>146050</xdr:rowOff>
    </xdr:from>
    <xdr:to>
      <xdr:col>7</xdr:col>
      <xdr:colOff>254000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DAB95-482D-86F6-E112-2B00E5EE6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6</xdr:row>
      <xdr:rowOff>101600</xdr:rowOff>
    </xdr:from>
    <xdr:to>
      <xdr:col>13</xdr:col>
      <xdr:colOff>590550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4BD1F-F395-7DDA-6171-02E5B4434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4</xdr:row>
      <xdr:rowOff>177800</xdr:rowOff>
    </xdr:from>
    <xdr:to>
      <xdr:col>11</xdr:col>
      <xdr:colOff>177800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01C75-CDFA-5833-00FE-4B7B3529C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0</xdr:row>
      <xdr:rowOff>0</xdr:rowOff>
    </xdr:from>
    <xdr:to>
      <xdr:col>1</xdr:col>
      <xdr:colOff>495300</xdr:colOff>
      <xdr:row>1</xdr:row>
      <xdr:rowOff>254000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2986C2-64D7-E203-B2A7-D423E39E6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050" y="0"/>
          <a:ext cx="742950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0</xdr:row>
      <xdr:rowOff>0</xdr:rowOff>
    </xdr:from>
    <xdr:to>
      <xdr:col>8</xdr:col>
      <xdr:colOff>444500</xdr:colOff>
      <xdr:row>1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B97809-CD87-A168-8142-21C6F18C6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7500" y="0"/>
          <a:ext cx="52070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272807</xdr:colOff>
      <xdr:row>0</xdr:row>
      <xdr:rowOff>13398</xdr:rowOff>
    </xdr:from>
    <xdr:to>
      <xdr:col>8</xdr:col>
      <xdr:colOff>876300</xdr:colOff>
      <xdr:row>1</xdr:row>
      <xdr:rowOff>222249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A1223D-A5DF-7D43-68BC-0063505E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6507" y="13398"/>
          <a:ext cx="603493" cy="469201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2</xdr:row>
      <xdr:rowOff>107950</xdr:rowOff>
    </xdr:from>
    <xdr:to>
      <xdr:col>0</xdr:col>
      <xdr:colOff>2108200</xdr:colOff>
      <xdr:row>6</xdr:row>
      <xdr:rowOff>101600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D660A59-F776-B7DC-3BF8-CCCCAD547230}"/>
            </a:ext>
          </a:extLst>
        </xdr:cNvPr>
        <xdr:cNvSpPr/>
      </xdr:nvSpPr>
      <xdr:spPr>
        <a:xfrm>
          <a:off x="266700" y="628650"/>
          <a:ext cx="1841500" cy="73025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615950</xdr:colOff>
      <xdr:row>2</xdr:row>
      <xdr:rowOff>146050</xdr:rowOff>
    </xdr:from>
    <xdr:to>
      <xdr:col>0</xdr:col>
      <xdr:colOff>1911350</xdr:colOff>
      <xdr:row>4</xdr:row>
      <xdr:rowOff>12700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90441B-7CD4-2630-817E-B649BE4D69A2}"/>
            </a:ext>
          </a:extLst>
        </xdr:cNvPr>
        <xdr:cNvSpPr txBox="1"/>
      </xdr:nvSpPr>
      <xdr:spPr>
        <a:xfrm>
          <a:off x="615950" y="666750"/>
          <a:ext cx="129540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rgbClr val="002060"/>
              </a:solidFill>
            </a:rPr>
            <a:t>Total movies</a:t>
          </a:r>
        </a:p>
      </xdr:txBody>
    </xdr:sp>
    <xdr:clientData/>
  </xdr:twoCellAnchor>
  <xdr:twoCellAnchor editAs="oneCell">
    <xdr:from>
      <xdr:col>0</xdr:col>
      <xdr:colOff>317499</xdr:colOff>
      <xdr:row>3</xdr:row>
      <xdr:rowOff>54513</xdr:rowOff>
    </xdr:from>
    <xdr:to>
      <xdr:col>0</xdr:col>
      <xdr:colOff>787400</xdr:colOff>
      <xdr:row>6</xdr:row>
      <xdr:rowOff>44450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7C1863-7610-C0EA-01D9-4E51E759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9" y="759363"/>
          <a:ext cx="469901" cy="542387"/>
        </a:xfrm>
        <a:prstGeom prst="rect">
          <a:avLst/>
        </a:prstGeom>
      </xdr:spPr>
    </xdr:pic>
    <xdr:clientData/>
  </xdr:twoCellAnchor>
  <xdr:twoCellAnchor>
    <xdr:from>
      <xdr:col>0</xdr:col>
      <xdr:colOff>996950</xdr:colOff>
      <xdr:row>4</xdr:row>
      <xdr:rowOff>50800</xdr:rowOff>
    </xdr:from>
    <xdr:to>
      <xdr:col>1</xdr:col>
      <xdr:colOff>927100</xdr:colOff>
      <xdr:row>5</xdr:row>
      <xdr:rowOff>177800</xdr:rowOff>
    </xdr:to>
    <xdr:sp macro="" textlink="$D$4">
      <xdr:nvSpPr>
        <xdr:cNvPr id="15" name="TextBox 14">
          <a:extLst>
            <a:ext uri="{FF2B5EF4-FFF2-40B4-BE49-F238E27FC236}">
              <a16:creationId xmlns:a16="http://schemas.microsoft.com/office/drawing/2014/main" id="{5AD26ADF-1CD5-A5DB-AEC5-8578AA61247C}"/>
            </a:ext>
          </a:extLst>
        </xdr:cNvPr>
        <xdr:cNvSpPr txBox="1"/>
      </xdr:nvSpPr>
      <xdr:spPr>
        <a:xfrm>
          <a:off x="996950" y="939800"/>
          <a:ext cx="24828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08D79F5-F317-4753-A2C9-90C1267C9232}" type="TxLink">
            <a:rPr lang="en-US" sz="1800" b="0" i="0" u="none" strike="noStrike">
              <a:solidFill>
                <a:srgbClr val="000000"/>
              </a:solidFill>
              <a:effectLst>
                <a:glow>
                  <a:srgbClr val="002060"/>
                </a:glow>
              </a:effectLst>
              <a:latin typeface="Aptos Narrow"/>
            </a:rPr>
            <a:pPr/>
            <a:t>39</a:t>
          </a:fld>
          <a:endParaRPr lang="en-IN" sz="1800">
            <a:noFill/>
            <a:effectLst>
              <a:glow>
                <a:srgbClr val="002060"/>
              </a:glow>
            </a:effectLst>
          </a:endParaRPr>
        </a:p>
      </xdr:txBody>
    </xdr:sp>
    <xdr:clientData/>
  </xdr:twoCellAnchor>
  <xdr:twoCellAnchor>
    <xdr:from>
      <xdr:col>0</xdr:col>
      <xdr:colOff>2451100</xdr:colOff>
      <xdr:row>2</xdr:row>
      <xdr:rowOff>114300</xdr:rowOff>
    </xdr:from>
    <xdr:to>
      <xdr:col>3</xdr:col>
      <xdr:colOff>12700</xdr:colOff>
      <xdr:row>6</xdr:row>
      <xdr:rowOff>146050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586F7D7-0DED-4A7F-880E-08EF0621F5EA}"/>
            </a:ext>
          </a:extLst>
        </xdr:cNvPr>
        <xdr:cNvSpPr/>
      </xdr:nvSpPr>
      <xdr:spPr>
        <a:xfrm>
          <a:off x="2451100" y="635000"/>
          <a:ext cx="1657350" cy="76835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425450</xdr:colOff>
      <xdr:row>2</xdr:row>
      <xdr:rowOff>152400</xdr:rowOff>
    </xdr:from>
    <xdr:to>
      <xdr:col>5</xdr:col>
      <xdr:colOff>1079500</xdr:colOff>
      <xdr:row>6</xdr:row>
      <xdr:rowOff>146050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2FEBE9F2-AA7C-4B28-8C48-2163BDC6056F}"/>
            </a:ext>
          </a:extLst>
        </xdr:cNvPr>
        <xdr:cNvSpPr/>
      </xdr:nvSpPr>
      <xdr:spPr>
        <a:xfrm>
          <a:off x="4673600" y="673100"/>
          <a:ext cx="1778000" cy="73025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469900</xdr:colOff>
      <xdr:row>3</xdr:row>
      <xdr:rowOff>12700</xdr:rowOff>
    </xdr:from>
    <xdr:to>
      <xdr:col>8</xdr:col>
      <xdr:colOff>857250</xdr:colOff>
      <xdr:row>7</xdr:row>
      <xdr:rowOff>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449680C-8053-4C40-B6F6-E7BF4878B1DD}"/>
            </a:ext>
          </a:extLst>
        </xdr:cNvPr>
        <xdr:cNvSpPr/>
      </xdr:nvSpPr>
      <xdr:spPr>
        <a:xfrm>
          <a:off x="6845300" y="717550"/>
          <a:ext cx="1930400" cy="72390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596900</xdr:colOff>
      <xdr:row>2</xdr:row>
      <xdr:rowOff>139700</xdr:rowOff>
    </xdr:from>
    <xdr:to>
      <xdr:col>12</xdr:col>
      <xdr:colOff>355600</xdr:colOff>
      <xdr:row>7</xdr:row>
      <xdr:rowOff>12700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6648D6A-682A-4138-B30C-11BA4DB29773}"/>
            </a:ext>
          </a:extLst>
        </xdr:cNvPr>
        <xdr:cNvSpPr/>
      </xdr:nvSpPr>
      <xdr:spPr>
        <a:xfrm>
          <a:off x="9493250" y="660400"/>
          <a:ext cx="1587500" cy="79375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1428750</xdr:colOff>
      <xdr:row>3</xdr:row>
      <xdr:rowOff>165100</xdr:rowOff>
    </xdr:from>
    <xdr:to>
      <xdr:col>1</xdr:col>
      <xdr:colOff>2063750</xdr:colOff>
      <xdr:row>5</xdr:row>
      <xdr:rowOff>107950</xdr:rowOff>
    </xdr:to>
    <xdr:sp macro="" textlink="$H$3">
      <xdr:nvSpPr>
        <xdr:cNvPr id="21" name="TextBox 20">
          <a:extLst>
            <a:ext uri="{FF2B5EF4-FFF2-40B4-BE49-F238E27FC236}">
              <a16:creationId xmlns:a16="http://schemas.microsoft.com/office/drawing/2014/main" id="{65E634FB-C882-CB0F-F3B3-31C181A4E1BE}"/>
            </a:ext>
          </a:extLst>
        </xdr:cNvPr>
        <xdr:cNvSpPr txBox="1"/>
      </xdr:nvSpPr>
      <xdr:spPr>
        <a:xfrm>
          <a:off x="3981450" y="869950"/>
          <a:ext cx="6350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E4F748-5FF7-4026-91DE-4608138CEFA5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/>
            <a:t>9</a:t>
          </a:fld>
          <a:endParaRPr lang="en-IN" sz="2000"/>
        </a:p>
      </xdr:txBody>
    </xdr:sp>
    <xdr:clientData/>
  </xdr:twoCellAnchor>
  <xdr:twoCellAnchor>
    <xdr:from>
      <xdr:col>1</xdr:col>
      <xdr:colOff>241300</xdr:colOff>
      <xdr:row>2</xdr:row>
      <xdr:rowOff>171450</xdr:rowOff>
    </xdr:from>
    <xdr:to>
      <xdr:col>2</xdr:col>
      <xdr:colOff>457200</xdr:colOff>
      <xdr:row>4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A097E82-CD00-EFF4-A750-2BF32EA2B113}"/>
            </a:ext>
          </a:extLst>
        </xdr:cNvPr>
        <xdr:cNvSpPr txBox="1"/>
      </xdr:nvSpPr>
      <xdr:spPr>
        <a:xfrm>
          <a:off x="2794000" y="692150"/>
          <a:ext cx="12319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Mega Hit Movies</a:t>
          </a:r>
        </a:p>
      </xdr:txBody>
    </xdr:sp>
    <xdr:clientData/>
  </xdr:twoCellAnchor>
  <xdr:twoCellAnchor editAs="oneCell">
    <xdr:from>
      <xdr:col>0</xdr:col>
      <xdr:colOff>2482850</xdr:colOff>
      <xdr:row>4</xdr:row>
      <xdr:rowOff>19050</xdr:rowOff>
    </xdr:from>
    <xdr:to>
      <xdr:col>1</xdr:col>
      <xdr:colOff>685800</xdr:colOff>
      <xdr:row>6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215BED8-87F1-A2C7-CC89-BDD624023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850" y="908050"/>
          <a:ext cx="755650" cy="368300"/>
        </a:xfrm>
        <a:prstGeom prst="rect">
          <a:avLst/>
        </a:prstGeom>
      </xdr:spPr>
    </xdr:pic>
    <xdr:clientData/>
  </xdr:twoCellAnchor>
  <xdr:twoCellAnchor editAs="oneCell">
    <xdr:from>
      <xdr:col>4</xdr:col>
      <xdr:colOff>558037</xdr:colOff>
      <xdr:row>3</xdr:row>
      <xdr:rowOff>171450</xdr:rowOff>
    </xdr:from>
    <xdr:to>
      <xdr:col>5</xdr:col>
      <xdr:colOff>4052</xdr:colOff>
      <xdr:row>6</xdr:row>
      <xdr:rowOff>38100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CF33EFC-A491-4732-DEE4-407C3B32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187" y="876300"/>
          <a:ext cx="569965" cy="419100"/>
        </a:xfrm>
        <a:prstGeom prst="rect">
          <a:avLst/>
        </a:prstGeom>
      </xdr:spPr>
    </xdr:pic>
    <xdr:clientData/>
  </xdr:twoCellAnchor>
  <xdr:twoCellAnchor>
    <xdr:from>
      <xdr:col>4</xdr:col>
      <xdr:colOff>806450</xdr:colOff>
      <xdr:row>2</xdr:row>
      <xdr:rowOff>139700</xdr:rowOff>
    </xdr:from>
    <xdr:to>
      <xdr:col>5</xdr:col>
      <xdr:colOff>927100</xdr:colOff>
      <xdr:row>4</xdr:row>
      <xdr:rowOff>31750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85F2FC6-D51C-9780-29AD-3D72DF756E29}"/>
            </a:ext>
          </a:extLst>
        </xdr:cNvPr>
        <xdr:cNvSpPr txBox="1"/>
      </xdr:nvSpPr>
      <xdr:spPr>
        <a:xfrm>
          <a:off x="5054600" y="660400"/>
          <a:ext cx="124460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+mj-lt"/>
            </a:rPr>
            <a:t>Low</a:t>
          </a:r>
          <a:r>
            <a:rPr lang="en-IN" sz="1100" b="1" baseline="0">
              <a:latin typeface="+mj-lt"/>
            </a:rPr>
            <a:t> profit Movies</a:t>
          </a:r>
          <a:endParaRPr lang="en-IN" sz="1100" b="1">
            <a:latin typeface="+mj-lt"/>
          </a:endParaRPr>
        </a:p>
      </xdr:txBody>
    </xdr:sp>
    <xdr:clientData/>
  </xdr:twoCellAnchor>
  <xdr:twoCellAnchor>
    <xdr:from>
      <xdr:col>5</xdr:col>
      <xdr:colOff>463550</xdr:colOff>
      <xdr:row>3</xdr:row>
      <xdr:rowOff>177800</xdr:rowOff>
    </xdr:from>
    <xdr:to>
      <xdr:col>5</xdr:col>
      <xdr:colOff>996950</xdr:colOff>
      <xdr:row>5</xdr:row>
      <xdr:rowOff>139700</xdr:rowOff>
    </xdr:to>
    <xdr:sp macro="" textlink="$D$5">
      <xdr:nvSpPr>
        <xdr:cNvPr id="34" name="TextBox 33">
          <a:extLst>
            <a:ext uri="{FF2B5EF4-FFF2-40B4-BE49-F238E27FC236}">
              <a16:creationId xmlns:a16="http://schemas.microsoft.com/office/drawing/2014/main" id="{34012536-F1F7-335C-77C8-F98DB8939CE5}"/>
            </a:ext>
          </a:extLst>
        </xdr:cNvPr>
        <xdr:cNvSpPr txBox="1"/>
      </xdr:nvSpPr>
      <xdr:spPr>
        <a:xfrm>
          <a:off x="5835650" y="882650"/>
          <a:ext cx="5334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89E5AD-AD64-46AF-861D-83DF3994E265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/>
            <a:t>2</a:t>
          </a:fld>
          <a:endParaRPr lang="en-IN" sz="2400"/>
        </a:p>
      </xdr:txBody>
    </xdr:sp>
    <xdr:clientData/>
  </xdr:twoCellAnchor>
  <xdr:twoCellAnchor>
    <xdr:from>
      <xdr:col>6</xdr:col>
      <xdr:colOff>736600</xdr:colOff>
      <xdr:row>2</xdr:row>
      <xdr:rowOff>158750</xdr:rowOff>
    </xdr:from>
    <xdr:to>
      <xdr:col>9</xdr:col>
      <xdr:colOff>177800</xdr:colOff>
      <xdr:row>4</xdr:row>
      <xdr:rowOff>50800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21C9E41-02B8-8A48-77CF-A2A4D1E7CC8F}"/>
            </a:ext>
          </a:extLst>
        </xdr:cNvPr>
        <xdr:cNvSpPr txBox="1"/>
      </xdr:nvSpPr>
      <xdr:spPr>
        <a:xfrm>
          <a:off x="7112000" y="679450"/>
          <a:ext cx="163830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Mega Hit  </a:t>
          </a:r>
          <a:r>
            <a:rPr lang="en-IN" sz="1100" b="1" baseline="0"/>
            <a:t>+  LowProfit</a:t>
          </a:r>
          <a:endParaRPr lang="en-IN" sz="1100" b="1"/>
        </a:p>
      </xdr:txBody>
    </xdr:sp>
    <xdr:clientData/>
  </xdr:twoCellAnchor>
  <xdr:twoCellAnchor editAs="oneCell">
    <xdr:from>
      <xdr:col>6</xdr:col>
      <xdr:colOff>508000</xdr:colOff>
      <xdr:row>4</xdr:row>
      <xdr:rowOff>31750</xdr:rowOff>
    </xdr:from>
    <xdr:to>
      <xdr:col>6</xdr:col>
      <xdr:colOff>1159178</xdr:colOff>
      <xdr:row>6</xdr:row>
      <xdr:rowOff>177799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AA682A4-63FC-C131-EDB9-B2204F8A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5800" y="920750"/>
          <a:ext cx="651178" cy="514349"/>
        </a:xfrm>
        <a:prstGeom prst="rect">
          <a:avLst/>
        </a:prstGeom>
      </xdr:spPr>
    </xdr:pic>
    <xdr:clientData/>
  </xdr:twoCellAnchor>
  <xdr:twoCellAnchor>
    <xdr:from>
      <xdr:col>8</xdr:col>
      <xdr:colOff>101600</xdr:colOff>
      <xdr:row>4</xdr:row>
      <xdr:rowOff>19050</xdr:rowOff>
    </xdr:from>
    <xdr:to>
      <xdr:col>8</xdr:col>
      <xdr:colOff>641350</xdr:colOff>
      <xdr:row>6</xdr:row>
      <xdr:rowOff>0</xdr:rowOff>
    </xdr:to>
    <xdr:sp macro="" textlink="$D$6">
      <xdr:nvSpPr>
        <xdr:cNvPr id="38" name="TextBox 37">
          <a:extLst>
            <a:ext uri="{FF2B5EF4-FFF2-40B4-BE49-F238E27FC236}">
              <a16:creationId xmlns:a16="http://schemas.microsoft.com/office/drawing/2014/main" id="{FEC0E7C2-63B7-BD9E-FF20-C43737FD9206}"/>
            </a:ext>
          </a:extLst>
        </xdr:cNvPr>
        <xdr:cNvSpPr txBox="1"/>
      </xdr:nvSpPr>
      <xdr:spPr>
        <a:xfrm>
          <a:off x="8020050" y="908050"/>
          <a:ext cx="53975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3E2B3B-1D2A-46FF-946A-1CE4C63C8217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/>
            <a:t>0</a:t>
          </a:fld>
          <a:endParaRPr lang="en-IN" sz="2400"/>
        </a:p>
      </xdr:txBody>
    </xdr:sp>
    <xdr:clientData/>
  </xdr:twoCellAnchor>
  <xdr:twoCellAnchor editAs="oneCell">
    <xdr:from>
      <xdr:col>10</xdr:col>
      <xdr:colOff>57150</xdr:colOff>
      <xdr:row>4</xdr:row>
      <xdr:rowOff>88900</xdr:rowOff>
    </xdr:from>
    <xdr:to>
      <xdr:col>10</xdr:col>
      <xdr:colOff>508000</xdr:colOff>
      <xdr:row>6</xdr:row>
      <xdr:rowOff>139700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B326ECB-4135-9557-15C4-C3093FF8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977900"/>
          <a:ext cx="450850" cy="419100"/>
        </a:xfrm>
        <a:prstGeom prst="rect">
          <a:avLst/>
        </a:prstGeom>
      </xdr:spPr>
    </xdr:pic>
    <xdr:clientData/>
  </xdr:twoCellAnchor>
  <xdr:twoCellAnchor>
    <xdr:from>
      <xdr:col>10</xdr:col>
      <xdr:colOff>57150</xdr:colOff>
      <xdr:row>3</xdr:row>
      <xdr:rowOff>25400</xdr:rowOff>
    </xdr:from>
    <xdr:to>
      <xdr:col>12</xdr:col>
      <xdr:colOff>285750</xdr:colOff>
      <xdr:row>4</xdr:row>
      <xdr:rowOff>120650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0547015-1133-26CA-EC68-C35F8CF75553}"/>
            </a:ext>
          </a:extLst>
        </xdr:cNvPr>
        <xdr:cNvSpPr txBox="1"/>
      </xdr:nvSpPr>
      <xdr:spPr>
        <a:xfrm>
          <a:off x="9563100" y="730250"/>
          <a:ext cx="14478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Average Imdb</a:t>
          </a:r>
          <a:r>
            <a:rPr lang="en-IN" sz="1100" b="1" baseline="0"/>
            <a:t> Rating</a:t>
          </a:r>
          <a:endParaRPr lang="en-IN" sz="1100" b="1"/>
        </a:p>
      </xdr:txBody>
    </xdr:sp>
    <xdr:clientData/>
  </xdr:twoCellAnchor>
  <xdr:twoCellAnchor>
    <xdr:from>
      <xdr:col>11</xdr:col>
      <xdr:colOff>304800</xdr:colOff>
      <xdr:row>4</xdr:row>
      <xdr:rowOff>152400</xdr:rowOff>
    </xdr:from>
    <xdr:to>
      <xdr:col>12</xdr:col>
      <xdr:colOff>355600</xdr:colOff>
      <xdr:row>6</xdr:row>
      <xdr:rowOff>165100</xdr:rowOff>
    </xdr:to>
    <xdr:sp macro="" textlink="$H$8">
      <xdr:nvSpPr>
        <xdr:cNvPr id="42" name="TextBox 41">
          <a:extLst>
            <a:ext uri="{FF2B5EF4-FFF2-40B4-BE49-F238E27FC236}">
              <a16:creationId xmlns:a16="http://schemas.microsoft.com/office/drawing/2014/main" id="{645C6E09-80A4-8FE8-AFF1-C70FD77A26D6}"/>
            </a:ext>
          </a:extLst>
        </xdr:cNvPr>
        <xdr:cNvSpPr txBox="1"/>
      </xdr:nvSpPr>
      <xdr:spPr>
        <a:xfrm>
          <a:off x="10420350" y="1041400"/>
          <a:ext cx="6604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E5C87D-75E6-41DF-981E-8F5CFBD59953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/>
            <a:t>7.743589744</a:t>
          </a:fld>
          <a:endParaRPr lang="en-IN" sz="2400"/>
        </a:p>
      </xdr:txBody>
    </xdr:sp>
    <xdr:clientData/>
  </xdr:twoCellAnchor>
  <xdr:twoCellAnchor>
    <xdr:from>
      <xdr:col>1</xdr:col>
      <xdr:colOff>958850</xdr:colOff>
      <xdr:row>4</xdr:row>
      <xdr:rowOff>44450</xdr:rowOff>
    </xdr:from>
    <xdr:to>
      <xdr:col>2</xdr:col>
      <xdr:colOff>298450</xdr:colOff>
      <xdr:row>6</xdr:row>
      <xdr:rowOff>12700</xdr:rowOff>
    </xdr:to>
    <xdr:sp macro="" textlink="$H$3">
      <xdr:nvSpPr>
        <xdr:cNvPr id="43" name="TextBox 42">
          <a:extLst>
            <a:ext uri="{FF2B5EF4-FFF2-40B4-BE49-F238E27FC236}">
              <a16:creationId xmlns:a16="http://schemas.microsoft.com/office/drawing/2014/main" id="{87F209E8-EDEC-EE04-F05A-320862010CED}"/>
            </a:ext>
          </a:extLst>
        </xdr:cNvPr>
        <xdr:cNvSpPr txBox="1"/>
      </xdr:nvSpPr>
      <xdr:spPr>
        <a:xfrm>
          <a:off x="3511550" y="933450"/>
          <a:ext cx="3556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52FFE07-81CE-47CF-A6F9-AEF35B4A84A5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/>
            <a:t>9</a:t>
          </a:fld>
          <a:endParaRPr lang="en-IN" sz="2000"/>
        </a:p>
      </xdr:txBody>
    </xdr:sp>
    <xdr:clientData/>
  </xdr:twoCellAnchor>
  <xdr:twoCellAnchor>
    <xdr:from>
      <xdr:col>9</xdr:col>
      <xdr:colOff>539750</xdr:colOff>
      <xdr:row>7</xdr:row>
      <xdr:rowOff>146050</xdr:rowOff>
    </xdr:from>
    <xdr:to>
      <xdr:col>13</xdr:col>
      <xdr:colOff>596900</xdr:colOff>
      <xdr:row>19</xdr:row>
      <xdr:rowOff>38100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3A4146E-0DFC-4960-80C3-C3A5AA9F0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95250</xdr:colOff>
      <xdr:row>7</xdr:row>
      <xdr:rowOff>146050</xdr:rowOff>
    </xdr:from>
    <xdr:to>
      <xdr:col>9</xdr:col>
      <xdr:colOff>374650</xdr:colOff>
      <xdr:row>19</xdr:row>
      <xdr:rowOff>31750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D69D5553-8B5D-46C6-A8AE-EA516ECA7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152400</xdr:colOff>
      <xdr:row>19</xdr:row>
      <xdr:rowOff>50800</xdr:rowOff>
    </xdr:from>
    <xdr:to>
      <xdr:col>13</xdr:col>
      <xdr:colOff>438150</xdr:colOff>
      <xdr:row>27</xdr:row>
      <xdr:rowOff>107950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25FB2C6B-C2F9-2086-87FF-E8091B10BB3F}"/>
            </a:ext>
          </a:extLst>
        </xdr:cNvPr>
        <xdr:cNvSpPr/>
      </xdr:nvSpPr>
      <xdr:spPr>
        <a:xfrm>
          <a:off x="6648450" y="3816350"/>
          <a:ext cx="4921250" cy="1530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/>
            <a:t>Business Insight</a:t>
          </a:r>
          <a:endParaRPr lang="en-IN"/>
        </a:p>
        <a:p>
          <a:r>
            <a:rPr lang="en-IN"/>
            <a:t>• 39 movies were analyzed.</a:t>
          </a:r>
        </a:p>
        <a:p>
          <a:r>
            <a:rPr lang="en-IN"/>
            <a:t>• 9 movies achieved the Mega Hit revenue category.</a:t>
          </a:r>
        </a:p>
        <a:p>
          <a:r>
            <a:rPr lang="en-IN"/>
            <a:t>• Only 2 movies fall into the Low Profit category.</a:t>
          </a:r>
        </a:p>
        <a:p>
          <a:r>
            <a:rPr lang="en-IN"/>
            <a:t>• No Mega Hit movie belongs to the Low Profit category, indicating that top-performing movies remain profitable.</a:t>
          </a:r>
        </a:p>
        <a:p>
          <a:pPr algn="l"/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2463300</xdr:colOff>
      <xdr:row>0</xdr:row>
      <xdr:rowOff>0</xdr:rowOff>
    </xdr:from>
    <xdr:to>
      <xdr:col>1</xdr:col>
      <xdr:colOff>3457291</xdr:colOff>
      <xdr:row>2</xdr:row>
      <xdr:rowOff>8293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EE44B-898C-DFD9-30AD-DD98A8E2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5800" y="0"/>
          <a:ext cx="993991" cy="605193"/>
        </a:xfrm>
        <a:prstGeom prst="rect">
          <a:avLst/>
        </a:prstGeom>
      </xdr:spPr>
    </xdr:pic>
    <xdr:clientData/>
  </xdr:twoCellAnchor>
  <xdr:twoCellAnchor editAs="oneCell">
    <xdr:from>
      <xdr:col>5</xdr:col>
      <xdr:colOff>190648</xdr:colOff>
      <xdr:row>0</xdr:row>
      <xdr:rowOff>0</xdr:rowOff>
    </xdr:from>
    <xdr:to>
      <xdr:col>7</xdr:col>
      <xdr:colOff>233264</xdr:colOff>
      <xdr:row>1</xdr:row>
      <xdr:rowOff>260350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D20170-6CE8-265A-3F3D-35C05BB14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0948" y="0"/>
          <a:ext cx="1261816" cy="558800"/>
        </a:xfrm>
        <a:prstGeom prst="rect">
          <a:avLst/>
        </a:prstGeom>
      </xdr:spPr>
    </xdr:pic>
    <xdr:clientData/>
  </xdr:twoCellAnchor>
  <xdr:twoCellAnchor editAs="oneCell">
    <xdr:from>
      <xdr:col>4</xdr:col>
      <xdr:colOff>412749</xdr:colOff>
      <xdr:row>6</xdr:row>
      <xdr:rowOff>63501</xdr:rowOff>
    </xdr:from>
    <xdr:to>
      <xdr:col>5</xdr:col>
      <xdr:colOff>508000</xdr:colOff>
      <xdr:row>8</xdr:row>
      <xdr:rowOff>171452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E24117-FE34-2355-D2A6-006AD6542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449" y="1625601"/>
          <a:ext cx="704851" cy="704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202387</xdr:rowOff>
    </xdr:from>
    <xdr:to>
      <xdr:col>0</xdr:col>
      <xdr:colOff>844550</xdr:colOff>
      <xdr:row>16</xdr:row>
      <xdr:rowOff>75387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87902C-0C3F-0F73-A91F-92FA05290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40887"/>
          <a:ext cx="844550" cy="844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13</xdr:row>
      <xdr:rowOff>19050</xdr:rowOff>
    </xdr:from>
    <xdr:to>
      <xdr:col>2</xdr:col>
      <xdr:colOff>374650</xdr:colOff>
      <xdr:row>20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53E131-8EC0-BC43-C948-8E588718C63D}"/>
            </a:ext>
          </a:extLst>
        </xdr:cNvPr>
        <xdr:cNvSpPr txBox="1"/>
      </xdr:nvSpPr>
      <xdr:spPr>
        <a:xfrm>
          <a:off x="82550" y="3149600"/>
          <a:ext cx="2349500" cy="1295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HOW</a:t>
          </a:r>
          <a:r>
            <a:rPr lang="en-IN" sz="1600" b="1" baseline="0"/>
            <a:t> IT WORKS                        </a:t>
          </a:r>
          <a:endParaRPr lang="en-IN" sz="1200">
            <a:effectLst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</a:t>
          </a:r>
          <a:endParaRPr lang="en-IN" sz="1200">
            <a:effectLst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(Finds Row)</a:t>
          </a:r>
          <a:endParaRPr lang="en-IN" sz="1200">
            <a:effectLst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↓</a:t>
          </a:r>
          <a:endParaRPr lang="en-IN" sz="1200">
            <a:effectLst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INDEX</a:t>
          </a:r>
          <a:endParaRPr lang="en-IN" sz="1200">
            <a:effectLst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(Returns Value)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endParaRPr lang="en-IN" sz="1200">
            <a:effectLst/>
          </a:endParaRPr>
        </a:p>
        <a:p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endParaRPr lang="en-IN" sz="1200">
            <a:effectLst/>
          </a:endParaRPr>
        </a:p>
        <a:p>
          <a:endParaRPr lang="en-IN" sz="1200">
            <a:effectLst/>
          </a:endParaRPr>
        </a:p>
      </xdr:txBody>
    </xdr:sp>
    <xdr:clientData/>
  </xdr:twoCellAnchor>
  <xdr:twoCellAnchor>
    <xdr:from>
      <xdr:col>2</xdr:col>
      <xdr:colOff>533400</xdr:colOff>
      <xdr:row>13</xdr:row>
      <xdr:rowOff>25400</xdr:rowOff>
    </xdr:from>
    <xdr:to>
      <xdr:col>9</xdr:col>
      <xdr:colOff>222250</xdr:colOff>
      <xdr:row>20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881EAF-DFC1-4C4C-9B8B-40D511D78738}"/>
            </a:ext>
          </a:extLst>
        </xdr:cNvPr>
        <xdr:cNvSpPr txBox="1"/>
      </xdr:nvSpPr>
      <xdr:spPr>
        <a:xfrm>
          <a:off x="2590800" y="3155950"/>
          <a:ext cx="4902200" cy="1397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/>
            <a:t>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INDEX + MATCH</a:t>
          </a:r>
          <a:r>
            <a:rPr lang="en-IN" sz="1200" b="1"/>
            <a:t>                    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VLOOKUP </a:t>
          </a:r>
          <a:r>
            <a:rPr lang="en-IN" sz="1200" b="1"/>
            <a:t>                                           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XLOOKUP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Left &amp; right lookup           • Right lookup only                      • Left &amp; right lookup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Dynamic lookup               • Fixed column index                  • Easy syntax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More flexible                      • Less flexible                                 • Modern Excel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effectLst/>
            </a:rPr>
            <a:t>                                               </a:t>
          </a:r>
        </a:p>
        <a:p>
          <a:endParaRPr lang="en-IN" sz="1200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292100</xdr:colOff>
      <xdr:row>12</xdr:row>
      <xdr:rowOff>177800</xdr:rowOff>
    </xdr:from>
    <xdr:to>
      <xdr:col>13</xdr:col>
      <xdr:colOff>1301750</xdr:colOff>
      <xdr:row>20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B89E71-C14D-4491-B0C5-8871CAB56F60}"/>
            </a:ext>
          </a:extLst>
        </xdr:cNvPr>
        <xdr:cNvSpPr txBox="1"/>
      </xdr:nvSpPr>
      <xdr:spPr>
        <a:xfrm>
          <a:off x="7562850" y="3124200"/>
          <a:ext cx="4064000" cy="1428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tx1"/>
              </a:solidFill>
            </a:rPr>
            <a:t>                                   KEY</a:t>
          </a:r>
          <a:r>
            <a:rPr lang="en-IN" sz="1600" b="1" baseline="0">
              <a:solidFill>
                <a:schemeClr val="tx1"/>
              </a:solidFill>
            </a:rPr>
            <a:t> TAKEAWAYS                                                             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✓ MATCH finds the position.</a:t>
          </a:r>
          <a:endParaRPr lang="en-IN" sz="1400">
            <a:effectLst/>
          </a:endParaRP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✓ INDEX returns the value.</a:t>
          </a:r>
          <a:endParaRPr lang="en-IN" sz="1400">
            <a:effectLst/>
          </a:endParaRP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✓ Together they create a powerful lookup.</a:t>
          </a:r>
          <a:endParaRPr lang="en-IN" sz="1400">
            <a:effectLst/>
          </a:endParaRP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✓ Preferred for complex and interview-level lookups.</a:t>
          </a:r>
          <a:endParaRPr lang="en-IN" sz="1400">
            <a:effectLst/>
          </a:endParaRPr>
        </a:p>
        <a:p>
          <a:endParaRPr lang="en-IN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914400</xdr:colOff>
      <xdr:row>0</xdr:row>
      <xdr:rowOff>0</xdr:rowOff>
    </xdr:from>
    <xdr:to>
      <xdr:col>4</xdr:col>
      <xdr:colOff>1510487</xdr:colOff>
      <xdr:row>1</xdr:row>
      <xdr:rowOff>171559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1D986B-545B-530C-7B42-401D20B2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800" y="0"/>
          <a:ext cx="596087" cy="470009"/>
        </a:xfrm>
        <a:prstGeom prst="rect">
          <a:avLst/>
        </a:prstGeom>
      </xdr:spPr>
    </xdr:pic>
    <xdr:clientData/>
  </xdr:twoCellAnchor>
  <xdr:twoCellAnchor editAs="oneCell">
    <xdr:from>
      <xdr:col>2</xdr:col>
      <xdr:colOff>660400</xdr:colOff>
      <xdr:row>0</xdr:row>
      <xdr:rowOff>0</xdr:rowOff>
    </xdr:from>
    <xdr:to>
      <xdr:col>2</xdr:col>
      <xdr:colOff>1148255</xdr:colOff>
      <xdr:row>1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ABE274-4D08-F904-0839-0EB02B165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0" y="0"/>
          <a:ext cx="487855" cy="444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30938</xdr:colOff>
      <xdr:row>1</xdr:row>
      <xdr:rowOff>119836</xdr:rowOff>
    </xdr:from>
    <xdr:to>
      <xdr:col>0</xdr:col>
      <xdr:colOff>603251</xdr:colOff>
      <xdr:row>3</xdr:row>
      <xdr:rowOff>209549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74D17-3F16-9C1B-63DC-B476EC00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8" y="488136"/>
          <a:ext cx="572313" cy="572313"/>
        </a:xfrm>
        <a:prstGeom prst="rect">
          <a:avLst/>
        </a:prstGeom>
      </xdr:spPr>
    </xdr:pic>
    <xdr:clientData/>
  </xdr:twoCellAnchor>
  <xdr:twoCellAnchor editAs="oneCell">
    <xdr:from>
      <xdr:col>0</xdr:col>
      <xdr:colOff>50801</xdr:colOff>
      <xdr:row>11</xdr:row>
      <xdr:rowOff>184151</xdr:rowOff>
    </xdr:from>
    <xdr:to>
      <xdr:col>1</xdr:col>
      <xdr:colOff>6350</xdr:colOff>
      <xdr:row>14</xdr:row>
      <xdr:rowOff>107950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5DAEDB-93D9-B4F1-E444-DA8D51FE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1" y="2679701"/>
          <a:ext cx="565149" cy="609599"/>
        </a:xfrm>
        <a:prstGeom prst="rect">
          <a:avLst/>
        </a:prstGeom>
      </xdr:spPr>
    </xdr:pic>
    <xdr:clientData/>
  </xdr:twoCellAnchor>
  <xdr:twoCellAnchor>
    <xdr:from>
      <xdr:col>6</xdr:col>
      <xdr:colOff>260350</xdr:colOff>
      <xdr:row>9</xdr:row>
      <xdr:rowOff>44450</xdr:rowOff>
    </xdr:from>
    <xdr:to>
      <xdr:col>14</xdr:col>
      <xdr:colOff>425450</xdr:colOff>
      <xdr:row>17</xdr:row>
      <xdr:rowOff>196850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06AF31-C9AA-CC14-50F0-3468421F3FCE}"/>
            </a:ext>
          </a:extLst>
        </xdr:cNvPr>
        <xdr:cNvSpPr txBox="1"/>
      </xdr:nvSpPr>
      <xdr:spPr>
        <a:xfrm>
          <a:off x="6261100" y="2266950"/>
          <a:ext cx="5041900" cy="20129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Business Insight                                                                                                   </a:t>
          </a:r>
          <a:r>
            <a:rPr lang="en-IN" sz="1600">
              <a:solidFill>
                <a:schemeClr val="bg1"/>
              </a:solidFill>
            </a:rPr>
            <a:t>✅ </a:t>
          </a:r>
          <a:r>
            <a:rPr lang="en-IN" sz="1600" b="1">
              <a:solidFill>
                <a:schemeClr val="bg1"/>
              </a:solidFill>
            </a:rPr>
            <a:t>Goal Seek calculated that a maximum discount of 12.5% can be offered while still achieving the target revenue of ₹3500 Million.</a:t>
          </a:r>
          <a:endParaRPr lang="en-IN" sz="1600">
            <a:solidFill>
              <a:schemeClr val="bg1"/>
            </a:solidFill>
          </a:endParaRPr>
        </a:p>
        <a:p>
          <a:r>
            <a:rPr lang="en-IN" sz="1600">
              <a:solidFill>
                <a:schemeClr val="bg1"/>
              </a:solidFill>
            </a:rPr>
            <a:t>✅ </a:t>
          </a:r>
          <a:r>
            <a:rPr lang="en-IN" sz="1600" b="1">
              <a:solidFill>
                <a:schemeClr val="bg1"/>
              </a:solidFill>
            </a:rPr>
            <a:t>Scenario Manager compares Conservative, Moderate, and Aggressive pricing strategies, helping management choose the most profitable option.</a:t>
          </a:r>
          <a:endParaRPr lang="en-IN" sz="1600">
            <a:solidFill>
              <a:schemeClr val="bg1"/>
            </a:solidFill>
          </a:endParaRPr>
        </a:p>
        <a:p>
          <a:endParaRPr lang="en-IN" sz="1600" b="1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3</xdr:row>
      <xdr:rowOff>44450</xdr:rowOff>
    </xdr:from>
    <xdr:to>
      <xdr:col>13</xdr:col>
      <xdr:colOff>254000</xdr:colOff>
      <xdr:row>9</xdr:row>
      <xdr:rowOff>146050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321AF6-AF10-DCD5-C842-7008FFEB1A4A}"/>
            </a:ext>
          </a:extLst>
        </xdr:cNvPr>
        <xdr:cNvSpPr txBox="1"/>
      </xdr:nvSpPr>
      <xdr:spPr>
        <a:xfrm>
          <a:off x="10166350" y="711200"/>
          <a:ext cx="1358900" cy="15748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/>
              </a:solidFill>
            </a:rPr>
            <a:t>Functions Used</a:t>
          </a:r>
        </a:p>
        <a:p>
          <a:endParaRPr lang="en-IN" sz="1100" b="1">
            <a:solidFill>
              <a:schemeClr val="bg1"/>
            </a:solidFill>
          </a:endParaRPr>
        </a:p>
        <a:p>
          <a:r>
            <a:rPr lang="en-IN" sz="1100" b="1">
              <a:solidFill>
                <a:schemeClr val="bg1"/>
              </a:solidFill>
            </a:rPr>
            <a:t>✔ Data Validation</a:t>
          </a:r>
        </a:p>
        <a:p>
          <a:r>
            <a:rPr lang="en-IN" sz="1100" b="1">
              <a:solidFill>
                <a:schemeClr val="bg1"/>
              </a:solidFill>
            </a:rPr>
            <a:t>✔ Named Ranges</a:t>
          </a:r>
        </a:p>
        <a:p>
          <a:r>
            <a:rPr lang="en-IN" sz="1100" b="1">
              <a:solidFill>
                <a:schemeClr val="bg1"/>
              </a:solidFill>
            </a:rPr>
            <a:t>✔ INDIRECT()</a:t>
          </a:r>
        </a:p>
        <a:p>
          <a:r>
            <a:rPr lang="en-IN" sz="1100" b="1">
              <a:solidFill>
                <a:schemeClr val="bg1"/>
              </a:solidFill>
            </a:rPr>
            <a:t>✔ XLOOKUP()</a:t>
          </a:r>
        </a:p>
      </xdr:txBody>
    </xdr:sp>
    <xdr:clientData/>
  </xdr:twoCellAnchor>
  <xdr:twoCellAnchor>
    <xdr:from>
      <xdr:col>8</xdr:col>
      <xdr:colOff>533400</xdr:colOff>
      <xdr:row>12</xdr:row>
      <xdr:rowOff>25400</xdr:rowOff>
    </xdr:from>
    <xdr:to>
      <xdr:col>13</xdr:col>
      <xdr:colOff>311150</xdr:colOff>
      <xdr:row>19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1025B9-29C1-EB2D-6B39-99F84E6225FC}"/>
            </a:ext>
          </a:extLst>
        </xdr:cNvPr>
        <xdr:cNvSpPr txBox="1"/>
      </xdr:nvSpPr>
      <xdr:spPr>
        <a:xfrm>
          <a:off x="7346950" y="2870200"/>
          <a:ext cx="4235450" cy="17907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Business Scenario</a:t>
          </a:r>
        </a:p>
        <a:p>
          <a:endParaRPr lang="en-IN" sz="1600" b="1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Movie analysts can quickly select an Industry,</a:t>
          </a:r>
        </a:p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Studio, and Movie to retrieve details without</a:t>
          </a:r>
        </a:p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manual searching</a:t>
          </a:r>
          <a:r>
            <a:rPr lang="en-IN" sz="1100" b="1">
              <a:solidFill>
                <a:schemeClr val="bg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16</xdr:row>
      <xdr:rowOff>76200</xdr:rowOff>
    </xdr:from>
    <xdr:to>
      <xdr:col>16</xdr:col>
      <xdr:colOff>450850</xdr:colOff>
      <xdr:row>20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703154-3251-3526-F3CD-44583E32E921}"/>
            </a:ext>
          </a:extLst>
        </xdr:cNvPr>
        <xdr:cNvSpPr txBox="1"/>
      </xdr:nvSpPr>
      <xdr:spPr>
        <a:xfrm>
          <a:off x="101600" y="3663950"/>
          <a:ext cx="10102850" cy="7810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tx1"/>
              </a:solidFill>
            </a:rPr>
            <a:t>                                                     Key Takeaway :</a:t>
          </a:r>
        </a:p>
        <a:p>
          <a:r>
            <a:rPr lang="en-IN" sz="1400" b="1">
              <a:solidFill>
                <a:schemeClr val="tx1"/>
              </a:solidFill>
            </a:rPr>
            <a:t>                                                   Use Excel for analysis, calculations, data entry, and quick what-if scenarios.</a:t>
          </a:r>
          <a:br>
            <a:rPr lang="en-IN" sz="1400" b="1">
              <a:solidFill>
                <a:schemeClr val="tx1"/>
              </a:solidFill>
            </a:rPr>
          </a:br>
          <a:r>
            <a:rPr lang="en-IN" sz="1400" b="1">
              <a:solidFill>
                <a:schemeClr val="tx1"/>
              </a:solidFill>
            </a:rPr>
            <a:t>                                                   Use Power BI when data becomes large, dashboards need to be interactive, and reporting needs to be automated.</a:t>
          </a:r>
        </a:p>
        <a:p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50800</xdr:colOff>
      <xdr:row>0</xdr:row>
      <xdr:rowOff>72236</xdr:rowOff>
    </xdr:from>
    <xdr:to>
      <xdr:col>6</xdr:col>
      <xdr:colOff>101599</xdr:colOff>
      <xdr:row>1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B68FF5-970A-C971-774C-AD8B0E9E1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8800" y="72236"/>
          <a:ext cx="660399" cy="429414"/>
        </a:xfrm>
        <a:prstGeom prst="rect">
          <a:avLst/>
        </a:prstGeom>
      </xdr:spPr>
    </xdr:pic>
    <xdr:clientData/>
  </xdr:twoCellAnchor>
  <xdr:twoCellAnchor editAs="oneCell">
    <xdr:from>
      <xdr:col>13</xdr:col>
      <xdr:colOff>274092</xdr:colOff>
      <xdr:row>0</xdr:row>
      <xdr:rowOff>38100</xdr:rowOff>
    </xdr:from>
    <xdr:to>
      <xdr:col>14</xdr:col>
      <xdr:colOff>409024</xdr:colOff>
      <xdr:row>1</xdr:row>
      <xdr:rowOff>265294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0C1411-B2E9-4592-1B54-0A7DC625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0942" y="38100"/>
          <a:ext cx="744532" cy="525644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349250</xdr:colOff>
      <xdr:row>16</xdr:row>
      <xdr:rowOff>84194</xdr:rowOff>
    </xdr:from>
    <xdr:to>
      <xdr:col>2</xdr:col>
      <xdr:colOff>393700</xdr:colOff>
      <xdr:row>20</xdr:row>
      <xdr:rowOff>50799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6A4635-AB1D-7C28-C6CB-33C23070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850" y="3900544"/>
          <a:ext cx="654050" cy="7032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17.942642824077" backgroundQuery="1" createdVersion="8" refreshedVersion="8" minRefreshableVersion="3" recordCount="0" supportSubquery="1" supportAdvancedDrill="1" xr:uid="{DE53C2C9-3E8C-4C23-A854-5956937840F7}">
  <cacheSource type="external" connectionId="11"/>
  <cacheFields count="2">
    <cacheField name="[Movie_financials__with_release_date].[profit_category].[profit_category]" caption="profit_category" numFmtId="0" hierarchy="23" level="1">
      <sharedItems count="3">
        <s v="Highly Profitable"/>
        <s v="Low Profit"/>
        <s v="Profitable"/>
      </sharedItems>
    </cacheField>
    <cacheField name="[Measures].[Count of Movie_id]" caption="Count of Movie_id" numFmtId="0" hierarchy="31" level="32767"/>
  </cacheFields>
  <cacheHierarchies count="32">
    <cacheHierarchy uniqueName="[Financials].[movie_id]" caption="movie_id" attribute="1" defaultMemberUniqueName="[Financials].[movie_id].[All]" allUniqueName="[Financials].[movie_id].[All]" dimensionUniqueName="[Financials]" displayFolder="" count="0" memberValueDatatype="20" unbalanced="0"/>
    <cacheHierarchy uniqueName="[Financials].[budget]" caption="budget" attribute="1" defaultMemberUniqueName="[Financials].[budget].[All]" allUniqueName="[Financials].[budget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unit]" caption="unit" attribute="1" defaultMemberUniqueName="[Financials].[unit].[All]" allUniqueName="[Financials].[unit].[All]" dimensionUniqueName="[Financials]" displayFolder="" count="0" memberValueDatatype="130" unbalanced="0"/>
    <cacheHierarchy uniqueName="[Financials].[currency]" caption="currency" attribute="1" defaultMemberUniqueName="[Financials].[currency].[All]" allUniqueName="[Financials].[currency].[All]" dimensionUniqueName="[Financials]" displayFolder="" count="0" memberValueDatatype="130" unbalanced="0"/>
    <cacheHierarchy uniqueName="[Movie_financials__with_release_date].[Movie_id]" caption="Movie_id" attribute="1" defaultMemberUniqueName="[Movie_financials__with_release_date].[Movie_id].[All]" allUniqueName="[Movie_financials__with_release_date].[Movie_id].[All]" dimensionUniqueName="[Movie_financials__with_release_date]" displayFolder="" count="0" memberValueDatatype="20" unbalanced="0"/>
    <cacheHierarchy uniqueName="[Movie_financials__with_release_date].[Title]" caption="Title" attribute="1" defaultMemberUniqueName="[Movie_financials__with_release_date].[Title].[All]" allUniqueName="[Movie_financials__with_release_date].[Title].[All]" dimensionUniqueName="[Movie_financials__with_release_date]" displayFolder="" count="0" memberValueDatatype="130" unbalanced="0"/>
    <cacheHierarchy uniqueName="[Movie_financials__with_release_date].[industry]" caption="industry" attribute="1" defaultMemberUniqueName="[Movie_financials__with_release_date].[industry].[All]" allUniqueName="[Movie_financials__with_release_date].[industry].[All]" dimensionUniqueName="[Movie_financials__with_release_date]" displayFolder="" count="0" memberValueDatatype="130" unbalanced="0"/>
    <cacheHierarchy uniqueName="[Movie_financials__with_release_date].[release_year]" caption="release_year" attribute="1" defaultMemberUniqueName="[Movie_financials__with_release_date].[release_year].[All]" allUniqueName="[Movie_financials__with_release_date].[release_year].[All]" dimensionUniqueName="[Movie_financials__with_release_date]" displayFolder="" count="0" memberValueDatatype="130" unbalanced="0"/>
    <cacheHierarchy uniqueName="[Movie_financials__with_release_date].[imdb_rating]" caption="imdb_rating" attribute="1" defaultMemberUniqueName="[Movie_financials__with_release_date].[imdb_rating].[All]" allUniqueName="[Movie_financials__with_release_date].[imdb_rating].[All]" dimensionUniqueName="[Movie_financials__with_release_date]" displayFolder="" count="0" memberValueDatatype="5" unbalanced="0"/>
    <cacheHierarchy uniqueName="[Movie_financials__with_release_date].[studio]" caption="studio" attribute="1" defaultMemberUniqueName="[Movie_financials__with_release_date].[studio].[All]" allUniqueName="[Movie_financials__with_release_date].[studio].[All]" dimensionUniqueName="[Movie_financials__with_release_date]" displayFolder="" count="0" memberValueDatatype="130" unbalanced="0"/>
    <cacheHierarchy uniqueName="[Movie_financials__with_release_date].[language_id]" caption="language_id" attribute="1" defaultMemberUniqueName="[Movie_financials__with_release_date].[language_id].[All]" allUniqueName="[Movie_financials__with_release_date].[language_id].[All]" dimensionUniqueName="[Movie_financials__with_release_date]" displayFolder="" count="0" memberValueDatatype="130" unbalanced="0"/>
    <cacheHierarchy uniqueName="[Movie_financials__with_release_date].[budget]" caption="budget" attribute="1" defaultMemberUniqueName="[Movie_financials__with_release_date].[budget].[All]" allUniqueName="[Movie_financials__with_release_date].[budget].[All]" dimensionUniqueName="[Movie_financials__with_release_date]" displayFolder="" count="0" memberValueDatatype="20" unbalanced="0"/>
    <cacheHierarchy uniqueName="[Movie_financials__with_release_date].[revenue]" caption="revenue" attribute="1" defaultMemberUniqueName="[Movie_financials__with_release_date].[revenue].[All]" allUniqueName="[Movie_financials__with_release_date].[revenue].[All]" dimensionUniqueName="[Movie_financials__with_release_date]" displayFolder="" count="0" memberValueDatatype="5" unbalanced="0"/>
    <cacheHierarchy uniqueName="[Movie_financials__with_release_date].[unit]" caption="unit" attribute="1" defaultMemberUniqueName="[Movie_financials__with_release_date].[unit].[All]" allUniqueName="[Movie_financials__with_release_date].[unit].[All]" dimensionUniqueName="[Movie_financials__with_release_date]" displayFolder="" count="0" memberValueDatatype="130" unbalanced="0"/>
    <cacheHierarchy uniqueName="[Movie_financials__with_release_date].[currency]" caption="currency" attribute="1" defaultMemberUniqueName="[Movie_financials__with_release_date].[currency].[All]" allUniqueName="[Movie_financials__with_release_date].[currency].[All]" dimensionUniqueName="[Movie_financials__with_release_date]" displayFolder="" count="0" memberValueDatatype="130" unbalanced="0"/>
    <cacheHierarchy uniqueName="[Movie_financials__with_release_date].[release_date]" caption="release_date" attribute="1" time="1" defaultMemberUniqueName="[Movie_financials__with_release_date].[release_date].[All]" allUniqueName="[Movie_financials__with_release_date].[release_date].[All]" dimensionUniqueName="[Movie_financials__with_release_date]" displayFolder="" count="0" memberValueDatatype="7" unbalanced="0"/>
    <cacheHierarchy uniqueName="[Movie_financials__with_release_date].[Movie_performance]" caption="Movie_performance" attribute="1" defaultMemberUniqueName="[Movie_financials__with_release_date].[Movie_performance].[All]" allUniqueName="[Movie_financials__with_release_date].[Movie_performance].[All]" dimensionUniqueName="[Movie_financials__with_release_date]" displayFolder="" count="0" memberValueDatatype="130" unbalanced="0"/>
    <cacheHierarchy uniqueName="[Movie_financials__with_release_date].[Rating_category]" caption="Rating_category" attribute="1" defaultMemberUniqueName="[Movie_financials__with_release_date].[Rating_category].[All]" allUniqueName="[Movie_financials__with_release_date].[Rating_category].[All]" dimensionUniqueName="[Movie_financials__with_release_date]" displayFolder="" count="0" memberValueDatatype="130" unbalanced="0"/>
    <cacheHierarchy uniqueName="[Movie_financials__with_release_date].[Budget_category]" caption="Budget_category" attribute="1" defaultMemberUniqueName="[Movie_financials__with_release_date].[Budget_category].[All]" allUniqueName="[Movie_financials__with_release_date].[Budget_category].[All]" dimensionUniqueName="[Movie_financials__with_release_date]" displayFolder="" count="0" memberValueDatatype="130" unbalanced="0"/>
    <cacheHierarchy uniqueName="[Movie_financials__with_release_date].[Movie_age]" caption="Movie_age" attribute="1" defaultMemberUniqueName="[Movie_financials__with_release_date].[Movie_age].[All]" allUniqueName="[Movie_financials__with_release_date].[Movie_age].[All]" dimensionUniqueName="[Movie_financials__with_release_date]" displayFolder="" count="0" memberValueDatatype="130" unbalanced="0"/>
    <cacheHierarchy uniqueName="[Movie_financials__with_release_date].[Movie_age(years)]" caption="Movie_age(years)" attribute="1" defaultMemberUniqueName="[Movie_financials__with_release_date].[Movie_age(years)].[All]" allUniqueName="[Movie_financials__with_release_date].[Movie_age(years)].[All]" dimensionUniqueName="[Movie_financials__with_release_date]" displayFolder="" count="0" memberValueDatatype="20" unbalanced="0"/>
    <cacheHierarchy uniqueName="[Movie_financials__with_release_date].[Movie_era]" caption="Movie_era" attribute="1" defaultMemberUniqueName="[Movie_financials__with_release_date].[Movie_era].[All]" allUniqueName="[Movie_financials__with_release_date].[Movie_era].[All]" dimensionUniqueName="[Movie_financials__with_release_date]" displayFolder="" count="0" memberValueDatatype="130" unbalanced="0"/>
    <cacheHierarchy uniqueName="[Movie_financials__with_release_date].[profit_category]" caption="profit_category" attribute="1" defaultMemberUniqueName="[Movie_financials__with_release_date].[profit_category].[All]" allUniqueName="[Movie_financials__with_release_date].[profit_category].[All]" dimensionUniqueName="[Movie_financials__with_release_date]" displayFolder="" count="2" memberValueDatatype="130" unbalanced="0">
      <fieldsUsage count="2">
        <fieldUsage x="-1"/>
        <fieldUsage x="0"/>
      </fieldsUsage>
    </cacheHierarchy>
    <cacheHierarchy uniqueName="[Movie_financials__with_release_date].[Imdb_grade]" caption="Imdb_grade" attribute="1" defaultMemberUniqueName="[Movie_financials__with_release_date].[Imdb_grade].[All]" allUniqueName="[Movie_financials__with_release_date].[Imdb_grade].[All]" dimensionUniqueName="[Movie_financials__with_release_date]" displayFolder="" count="0" memberValueDatatype="130" unbalanced="0"/>
    <cacheHierarchy uniqueName="[Movie_financials__with_release_date].[revenue_category]" caption="revenue_category" attribute="1" defaultMemberUniqueName="[Movie_financials__with_release_date].[revenue_category].[All]" allUniqueName="[Movie_financials__with_release_date].[revenue_category].[All]" dimensionUniqueName="[Movie_financials__with_release_date]" displayFolder="" count="0" memberValueDatatype="130" unbalanced="0"/>
    <cacheHierarchy uniqueName="[Movie_financials__with_release_date].[Status]" caption="Status" attribute="1" defaultMemberUniqueName="[Movie_financials__with_release_date].[Status].[All]" allUniqueName="[Movie_financials__with_release_date].[Status].[All]" dimensionUniqueName="[Movie_financials__with_release_date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XL_Count Movie_financials__with_release_date]" caption="__XL_Count Movie_financials__with_release_date" measure="1" displayFolder="" measureGroup="Movie_financials__with_release_date" count="0" hidden="1"/>
    <cacheHierarchy uniqueName="[Measures].[__No measures defined]" caption="__No measures defined" measure="1" displayFolder="" count="0" hidden="1"/>
    <cacheHierarchy uniqueName="[Measures].[Sum of Movie_id]" caption="Sum of Movie_id" measure="1" displayFolder="" measureGroup="Movie_financials__with_release_dat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ovie_id]" caption="Count of Movie_id" measure="1" displayFolder="" measureGroup="Movie_financials__with_release_dat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Financials" uniqueName="[Financials]" caption="Financials"/>
    <dimension measure="1" name="Measures" uniqueName="[Measures]" caption="Measures"/>
    <dimension name="Movie_financials__with_release_date" uniqueName="[Movie_financials__with_release_date]" caption="Movie_financials__with_release_date"/>
  </dimensions>
  <measureGroups count="2">
    <measureGroup name="Financials" caption="Financials"/>
    <measureGroup name="Movie_financials__with_release_date" caption="Movie_financials__with_release_dat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17.942643750001" backgroundQuery="1" createdVersion="8" refreshedVersion="8" minRefreshableVersion="3" recordCount="0" supportSubquery="1" supportAdvancedDrill="1" xr:uid="{EF0BC98A-BFE1-48DB-923C-07BFAD2ADF33}">
  <cacheSource type="external" connectionId="11"/>
  <cacheFields count="3">
    <cacheField name="[Measures].[Count of Movie_id]" caption="Count of Movie_id" numFmtId="0" hierarchy="31" level="32767"/>
    <cacheField name="[Movie_financials__with_release_date].[Imdb_grade].[Imdb_grade]" caption="Imdb_grade" numFmtId="0" hierarchy="24" level="1">
      <sharedItems count="4">
        <s v="A"/>
        <s v="A+"/>
        <s v="B"/>
        <s v="C"/>
      </sharedItems>
    </cacheField>
    <cacheField name="[Movie_financials__with_release_date].[revenue_category].[revenue_category]" caption="revenue_category" numFmtId="0" hierarchy="25" level="1">
      <sharedItems count="4">
        <s v="Average"/>
        <s v="Hit"/>
        <s v="Mega Hit"/>
        <s v="Super Hit"/>
      </sharedItems>
    </cacheField>
  </cacheFields>
  <cacheHierarchies count="32">
    <cacheHierarchy uniqueName="[Financials].[movie_id]" caption="movie_id" attribute="1" defaultMemberUniqueName="[Financials].[movie_id].[All]" allUniqueName="[Financials].[movie_id].[All]" dimensionUniqueName="[Financials]" displayFolder="" count="0" memberValueDatatype="20" unbalanced="0"/>
    <cacheHierarchy uniqueName="[Financials].[budget]" caption="budget" attribute="1" defaultMemberUniqueName="[Financials].[budget].[All]" allUniqueName="[Financials].[budget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unit]" caption="unit" attribute="1" defaultMemberUniqueName="[Financials].[unit].[All]" allUniqueName="[Financials].[unit].[All]" dimensionUniqueName="[Financials]" displayFolder="" count="0" memberValueDatatype="130" unbalanced="0"/>
    <cacheHierarchy uniqueName="[Financials].[currency]" caption="currency" attribute="1" defaultMemberUniqueName="[Financials].[currency].[All]" allUniqueName="[Financials].[currency].[All]" dimensionUniqueName="[Financials]" displayFolder="" count="0" memberValueDatatype="130" unbalanced="0"/>
    <cacheHierarchy uniqueName="[Movie_financials__with_release_date].[Movie_id]" caption="Movie_id" attribute="1" defaultMemberUniqueName="[Movie_financials__with_release_date].[Movie_id].[All]" allUniqueName="[Movie_financials__with_release_date].[Movie_id].[All]" dimensionUniqueName="[Movie_financials__with_release_date]" displayFolder="" count="0" memberValueDatatype="20" unbalanced="0"/>
    <cacheHierarchy uniqueName="[Movie_financials__with_release_date].[Title]" caption="Title" attribute="1" defaultMemberUniqueName="[Movie_financials__with_release_date].[Title].[All]" allUniqueName="[Movie_financials__with_release_date].[Title].[All]" dimensionUniqueName="[Movie_financials__with_release_date]" displayFolder="" count="0" memberValueDatatype="130" unbalanced="0"/>
    <cacheHierarchy uniqueName="[Movie_financials__with_release_date].[industry]" caption="industry" attribute="1" defaultMemberUniqueName="[Movie_financials__with_release_date].[industry].[All]" allUniqueName="[Movie_financials__with_release_date].[industry].[All]" dimensionUniqueName="[Movie_financials__with_release_date]" displayFolder="" count="0" memberValueDatatype="130" unbalanced="0"/>
    <cacheHierarchy uniqueName="[Movie_financials__with_release_date].[release_year]" caption="release_year" attribute="1" defaultMemberUniqueName="[Movie_financials__with_release_date].[release_year].[All]" allUniqueName="[Movie_financials__with_release_date].[release_year].[All]" dimensionUniqueName="[Movie_financials__with_release_date]" displayFolder="" count="0" memberValueDatatype="130" unbalanced="0"/>
    <cacheHierarchy uniqueName="[Movie_financials__with_release_date].[imdb_rating]" caption="imdb_rating" attribute="1" defaultMemberUniqueName="[Movie_financials__with_release_date].[imdb_rating].[All]" allUniqueName="[Movie_financials__with_release_date].[imdb_rating].[All]" dimensionUniqueName="[Movie_financials__with_release_date]" displayFolder="" count="0" memberValueDatatype="5" unbalanced="0"/>
    <cacheHierarchy uniqueName="[Movie_financials__with_release_date].[studio]" caption="studio" attribute="1" defaultMemberUniqueName="[Movie_financials__with_release_date].[studio].[All]" allUniqueName="[Movie_financials__with_release_date].[studio].[All]" dimensionUniqueName="[Movie_financials__with_release_date]" displayFolder="" count="0" memberValueDatatype="130" unbalanced="0"/>
    <cacheHierarchy uniqueName="[Movie_financials__with_release_date].[language_id]" caption="language_id" attribute="1" defaultMemberUniqueName="[Movie_financials__with_release_date].[language_id].[All]" allUniqueName="[Movie_financials__with_release_date].[language_id].[All]" dimensionUniqueName="[Movie_financials__with_release_date]" displayFolder="" count="0" memberValueDatatype="130" unbalanced="0"/>
    <cacheHierarchy uniqueName="[Movie_financials__with_release_date].[budget]" caption="budget" attribute="1" defaultMemberUniqueName="[Movie_financials__with_release_date].[budget].[All]" allUniqueName="[Movie_financials__with_release_date].[budget].[All]" dimensionUniqueName="[Movie_financials__with_release_date]" displayFolder="" count="0" memberValueDatatype="20" unbalanced="0"/>
    <cacheHierarchy uniqueName="[Movie_financials__with_release_date].[revenue]" caption="revenue" attribute="1" defaultMemberUniqueName="[Movie_financials__with_release_date].[revenue].[All]" allUniqueName="[Movie_financials__with_release_date].[revenue].[All]" dimensionUniqueName="[Movie_financials__with_release_date]" displayFolder="" count="0" memberValueDatatype="5" unbalanced="0"/>
    <cacheHierarchy uniqueName="[Movie_financials__with_release_date].[unit]" caption="unit" attribute="1" defaultMemberUniqueName="[Movie_financials__with_release_date].[unit].[All]" allUniqueName="[Movie_financials__with_release_date].[unit].[All]" dimensionUniqueName="[Movie_financials__with_release_date]" displayFolder="" count="0" memberValueDatatype="130" unbalanced="0"/>
    <cacheHierarchy uniqueName="[Movie_financials__with_release_date].[currency]" caption="currency" attribute="1" defaultMemberUniqueName="[Movie_financials__with_release_date].[currency].[All]" allUniqueName="[Movie_financials__with_release_date].[currency].[All]" dimensionUniqueName="[Movie_financials__with_release_date]" displayFolder="" count="0" memberValueDatatype="130" unbalanced="0"/>
    <cacheHierarchy uniqueName="[Movie_financials__with_release_date].[release_date]" caption="release_date" attribute="1" time="1" defaultMemberUniqueName="[Movie_financials__with_release_date].[release_date].[All]" allUniqueName="[Movie_financials__with_release_date].[release_date].[All]" dimensionUniqueName="[Movie_financials__with_release_date]" displayFolder="" count="0" memberValueDatatype="7" unbalanced="0"/>
    <cacheHierarchy uniqueName="[Movie_financials__with_release_date].[Movie_performance]" caption="Movie_performance" attribute="1" defaultMemberUniqueName="[Movie_financials__with_release_date].[Movie_performance].[All]" allUniqueName="[Movie_financials__with_release_date].[Movie_performance].[All]" dimensionUniqueName="[Movie_financials__with_release_date]" displayFolder="" count="0" memberValueDatatype="130" unbalanced="0"/>
    <cacheHierarchy uniqueName="[Movie_financials__with_release_date].[Rating_category]" caption="Rating_category" attribute="1" defaultMemberUniqueName="[Movie_financials__with_release_date].[Rating_category].[All]" allUniqueName="[Movie_financials__with_release_date].[Rating_category].[All]" dimensionUniqueName="[Movie_financials__with_release_date]" displayFolder="" count="0" memberValueDatatype="130" unbalanced="0"/>
    <cacheHierarchy uniqueName="[Movie_financials__with_release_date].[Budget_category]" caption="Budget_category" attribute="1" defaultMemberUniqueName="[Movie_financials__with_release_date].[Budget_category].[All]" allUniqueName="[Movie_financials__with_release_date].[Budget_category].[All]" dimensionUniqueName="[Movie_financials__with_release_date]" displayFolder="" count="0" memberValueDatatype="130" unbalanced="0"/>
    <cacheHierarchy uniqueName="[Movie_financials__with_release_date].[Movie_age]" caption="Movie_age" attribute="1" defaultMemberUniqueName="[Movie_financials__with_release_date].[Movie_age].[All]" allUniqueName="[Movie_financials__with_release_date].[Movie_age].[All]" dimensionUniqueName="[Movie_financials__with_release_date]" displayFolder="" count="0" memberValueDatatype="130" unbalanced="0"/>
    <cacheHierarchy uniqueName="[Movie_financials__with_release_date].[Movie_age(years)]" caption="Movie_age(years)" attribute="1" defaultMemberUniqueName="[Movie_financials__with_release_date].[Movie_age(years)].[All]" allUniqueName="[Movie_financials__with_release_date].[Movie_age(years)].[All]" dimensionUniqueName="[Movie_financials__with_release_date]" displayFolder="" count="0" memberValueDatatype="20" unbalanced="0"/>
    <cacheHierarchy uniqueName="[Movie_financials__with_release_date].[Movie_era]" caption="Movie_era" attribute="1" defaultMemberUniqueName="[Movie_financials__with_release_date].[Movie_era].[All]" allUniqueName="[Movie_financials__with_release_date].[Movie_era].[All]" dimensionUniqueName="[Movie_financials__with_release_date]" displayFolder="" count="0" memberValueDatatype="130" unbalanced="0"/>
    <cacheHierarchy uniqueName="[Movie_financials__with_release_date].[profit_category]" caption="profit_category" attribute="1" defaultMemberUniqueName="[Movie_financials__with_release_date].[profit_category].[All]" allUniqueName="[Movie_financials__with_release_date].[profit_category].[All]" dimensionUniqueName="[Movie_financials__with_release_date]" displayFolder="" count="0" memberValueDatatype="130" unbalanced="0"/>
    <cacheHierarchy uniqueName="[Movie_financials__with_release_date].[Imdb_grade]" caption="Imdb_grade" attribute="1" defaultMemberUniqueName="[Movie_financials__with_release_date].[Imdb_grade].[All]" allUniqueName="[Movie_financials__with_release_date].[Imdb_grade].[All]" dimensionUniqueName="[Movie_financials__with_release_date]" displayFolder="" count="2" memberValueDatatype="130" unbalanced="0">
      <fieldsUsage count="2">
        <fieldUsage x="-1"/>
        <fieldUsage x="1"/>
      </fieldsUsage>
    </cacheHierarchy>
    <cacheHierarchy uniqueName="[Movie_financials__with_release_date].[revenue_category]" caption="revenue_category" attribute="1" defaultMemberUniqueName="[Movie_financials__with_release_date].[revenue_category].[All]" allUniqueName="[Movie_financials__with_release_date].[revenue_category].[All]" dimensionUniqueName="[Movie_financials__with_release_date]" displayFolder="" count="2" memberValueDatatype="130" unbalanced="0">
      <fieldsUsage count="2">
        <fieldUsage x="-1"/>
        <fieldUsage x="2"/>
      </fieldsUsage>
    </cacheHierarchy>
    <cacheHierarchy uniqueName="[Movie_financials__with_release_date].[Status]" caption="Status" attribute="1" defaultMemberUniqueName="[Movie_financials__with_release_date].[Status].[All]" allUniqueName="[Movie_financials__with_release_date].[Status].[All]" dimensionUniqueName="[Movie_financials__with_release_date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XL_Count Movie_financials__with_release_date]" caption="__XL_Count Movie_financials__with_release_date" measure="1" displayFolder="" measureGroup="Movie_financials__with_release_date" count="0" hidden="1"/>
    <cacheHierarchy uniqueName="[Measures].[__No measures defined]" caption="__No measures defined" measure="1" displayFolder="" count="0" hidden="1"/>
    <cacheHierarchy uniqueName="[Measures].[Sum of Movie_id]" caption="Sum of Movie_id" measure="1" displayFolder="" measureGroup="Movie_financials__with_release_dat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ovie_id]" caption="Count of Movie_id" measure="1" displayFolder="" measureGroup="Movie_financials__with_release_dat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Financials" uniqueName="[Financials]" caption="Financials"/>
    <dimension measure="1" name="Measures" uniqueName="[Measures]" caption="Measures"/>
    <dimension name="Movie_financials__with_release_date" uniqueName="[Movie_financials__with_release_date]" caption="Movie_financials__with_release_date"/>
  </dimensions>
  <measureGroups count="2">
    <measureGroup name="Financials" caption="Financials"/>
    <measureGroup name="Movie_financials__with_release_date" caption="Movie_financials__with_release_dat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17.942644675924" backgroundQuery="1" createdVersion="8" refreshedVersion="8" minRefreshableVersion="3" recordCount="0" supportSubquery="1" supportAdvancedDrill="1" xr:uid="{2C6E3E31-CF95-46F3-A872-A69A0385832B}">
  <cacheSource type="external" connectionId="11"/>
  <cacheFields count="3">
    <cacheField name="[Measures].[Count of Movie_id]" caption="Count of Movie_id" numFmtId="0" hierarchy="31" level="32767"/>
    <cacheField name="[Movie_financials__with_release_date].[industry].[industry]" caption="industry" numFmtId="0" hierarchy="7" level="1">
      <sharedItems count="2">
        <s v="Bollywood"/>
        <s v="Hollywood"/>
      </sharedItems>
    </cacheField>
    <cacheField name="[Movie_financials__with_release_date].[profit_category].[profit_category]" caption="profit_category" numFmtId="0" hierarchy="23" level="1">
      <sharedItems count="3">
        <s v="Highly Profitable"/>
        <s v="Low Profit"/>
        <s v="Profitable"/>
      </sharedItems>
    </cacheField>
  </cacheFields>
  <cacheHierarchies count="32">
    <cacheHierarchy uniqueName="[Financials].[movie_id]" caption="movie_id" attribute="1" defaultMemberUniqueName="[Financials].[movie_id].[All]" allUniqueName="[Financials].[movie_id].[All]" dimensionUniqueName="[Financials]" displayFolder="" count="0" memberValueDatatype="20" unbalanced="0"/>
    <cacheHierarchy uniqueName="[Financials].[budget]" caption="budget" attribute="1" defaultMemberUniqueName="[Financials].[budget].[All]" allUniqueName="[Financials].[budget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unit]" caption="unit" attribute="1" defaultMemberUniqueName="[Financials].[unit].[All]" allUniqueName="[Financials].[unit].[All]" dimensionUniqueName="[Financials]" displayFolder="" count="0" memberValueDatatype="130" unbalanced="0"/>
    <cacheHierarchy uniqueName="[Financials].[currency]" caption="currency" attribute="1" defaultMemberUniqueName="[Financials].[currency].[All]" allUniqueName="[Financials].[currency].[All]" dimensionUniqueName="[Financials]" displayFolder="" count="0" memberValueDatatype="130" unbalanced="0"/>
    <cacheHierarchy uniqueName="[Movie_financials__with_release_date].[Movie_id]" caption="Movie_id" attribute="1" defaultMemberUniqueName="[Movie_financials__with_release_date].[Movie_id].[All]" allUniqueName="[Movie_financials__with_release_date].[Movie_id].[All]" dimensionUniqueName="[Movie_financials__with_release_date]" displayFolder="" count="0" memberValueDatatype="20" unbalanced="0"/>
    <cacheHierarchy uniqueName="[Movie_financials__with_release_date].[Title]" caption="Title" attribute="1" defaultMemberUniqueName="[Movie_financials__with_release_date].[Title].[All]" allUniqueName="[Movie_financials__with_release_date].[Title].[All]" dimensionUniqueName="[Movie_financials__with_release_date]" displayFolder="" count="0" memberValueDatatype="130" unbalanced="0"/>
    <cacheHierarchy uniqueName="[Movie_financials__with_release_date].[industry]" caption="industry" attribute="1" defaultMemberUniqueName="[Movie_financials__with_release_date].[industry].[All]" allUniqueName="[Movie_financials__with_release_date].[industry].[All]" dimensionUniqueName="[Movie_financials__with_release_date]" displayFolder="" count="2" memberValueDatatype="130" unbalanced="0">
      <fieldsUsage count="2">
        <fieldUsage x="-1"/>
        <fieldUsage x="1"/>
      </fieldsUsage>
    </cacheHierarchy>
    <cacheHierarchy uniqueName="[Movie_financials__with_release_date].[release_year]" caption="release_year" attribute="1" defaultMemberUniqueName="[Movie_financials__with_release_date].[release_year].[All]" allUniqueName="[Movie_financials__with_release_date].[release_year].[All]" dimensionUniqueName="[Movie_financials__with_release_date]" displayFolder="" count="0" memberValueDatatype="130" unbalanced="0"/>
    <cacheHierarchy uniqueName="[Movie_financials__with_release_date].[imdb_rating]" caption="imdb_rating" attribute="1" defaultMemberUniqueName="[Movie_financials__with_release_date].[imdb_rating].[All]" allUniqueName="[Movie_financials__with_release_date].[imdb_rating].[All]" dimensionUniqueName="[Movie_financials__with_release_date]" displayFolder="" count="0" memberValueDatatype="5" unbalanced="0"/>
    <cacheHierarchy uniqueName="[Movie_financials__with_release_date].[studio]" caption="studio" attribute="1" defaultMemberUniqueName="[Movie_financials__with_release_date].[studio].[All]" allUniqueName="[Movie_financials__with_release_date].[studio].[All]" dimensionUniqueName="[Movie_financials__with_release_date]" displayFolder="" count="0" memberValueDatatype="130" unbalanced="0"/>
    <cacheHierarchy uniqueName="[Movie_financials__with_release_date].[language_id]" caption="language_id" attribute="1" defaultMemberUniqueName="[Movie_financials__with_release_date].[language_id].[All]" allUniqueName="[Movie_financials__with_release_date].[language_id].[All]" dimensionUniqueName="[Movie_financials__with_release_date]" displayFolder="" count="0" memberValueDatatype="130" unbalanced="0"/>
    <cacheHierarchy uniqueName="[Movie_financials__with_release_date].[budget]" caption="budget" attribute="1" defaultMemberUniqueName="[Movie_financials__with_release_date].[budget].[All]" allUniqueName="[Movie_financials__with_release_date].[budget].[All]" dimensionUniqueName="[Movie_financials__with_release_date]" displayFolder="" count="0" memberValueDatatype="20" unbalanced="0"/>
    <cacheHierarchy uniqueName="[Movie_financials__with_release_date].[revenue]" caption="revenue" attribute="1" defaultMemberUniqueName="[Movie_financials__with_release_date].[revenue].[All]" allUniqueName="[Movie_financials__with_release_date].[revenue].[All]" dimensionUniqueName="[Movie_financials__with_release_date]" displayFolder="" count="0" memberValueDatatype="5" unbalanced="0"/>
    <cacheHierarchy uniqueName="[Movie_financials__with_release_date].[unit]" caption="unit" attribute="1" defaultMemberUniqueName="[Movie_financials__with_release_date].[unit].[All]" allUniqueName="[Movie_financials__with_release_date].[unit].[All]" dimensionUniqueName="[Movie_financials__with_release_date]" displayFolder="" count="0" memberValueDatatype="130" unbalanced="0"/>
    <cacheHierarchy uniqueName="[Movie_financials__with_release_date].[currency]" caption="currency" attribute="1" defaultMemberUniqueName="[Movie_financials__with_release_date].[currency].[All]" allUniqueName="[Movie_financials__with_release_date].[currency].[All]" dimensionUniqueName="[Movie_financials__with_release_date]" displayFolder="" count="0" memberValueDatatype="130" unbalanced="0"/>
    <cacheHierarchy uniqueName="[Movie_financials__with_release_date].[release_date]" caption="release_date" attribute="1" time="1" defaultMemberUniqueName="[Movie_financials__with_release_date].[release_date].[All]" allUniqueName="[Movie_financials__with_release_date].[release_date].[All]" dimensionUniqueName="[Movie_financials__with_release_date]" displayFolder="" count="0" memberValueDatatype="7" unbalanced="0"/>
    <cacheHierarchy uniqueName="[Movie_financials__with_release_date].[Movie_performance]" caption="Movie_performance" attribute="1" defaultMemberUniqueName="[Movie_financials__with_release_date].[Movie_performance].[All]" allUniqueName="[Movie_financials__with_release_date].[Movie_performance].[All]" dimensionUniqueName="[Movie_financials__with_release_date]" displayFolder="" count="0" memberValueDatatype="130" unbalanced="0"/>
    <cacheHierarchy uniqueName="[Movie_financials__with_release_date].[Rating_category]" caption="Rating_category" attribute="1" defaultMemberUniqueName="[Movie_financials__with_release_date].[Rating_category].[All]" allUniqueName="[Movie_financials__with_release_date].[Rating_category].[All]" dimensionUniqueName="[Movie_financials__with_release_date]" displayFolder="" count="0" memberValueDatatype="130" unbalanced="0"/>
    <cacheHierarchy uniqueName="[Movie_financials__with_release_date].[Budget_category]" caption="Budget_category" attribute="1" defaultMemberUniqueName="[Movie_financials__with_release_date].[Budget_category].[All]" allUniqueName="[Movie_financials__with_release_date].[Budget_category].[All]" dimensionUniqueName="[Movie_financials__with_release_date]" displayFolder="" count="0" memberValueDatatype="130" unbalanced="0"/>
    <cacheHierarchy uniqueName="[Movie_financials__with_release_date].[Movie_age]" caption="Movie_age" attribute="1" defaultMemberUniqueName="[Movie_financials__with_release_date].[Movie_age].[All]" allUniqueName="[Movie_financials__with_release_date].[Movie_age].[All]" dimensionUniqueName="[Movie_financials__with_release_date]" displayFolder="" count="0" memberValueDatatype="130" unbalanced="0"/>
    <cacheHierarchy uniqueName="[Movie_financials__with_release_date].[Movie_age(years)]" caption="Movie_age(years)" attribute="1" defaultMemberUniqueName="[Movie_financials__with_release_date].[Movie_age(years)].[All]" allUniqueName="[Movie_financials__with_release_date].[Movie_age(years)].[All]" dimensionUniqueName="[Movie_financials__with_release_date]" displayFolder="" count="0" memberValueDatatype="20" unbalanced="0"/>
    <cacheHierarchy uniqueName="[Movie_financials__with_release_date].[Movie_era]" caption="Movie_era" attribute="1" defaultMemberUniqueName="[Movie_financials__with_release_date].[Movie_era].[All]" allUniqueName="[Movie_financials__with_release_date].[Movie_era].[All]" dimensionUniqueName="[Movie_financials__with_release_date]" displayFolder="" count="0" memberValueDatatype="130" unbalanced="0"/>
    <cacheHierarchy uniqueName="[Movie_financials__with_release_date].[profit_category]" caption="profit_category" attribute="1" defaultMemberUniqueName="[Movie_financials__with_release_date].[profit_category].[All]" allUniqueName="[Movie_financials__with_release_date].[profit_category].[All]" dimensionUniqueName="[Movie_financials__with_release_date]" displayFolder="" count="2" memberValueDatatype="130" unbalanced="0">
      <fieldsUsage count="2">
        <fieldUsage x="-1"/>
        <fieldUsage x="2"/>
      </fieldsUsage>
    </cacheHierarchy>
    <cacheHierarchy uniqueName="[Movie_financials__with_release_date].[Imdb_grade]" caption="Imdb_grade" attribute="1" defaultMemberUniqueName="[Movie_financials__with_release_date].[Imdb_grade].[All]" allUniqueName="[Movie_financials__with_release_date].[Imdb_grade].[All]" dimensionUniqueName="[Movie_financials__with_release_date]" displayFolder="" count="0" memberValueDatatype="130" unbalanced="0"/>
    <cacheHierarchy uniqueName="[Movie_financials__with_release_date].[revenue_category]" caption="revenue_category" attribute="1" defaultMemberUniqueName="[Movie_financials__with_release_date].[revenue_category].[All]" allUniqueName="[Movie_financials__with_release_date].[revenue_category].[All]" dimensionUniqueName="[Movie_financials__with_release_date]" displayFolder="" count="0" memberValueDatatype="130" unbalanced="0"/>
    <cacheHierarchy uniqueName="[Movie_financials__with_release_date].[Status]" caption="Status" attribute="1" defaultMemberUniqueName="[Movie_financials__with_release_date].[Status].[All]" allUniqueName="[Movie_financials__with_release_date].[Status].[All]" dimensionUniqueName="[Movie_financials__with_release_date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XL_Count Movie_financials__with_release_date]" caption="__XL_Count Movie_financials__with_release_date" measure="1" displayFolder="" measureGroup="Movie_financials__with_release_date" count="0" hidden="1"/>
    <cacheHierarchy uniqueName="[Measures].[__No measures defined]" caption="__No measures defined" measure="1" displayFolder="" count="0" hidden="1"/>
    <cacheHierarchy uniqueName="[Measures].[Sum of Movie_id]" caption="Sum of Movie_id" measure="1" displayFolder="" measureGroup="Movie_financials__with_release_dat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ovie_id]" caption="Count of Movie_id" measure="1" displayFolder="" measureGroup="Movie_financials__with_release_dat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Financials" uniqueName="[Financials]" caption="Financials"/>
    <dimension measure="1" name="Measures" uniqueName="[Measures]" caption="Measures"/>
    <dimension name="Movie_financials__with_release_date" uniqueName="[Movie_financials__with_release_date]" caption="Movie_financials__with_release_date"/>
  </dimensions>
  <measureGroups count="2">
    <measureGroup name="Financials" caption="Financials"/>
    <measureGroup name="Movie_financials__with_release_date" caption="Movie_financials__with_release_dat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7.942647800926" createdVersion="8" refreshedVersion="8" minRefreshableVersion="3" recordCount="39" xr:uid="{2721CA1F-3F43-4688-BE0B-747FC132C4E9}">
  <cacheSource type="worksheet">
    <worksheetSource name="Movie_financials__with_release_date"/>
  </cacheSource>
  <cacheFields count="22">
    <cacheField name="Movie_id" numFmtId="0">
      <sharedItems containsSemiMixedTypes="0" containsString="0" containsNumber="1" containsInteger="1" minValue="101" maxValue="140"/>
    </cacheField>
    <cacheField name="Title" numFmtId="0">
      <sharedItems/>
    </cacheField>
    <cacheField name="industry" numFmtId="0">
      <sharedItems/>
    </cacheField>
    <cacheField name="release_year" numFmtId="0">
      <sharedItems/>
    </cacheField>
    <cacheField name="imdb_rating" numFmtId="0">
      <sharedItems containsSemiMixedTypes="0" containsString="0" containsNumber="1" minValue="0" maxValue="9.3000000000000007"/>
    </cacheField>
    <cacheField name="studio" numFmtId="0">
      <sharedItems count="22">
        <s v="Hombale Films"/>
        <s v="Marvel Studios"/>
        <s v="United Producers"/>
        <s v="Yash Raj Films"/>
        <s v="Vinod Chopra Films"/>
        <s v="Dharma Productions"/>
        <s v="Not Avialable"/>
        <s v="Castle Rock Entertainment"/>
        <s v="Warner Bros. Pictures"/>
        <s v="Columbia Pictures"/>
        <s v="Universal Pictures"/>
        <s v="Paramount Pictures"/>
        <s v="Liberty Films"/>
        <s v="20th Century Fox"/>
        <s v="Syncopy"/>
        <s v="Government of West Bengal"/>
        <s v="Vinod Chopra Productions"/>
        <s v="Mythri Movie Makers"/>
        <s v="DVV Entertainment"/>
        <s v="Arka Media Works"/>
        <s v="Zee Studios"/>
        <s v="Salman Khan Films"/>
      </sharedItems>
    </cacheField>
    <cacheField name="language_id" numFmtId="0">
      <sharedItems/>
    </cacheField>
    <cacheField name="budget" numFmtId="0">
      <sharedItems containsString="0" containsBlank="1" containsNumber="1" containsInteger="1" minValue="1" maxValue="900"/>
    </cacheField>
    <cacheField name="revenue" numFmtId="0">
      <sharedItems containsString="0" containsBlank="1" containsNumber="1" minValue="3.1" maxValue="11690"/>
    </cacheField>
    <cacheField name="unit" numFmtId="0">
      <sharedItems containsBlank="1"/>
    </cacheField>
    <cacheField name="currency" numFmtId="0">
      <sharedItems containsBlank="1"/>
    </cacheField>
    <cacheField name="release_date" numFmtId="14">
      <sharedItems containsSemiMixedTypes="0" containsNonDate="0" containsDate="1" containsString="0" minDate="1946-12-20T00:00:00" maxDate="2022-07-09T00:00:00"/>
    </cacheField>
    <cacheField name="Movie_performance" numFmtId="0">
      <sharedItems/>
    </cacheField>
    <cacheField name="Rating_category" numFmtId="0">
      <sharedItems/>
    </cacheField>
    <cacheField name="Budget_category" numFmtId="0">
      <sharedItems/>
    </cacheField>
    <cacheField name="Movie_age" numFmtId="0">
      <sharedItems/>
    </cacheField>
    <cacheField name="Movie_age(years)" numFmtId="0">
      <sharedItems containsSemiMixedTypes="0" containsString="0" containsNumber="1" containsInteger="1" minValue="4" maxValue="79"/>
    </cacheField>
    <cacheField name="Movie_era" numFmtId="0">
      <sharedItems count="3">
        <s v="New Release"/>
        <s v="Modern Classic"/>
        <s v="Classic"/>
      </sharedItems>
    </cacheField>
    <cacheField name="profit_category" numFmtId="0">
      <sharedItems/>
    </cacheField>
    <cacheField name="Imdb_grade" numFmtId="0">
      <sharedItems/>
    </cacheField>
    <cacheField name="revenue_category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7.942648032411" createdVersion="8" refreshedVersion="8" minRefreshableVersion="3" recordCount="40" xr:uid="{34A46D68-1129-4E8C-AB99-4F0485525B0D}">
  <cacheSource type="worksheet">
    <worksheetSource ref="A1:R46" sheet="DAY 5"/>
  </cacheSource>
  <cacheFields count="18">
    <cacheField name="Movie_id" numFmtId="0">
      <sharedItems containsString="0" containsBlank="1" containsNumber="1" containsInteger="1" minValue="101" maxValue="140"/>
    </cacheField>
    <cacheField name="Title" numFmtId="0">
      <sharedItems containsBlank="1"/>
    </cacheField>
    <cacheField name="industry" numFmtId="0">
      <sharedItems containsBlank="1" count="3">
        <s v="Bollywood"/>
        <s v="Hollywood"/>
        <m/>
      </sharedItems>
    </cacheField>
    <cacheField name="release_year" numFmtId="0">
      <sharedItems containsBlank="1"/>
    </cacheField>
    <cacheField name="imdb_rating" numFmtId="0">
      <sharedItems containsString="0" containsBlank="1" containsNumber="1" minValue="0" maxValue="9.3000000000000007"/>
    </cacheField>
    <cacheField name="studio" numFmtId="0">
      <sharedItems containsBlank="1"/>
    </cacheField>
    <cacheField name="language_id" numFmtId="0">
      <sharedItems containsBlank="1"/>
    </cacheField>
    <cacheField name="budget" numFmtId="0">
      <sharedItems containsString="0" containsBlank="1" containsNumber="1" containsInteger="1" minValue="1" maxValue="900"/>
    </cacheField>
    <cacheField name="revenue" numFmtId="0">
      <sharedItems containsString="0" containsBlank="1" containsNumber="1" minValue="3.1" maxValue="11690"/>
    </cacheField>
    <cacheField name="unit" numFmtId="0">
      <sharedItems containsBlank="1"/>
    </cacheField>
    <cacheField name="currency" numFmtId="0">
      <sharedItems containsBlank="1"/>
    </cacheField>
    <cacheField name="release_date" numFmtId="0">
      <sharedItems containsNonDate="0" containsDate="1" containsString="0" containsBlank="1" minDate="1946-12-20T00:00:00" maxDate="2022-07-09T00:00:00"/>
    </cacheField>
    <cacheField name="Movie_performance" numFmtId="0">
      <sharedItems containsBlank="1"/>
    </cacheField>
    <cacheField name="Rating_category" numFmtId="0">
      <sharedItems containsBlank="1"/>
    </cacheField>
    <cacheField name="Budget_category" numFmtId="0">
      <sharedItems containsBlank="1"/>
    </cacheField>
    <cacheField name="Movie_age" numFmtId="0">
      <sharedItems containsBlank="1"/>
    </cacheField>
    <cacheField name="Movie_age(years)" numFmtId="0">
      <sharedItems containsString="0" containsBlank="1" containsNumber="1" containsInteger="1" minValue="4" maxValue="79"/>
    </cacheField>
    <cacheField name="Movie_era" numFmtId="0">
      <sharedItems containsBlank="1" count="4">
        <s v="New Release"/>
        <s v="Modern Classic"/>
        <s v="Classi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01"/>
    <s v="K.G.F: Chapter 2"/>
    <s v="Bollywood"/>
    <s v="2022"/>
    <n v="8.4"/>
    <x v="0"/>
    <s v="3"/>
    <n v="1"/>
    <n v="12.5"/>
    <s v="Billions"/>
    <s v="INR"/>
    <d v="2022-04-14T00:00:00"/>
    <s v="Average"/>
    <s v="Good"/>
    <s v="Low budget"/>
    <s v="4years3months"/>
    <n v="4"/>
    <x v="0"/>
    <s v="Highly Profitable"/>
    <s v="A"/>
    <s v="Average"/>
    <s v="OK"/>
  </r>
  <r>
    <n v="102"/>
    <s v="Doctor Strange in the Multiverse of Madness"/>
    <s v="Hollywood"/>
    <s v="2022"/>
    <n v="7"/>
    <x v="1"/>
    <s v="5"/>
    <n v="200"/>
    <n v="954.8"/>
    <s v="Millions"/>
    <s v="USD"/>
    <d v="2022-05-06T00:00:00"/>
    <s v="Hit"/>
    <s v="Good"/>
    <s v="High budget"/>
    <s v="4years2months"/>
    <n v="4"/>
    <x v="0"/>
    <s v="Highly Profitable"/>
    <s v="B"/>
    <s v="Hit"/>
    <s v="OK"/>
  </r>
  <r>
    <n v="103"/>
    <s v="Thor: The Dark World"/>
    <s v="Hollywood"/>
    <s v="2013"/>
    <n v="6.8"/>
    <x v="1"/>
    <s v="5"/>
    <n v="165"/>
    <n v="644.79999999999995"/>
    <s v="Millions"/>
    <s v="USD"/>
    <d v="2013-11-08T00:00:00"/>
    <s v="Hit"/>
    <s v="Average"/>
    <s v="High budget"/>
    <s v="12years8months"/>
    <n v="12"/>
    <x v="1"/>
    <s v="Highly Profitable"/>
    <s v="C"/>
    <s v="Hit"/>
    <s v="OK"/>
  </r>
  <r>
    <n v="104"/>
    <s v="Thor: Ragnarok"/>
    <s v="Hollywood"/>
    <s v="2017"/>
    <n v="7.9"/>
    <x v="1"/>
    <s v="5"/>
    <n v="180"/>
    <n v="854"/>
    <s v="Millions"/>
    <s v="USD"/>
    <d v="2017-11-03T00:00:00"/>
    <s v="Hit"/>
    <s v="Good"/>
    <s v="High budget"/>
    <s v="8years8months"/>
    <n v="8"/>
    <x v="1"/>
    <s v="Highly Profitable"/>
    <s v="B"/>
    <s v="Hit"/>
    <s v="OK"/>
  </r>
  <r>
    <n v="105"/>
    <s v="Thor: Love and Thunder"/>
    <s v="Hollywood"/>
    <s v="2022"/>
    <n v="6.8"/>
    <x v="1"/>
    <s v="5"/>
    <n v="250"/>
    <n v="670"/>
    <s v="Millions"/>
    <s v="USD"/>
    <d v="2022-07-08T00:00:00"/>
    <s v="Hit"/>
    <s v="Average"/>
    <s v="High budget"/>
    <s v="4years0months"/>
    <n v="4"/>
    <x v="0"/>
    <s v="Profitable"/>
    <s v="C"/>
    <s v="Hit"/>
    <s v="OK"/>
  </r>
  <r>
    <n v="106"/>
    <s v="Sholay"/>
    <s v="Bollywood"/>
    <s v="1975"/>
    <n v="8.1"/>
    <x v="2"/>
    <s v="1"/>
    <m/>
    <m/>
    <m/>
    <m/>
    <d v="1975-08-15T00:00:00"/>
    <s v="Average"/>
    <s v="Good"/>
    <s v="Low budget"/>
    <s v="50years10months"/>
    <n v="50"/>
    <x v="2"/>
    <s v="Low Profit"/>
    <s v="A"/>
    <s v="Average"/>
    <s v="OK"/>
  </r>
  <r>
    <n v="107"/>
    <s v="Dilwale Dulhania Le Jayenge"/>
    <s v="Bollywood"/>
    <s v="1995"/>
    <n v="8"/>
    <x v="3"/>
    <s v="1"/>
    <n v="400"/>
    <n v="2000"/>
    <s v="Millions"/>
    <s v="INR"/>
    <d v="1995-10-20T00:00:00"/>
    <s v="Blockbuster"/>
    <s v="Good"/>
    <s v="High budget"/>
    <s v="30years8months"/>
    <n v="30"/>
    <x v="2"/>
    <s v="Highly Profitable"/>
    <s v="A"/>
    <s v="Mega Hit"/>
    <s v="OK"/>
  </r>
  <r>
    <n v="108"/>
    <s v="3 Idiots"/>
    <s v="Bollywood"/>
    <s v="2009"/>
    <n v="8.4"/>
    <x v="4"/>
    <s v="1"/>
    <n v="550"/>
    <n v="4000"/>
    <s v="Millions"/>
    <s v="INR"/>
    <d v="2009-12-25T00:00:00"/>
    <s v="Blockbuster"/>
    <s v="Good"/>
    <s v="High budget"/>
    <s v="16years6months"/>
    <n v="16"/>
    <x v="2"/>
    <s v="Highly Profitable"/>
    <s v="A"/>
    <s v="Mega Hit"/>
    <s v="OK"/>
  </r>
  <r>
    <n v="109"/>
    <s v="Kabhi Khushi Kabhie Gham"/>
    <s v="Bollywood"/>
    <s v="2001"/>
    <n v="7.4"/>
    <x v="5"/>
    <s v="1"/>
    <n v="390"/>
    <n v="1360"/>
    <s v="Millions"/>
    <s v="INR"/>
    <d v="2001-12-14T00:00:00"/>
    <s v="Blockbuster"/>
    <s v="Good"/>
    <s v="High budget"/>
    <s v="24years7months"/>
    <n v="24"/>
    <x v="2"/>
    <s v="Highly Profitable"/>
    <s v="B"/>
    <s v="Super Hit"/>
    <s v="OK"/>
  </r>
  <r>
    <n v="110"/>
    <s v="Bajirao Mastani"/>
    <s v="Bollywood"/>
    <s v="2015"/>
    <n v="7.2"/>
    <x v="6"/>
    <s v="1"/>
    <n v="1"/>
    <n v="3.5"/>
    <s v="Billions"/>
    <s v="INR"/>
    <d v="2015-12-18T00:00:00"/>
    <s v="Average"/>
    <s v="Good"/>
    <s v="Low budget"/>
    <s v="10years6months"/>
    <n v="10"/>
    <x v="1"/>
    <s v="Highly Profitable"/>
    <s v="B"/>
    <s v="Average"/>
    <s v="OK"/>
  </r>
  <r>
    <n v="111"/>
    <s v="The Shawshank Redemption"/>
    <s v="Hollywood"/>
    <s v="1994"/>
    <n v="9.3000000000000007"/>
    <x v="7"/>
    <s v="5"/>
    <n v="25"/>
    <n v="73.3"/>
    <s v="Millions"/>
    <s v="USD"/>
    <d v="1994-09-23T00:00:00"/>
    <s v="Average"/>
    <s v="Excellent"/>
    <s v="Low budget"/>
    <s v="31years9months"/>
    <n v="31"/>
    <x v="2"/>
    <s v="Profitable"/>
    <s v="A+"/>
    <s v="Average"/>
    <s v="OK"/>
  </r>
  <r>
    <n v="113"/>
    <s v="Interstellar"/>
    <s v="Hollywood"/>
    <s v="2014"/>
    <n v="8.6"/>
    <x v="8"/>
    <s v="5"/>
    <n v="165"/>
    <n v="701.8"/>
    <s v="Millions"/>
    <s v="USD"/>
    <d v="2014-07-16T00:00:00"/>
    <s v="Hit"/>
    <s v="Excellent"/>
    <s v="High budget"/>
    <s v="11years11months"/>
    <n v="11"/>
    <x v="1"/>
    <s v="Highly Profitable"/>
    <s v="A"/>
    <s v="Hit"/>
    <s v="OK"/>
  </r>
  <r>
    <n v="112"/>
    <s v="Inception"/>
    <s v="Hollywood"/>
    <s v="2010"/>
    <n v="8.8000000000000007"/>
    <x v="8"/>
    <s v="5"/>
    <m/>
    <m/>
    <m/>
    <m/>
    <d v="2010-11-07T00:00:00"/>
    <s v="Average"/>
    <s v="Excellent"/>
    <s v="Low budget"/>
    <s v="15years8months"/>
    <n v="15"/>
    <x v="1"/>
    <s v="Low Profit"/>
    <s v="A"/>
    <s v="Average"/>
    <s v="OK"/>
  </r>
  <r>
    <n v="115"/>
    <s v="The Pursuit of Happyness"/>
    <s v="Hollywood"/>
    <s v="2006"/>
    <n v="8"/>
    <x v="9"/>
    <s v="5"/>
    <n v="55"/>
    <n v="307.10000000000002"/>
    <s v="Millions"/>
    <s v="USD"/>
    <d v="2006-12-15T00:00:00"/>
    <s v="Average"/>
    <s v="Good"/>
    <s v="Medium budget"/>
    <s v="19years6months"/>
    <n v="19"/>
    <x v="2"/>
    <s v="Highly Profitable"/>
    <s v="A"/>
    <s v="Average"/>
    <s v="OK"/>
  </r>
  <r>
    <n v="116"/>
    <s v="Gladiator"/>
    <s v="Hollywood"/>
    <s v="2000"/>
    <n v="8.5"/>
    <x v="10"/>
    <s v="5"/>
    <n v="103"/>
    <n v="460.5"/>
    <s v="Millions"/>
    <s v="USD"/>
    <d v="2000-05-05T00:00:00"/>
    <s v="Average"/>
    <s v="Good"/>
    <s v="Medium budget"/>
    <s v="26years2months"/>
    <n v="26"/>
    <x v="2"/>
    <s v="Highly Profitable"/>
    <s v="A"/>
    <s v="Average"/>
    <s v="OK"/>
  </r>
  <r>
    <n v="117"/>
    <s v="Titanic"/>
    <s v="Hollywood"/>
    <s v="1997"/>
    <n v="7.9"/>
    <x v="11"/>
    <s v="5"/>
    <n v="200"/>
    <n v="2202"/>
    <s v="Millions"/>
    <s v="USD"/>
    <d v="1997-12-19T00:00:00"/>
    <s v="Blockbuster"/>
    <s v="Good"/>
    <s v="High budget"/>
    <s v="28years6months"/>
    <n v="28"/>
    <x v="2"/>
    <s v="Highly Profitable"/>
    <s v="B"/>
    <s v="Mega Hit"/>
    <s v="OK"/>
  </r>
  <r>
    <n v="118"/>
    <s v="It's a Wonderful Life"/>
    <s v="Hollywood"/>
    <s v="1946"/>
    <n v="8.6"/>
    <x v="12"/>
    <s v="5"/>
    <n v="3"/>
    <n v="3.3"/>
    <s v="Millions"/>
    <s v="USD"/>
    <d v="1946-12-20T00:00:00"/>
    <s v="Average"/>
    <s v="Excellent"/>
    <s v="Low budget"/>
    <s v="79years6months"/>
    <n v="79"/>
    <x v="2"/>
    <s v="Profitable"/>
    <s v="A"/>
    <s v="Average"/>
    <s v="OK"/>
  </r>
  <r>
    <n v="119"/>
    <s v="Avatar"/>
    <s v="Hollywood"/>
    <s v="2009"/>
    <n v="7.8"/>
    <x v="13"/>
    <s v="5"/>
    <n v="237"/>
    <n v="2847"/>
    <s v="Millions"/>
    <s v="USD"/>
    <d v="2009-12-18T00:00:00"/>
    <s v="Blockbuster"/>
    <s v="Good"/>
    <s v="High budget"/>
    <s v="16years6months"/>
    <n v="16"/>
    <x v="2"/>
    <s v="Highly Profitable"/>
    <s v="B"/>
    <s v="Mega Hit"/>
    <s v="OK"/>
  </r>
  <r>
    <n v="120"/>
    <s v="The Godfather"/>
    <s v="Hollywood"/>
    <s v="1972"/>
    <n v="9.1999999999999993"/>
    <x v="11"/>
    <s v="5"/>
    <n v="7"/>
    <n v="291"/>
    <s v="Millions"/>
    <s v="USD"/>
    <d v="1972-03-24T00:00:00"/>
    <s v="Average"/>
    <s v="Excellent"/>
    <s v="Low budget"/>
    <s v="54years3months"/>
    <n v="54"/>
    <x v="2"/>
    <s v="Highly Profitable"/>
    <s v="A+"/>
    <s v="Average"/>
    <s v="OK"/>
  </r>
  <r>
    <n v="121"/>
    <s v="The Dark Knight"/>
    <s v="Hollywood"/>
    <s v="2008"/>
    <n v="9"/>
    <x v="14"/>
    <s v="5"/>
    <n v="185"/>
    <n v="1006"/>
    <s v="Millions"/>
    <s v="USD"/>
    <d v="2008-07-18T00:00:00"/>
    <s v="Blockbuster"/>
    <s v="Excellent"/>
    <s v="High budget"/>
    <s v="17years11months"/>
    <n v="17"/>
    <x v="2"/>
    <s v="Highly Profitable"/>
    <s v="A+"/>
    <s v="Super Hit"/>
    <s v="OK"/>
  </r>
  <r>
    <n v="122"/>
    <s v="Schindler's List"/>
    <s v="Hollywood"/>
    <s v="1993"/>
    <n v="9"/>
    <x v="10"/>
    <s v="5"/>
    <n v="22"/>
    <n v="322.2"/>
    <s v="Millions"/>
    <s v="USD"/>
    <d v="1993-02-04T00:00:00"/>
    <s v="Average"/>
    <s v="Excellent"/>
    <s v="Low budget"/>
    <s v="33years5months"/>
    <n v="33"/>
    <x v="2"/>
    <s v="Highly Profitable"/>
    <s v="A+"/>
    <s v="Average"/>
    <s v="OK"/>
  </r>
  <r>
    <n v="123"/>
    <s v="Jurassic Park"/>
    <s v="Hollywood"/>
    <s v="1993"/>
    <n v="8.1999999999999993"/>
    <x v="10"/>
    <s v="5"/>
    <n v="63"/>
    <n v="1046"/>
    <s v="Millions"/>
    <s v="USD"/>
    <d v="1993-06-11T00:00:00"/>
    <s v="Blockbuster"/>
    <s v="Good"/>
    <s v="Medium budget"/>
    <s v="33years1months"/>
    <n v="33"/>
    <x v="2"/>
    <s v="Highly Profitable"/>
    <s v="A"/>
    <s v="Super Hit"/>
    <s v="OK"/>
  </r>
  <r>
    <n v="124"/>
    <s v="Parasite"/>
    <s v="Hollywood"/>
    <s v="2019"/>
    <n v="8.5"/>
    <x v="6"/>
    <s v="5"/>
    <n v="16"/>
    <n v="263.10000000000002"/>
    <s v="Millions"/>
    <s v="USD"/>
    <d v="2019-05-30T00:00:00"/>
    <s v="Average"/>
    <s v="Good"/>
    <s v="Low budget"/>
    <s v="7years1months"/>
    <n v="7"/>
    <x v="1"/>
    <s v="Highly Profitable"/>
    <s v="A"/>
    <s v="Average"/>
    <s v="OK"/>
  </r>
  <r>
    <n v="125"/>
    <s v="Avengers: Endgame"/>
    <s v="Hollywood"/>
    <s v="2019"/>
    <n v="8.4"/>
    <x v="1"/>
    <s v="5"/>
    <n v="400"/>
    <n v="2798"/>
    <s v="Millions"/>
    <s v="USD"/>
    <d v="2019-04-29T00:00:00"/>
    <s v="Blockbuster"/>
    <s v="Good"/>
    <s v="High budget"/>
    <s v="7years2months"/>
    <n v="7"/>
    <x v="1"/>
    <s v="Highly Profitable"/>
    <s v="A"/>
    <s v="Mega Hit"/>
    <s v="OK"/>
  </r>
  <r>
    <n v="126"/>
    <s v="Avengers: Infinity War"/>
    <s v="Hollywood"/>
    <s v="2018"/>
    <n v="8.4"/>
    <x v="1"/>
    <s v="5"/>
    <n v="400"/>
    <n v="2048"/>
    <s v="Millions"/>
    <s v="USD"/>
    <d v="2018-04-27T00:00:00"/>
    <s v="Blockbuster"/>
    <s v="Good"/>
    <s v="High budget"/>
    <s v="8years2months"/>
    <n v="8"/>
    <x v="1"/>
    <s v="Highly Profitable"/>
    <s v="A"/>
    <s v="Mega Hit"/>
    <s v="OK"/>
  </r>
  <r>
    <n v="127"/>
    <s v="Pather Panchali"/>
    <s v="Bollywood"/>
    <s v="1955"/>
    <n v="8.3000000000000007"/>
    <x v="15"/>
    <s v="7"/>
    <n v="70"/>
    <n v="100"/>
    <s v="Millions"/>
    <s v="INR"/>
    <d v="1955-08-26T00:00:00"/>
    <s v="Average"/>
    <s v="Good"/>
    <s v="Medium budget"/>
    <s v="70years10months"/>
    <n v="70"/>
    <x v="2"/>
    <s v="Profitable"/>
    <s v="A"/>
    <s v="Average"/>
    <s v="OK"/>
  </r>
  <r>
    <n v="128"/>
    <s v="Taare Zameen Par"/>
    <s v="Bollywood"/>
    <s v="2007"/>
    <n v="8.3000000000000007"/>
    <x v="6"/>
    <s v="1"/>
    <n v="120"/>
    <n v="1350"/>
    <s v="Millions"/>
    <s v="INR"/>
    <d v="2007-12-21T00:00:00"/>
    <s v="Blockbuster"/>
    <s v="Good"/>
    <s v="Medium budget"/>
    <s v="18years6months"/>
    <n v="18"/>
    <x v="2"/>
    <s v="Highly Profitable"/>
    <s v="A"/>
    <s v="Super Hit"/>
    <s v="OK"/>
  </r>
  <r>
    <n v="129"/>
    <s v="Munna Bhai M.B.B.S."/>
    <s v="Bollywood"/>
    <s v="2003"/>
    <n v="8.1"/>
    <x v="16"/>
    <s v="1"/>
    <n v="100"/>
    <n v="410"/>
    <s v="Millions"/>
    <s v="INR"/>
    <d v="2003-12-19T00:00:00"/>
    <s v="Average"/>
    <s v="Good"/>
    <s v="Medium budget"/>
    <s v="22years6months"/>
    <n v="22"/>
    <x v="2"/>
    <s v="Highly Profitable"/>
    <s v="A"/>
    <s v="Average"/>
    <s v="OK"/>
  </r>
  <r>
    <n v="130"/>
    <s v="PK"/>
    <s v="Bollywood"/>
    <s v="2014"/>
    <n v="8.1"/>
    <x v="4"/>
    <s v="1"/>
    <n v="850"/>
    <n v="8540"/>
    <s v="Millions"/>
    <s v="INR"/>
    <d v="2014-12-19T00:00:00"/>
    <s v="Blockbuster"/>
    <s v="Good"/>
    <s v="High budget"/>
    <s v="11years6months"/>
    <n v="11"/>
    <x v="1"/>
    <s v="Highly Profitable"/>
    <s v="A"/>
    <s v="Mega Hit"/>
    <s v="OK"/>
  </r>
  <r>
    <n v="131"/>
    <s v="Sanju"/>
    <s v="Bollywood"/>
    <s v="2018"/>
    <n v="0"/>
    <x v="4"/>
    <s v="1"/>
    <n v="1"/>
    <n v="5.9"/>
    <s v="Billions"/>
    <s v="INR"/>
    <d v="2018-06-29T00:00:00"/>
    <s v="Average"/>
    <s v="Average"/>
    <s v="Low budget"/>
    <s v="8years0months"/>
    <n v="8"/>
    <x v="1"/>
    <s v="Highly Profitable"/>
    <s v="C"/>
    <s v="Average"/>
    <s v="OK"/>
  </r>
  <r>
    <n v="132"/>
    <s v="Pushpa: The Rise - Part 1"/>
    <s v="Bollywood"/>
    <s v="2021"/>
    <n v="7.6"/>
    <x v="17"/>
    <s v="2"/>
    <n v="2"/>
    <n v="3.6"/>
    <s v="Billions"/>
    <s v="INR"/>
    <d v="2021-12-17T00:00:00"/>
    <s v="Average"/>
    <s v="Good"/>
    <s v="Low budget"/>
    <s v="4years6months"/>
    <n v="4"/>
    <x v="0"/>
    <s v="Profitable"/>
    <s v="B"/>
    <s v="Average"/>
    <s v="OK"/>
  </r>
  <r>
    <n v="133"/>
    <s v="RRR"/>
    <s v="Bollywood"/>
    <s v="2022"/>
    <n v="8"/>
    <x v="18"/>
    <s v="2"/>
    <n v="6"/>
    <n v="12"/>
    <s v="Billions"/>
    <s v="INR"/>
    <d v="2022-03-25T00:00:00"/>
    <s v="Average"/>
    <s v="Good"/>
    <s v="Low budget"/>
    <s v="4years3months"/>
    <n v="4"/>
    <x v="0"/>
    <s v="Profitable"/>
    <s v="A"/>
    <s v="Average"/>
    <s v="OK"/>
  </r>
  <r>
    <n v="134"/>
    <s v="Baahubali: The Beginning"/>
    <s v="Bollywood"/>
    <s v="2015"/>
    <n v="8"/>
    <x v="19"/>
    <s v="2"/>
    <n v="2"/>
    <n v="6.5"/>
    <s v="Billions"/>
    <s v="INR"/>
    <d v="2015-07-10T00:00:00"/>
    <s v="Average"/>
    <s v="Good"/>
    <s v="Low budget"/>
    <s v="11years0months"/>
    <n v="11"/>
    <x v="1"/>
    <s v="Highly Profitable"/>
    <s v="A"/>
    <s v="Average"/>
    <s v="OK"/>
  </r>
  <r>
    <n v="135"/>
    <s v="The Kashmir Files"/>
    <s v="Bollywood"/>
    <s v="2022"/>
    <n v="8.3000000000000007"/>
    <x v="20"/>
    <s v="1"/>
    <n v="250"/>
    <n v="3409"/>
    <s v="Millions"/>
    <s v="INR"/>
    <d v="2022-03-11T00:00:00"/>
    <s v="Blockbuster"/>
    <s v="Good"/>
    <s v="High budget"/>
    <s v="4years4months"/>
    <n v="4"/>
    <x v="0"/>
    <s v="Highly Profitable"/>
    <s v="A"/>
    <s v="Mega Hit"/>
    <s v="OK"/>
  </r>
  <r>
    <n v="136"/>
    <s v="Bajrangi Bhaijaan"/>
    <s v="Bollywood"/>
    <s v="2015"/>
    <n v="8.1"/>
    <x v="21"/>
    <s v="1"/>
    <n v="900"/>
    <n v="11690"/>
    <s v="Millions"/>
    <s v="INR"/>
    <d v="2015-07-17T00:00:00"/>
    <s v="Blockbuster"/>
    <s v="Good"/>
    <s v="High budget"/>
    <s v="10years11months"/>
    <n v="10"/>
    <x v="1"/>
    <s v="Highly Profitable"/>
    <s v="A"/>
    <s v="Mega Hit"/>
    <s v="OK"/>
  </r>
  <r>
    <n v="137"/>
    <s v="Captain America: The First Avenger"/>
    <s v="Hollywood"/>
    <s v="2011"/>
    <n v="6.9"/>
    <x v="1"/>
    <s v="5"/>
    <n v="217"/>
    <n v="370.6"/>
    <s v="Millions"/>
    <s v="USD"/>
    <d v="2011-07-22T00:00:00"/>
    <s v="Average"/>
    <s v="Average"/>
    <s v="High budget"/>
    <s v="14years11months"/>
    <n v="14"/>
    <x v="1"/>
    <s v="Profitable"/>
    <s v="C"/>
    <s v="Average"/>
    <s v="OK"/>
  </r>
  <r>
    <n v="138"/>
    <s v="Captain America: The Winter Soldier"/>
    <s v="Hollywood"/>
    <s v="2014"/>
    <n v="7.8"/>
    <x v="1"/>
    <s v="5"/>
    <n v="177"/>
    <n v="714.4"/>
    <s v="Millions"/>
    <s v="USD"/>
    <d v="2014-04-04T00:00:00"/>
    <s v="Hit"/>
    <s v="Good"/>
    <s v="High budget"/>
    <s v="12years3months"/>
    <n v="12"/>
    <x v="1"/>
    <s v="Highly Profitable"/>
    <s v="B"/>
    <s v="Hit"/>
    <s v="OK"/>
  </r>
  <r>
    <n v="139"/>
    <s v="Race 3"/>
    <s v="Bollywood"/>
    <s v="2018"/>
    <n v="1.9"/>
    <x v="21"/>
    <s v="1"/>
    <n v="2"/>
    <n v="3.1"/>
    <s v="Billions"/>
    <s v="INR"/>
    <d v="2018-06-15T00:00:00"/>
    <s v="Average"/>
    <s v="Average"/>
    <s v="Low budget"/>
    <s v="8years0months"/>
    <n v="8"/>
    <x v="1"/>
    <s v="Profitable"/>
    <s v="C"/>
    <s v="Average"/>
    <s v="OK"/>
  </r>
  <r>
    <n v="140"/>
    <s v="Shershaah"/>
    <s v="Bollywood"/>
    <s v="2021"/>
    <n v="8.4"/>
    <x v="5"/>
    <s v="1"/>
    <n v="500"/>
    <n v="950"/>
    <s v="Millions"/>
    <s v="INR"/>
    <d v="2021-08-12T00:00:00"/>
    <s v="Hit"/>
    <s v="Good"/>
    <s v="High budget"/>
    <s v="4years11months"/>
    <n v="4"/>
    <x v="0"/>
    <s v="Profitable"/>
    <s v="A"/>
    <s v="Hit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1"/>
    <s v="K.G.F: Chapter 2"/>
    <x v="0"/>
    <s v="2022"/>
    <n v="8.4"/>
    <s v="Hombale Films"/>
    <s v="3"/>
    <n v="1"/>
    <n v="12.5"/>
    <s v="Billions"/>
    <s v="INR"/>
    <d v="2022-04-14T00:00:00"/>
    <s v="Average"/>
    <s v="Good"/>
    <s v="Low budget"/>
    <s v="4years3months"/>
    <n v="4"/>
    <x v="0"/>
  </r>
  <r>
    <n v="102"/>
    <s v="Doctor Strange in the Multiverse of Madness"/>
    <x v="1"/>
    <s v="2022"/>
    <n v="7"/>
    <s v="Marvel Studios"/>
    <s v="5"/>
    <n v="200"/>
    <n v="954.8"/>
    <s v="Millions"/>
    <s v="USD"/>
    <d v="2022-05-06T00:00:00"/>
    <s v="Hit"/>
    <s v="Good"/>
    <s v="High budget"/>
    <s v="4years2months"/>
    <n v="4"/>
    <x v="0"/>
  </r>
  <r>
    <n v="103"/>
    <s v="Thor: The Dark World"/>
    <x v="1"/>
    <s v="2013"/>
    <n v="6.8"/>
    <s v="Marvel Studios"/>
    <s v="5"/>
    <n v="165"/>
    <n v="644.79999999999995"/>
    <s v="Millions"/>
    <s v="USD"/>
    <d v="2013-11-08T00:00:00"/>
    <s v="Hit"/>
    <s v="Average"/>
    <s v="High budget"/>
    <s v="12years8months"/>
    <n v="12"/>
    <x v="1"/>
  </r>
  <r>
    <n v="104"/>
    <s v="Thor: Ragnarok"/>
    <x v="1"/>
    <s v="2017"/>
    <n v="7.9"/>
    <s v="Marvel Studios"/>
    <s v="5"/>
    <n v="180"/>
    <n v="854"/>
    <s v="Millions"/>
    <s v="USD"/>
    <d v="2017-11-03T00:00:00"/>
    <s v="Hit"/>
    <s v="Good"/>
    <s v="High budget"/>
    <s v="8years8months"/>
    <n v="8"/>
    <x v="1"/>
  </r>
  <r>
    <n v="105"/>
    <s v="Thor: Love and Thunder"/>
    <x v="1"/>
    <s v="2022"/>
    <n v="6.8"/>
    <s v="Marvel Studios"/>
    <s v="5"/>
    <n v="250"/>
    <n v="670"/>
    <s v="Millions"/>
    <s v="USD"/>
    <d v="2022-07-08T00:00:00"/>
    <s v="Hit"/>
    <s v="Average"/>
    <s v="High budget"/>
    <s v="4years0months"/>
    <n v="4"/>
    <x v="0"/>
  </r>
  <r>
    <n v="106"/>
    <s v="Sholay"/>
    <x v="0"/>
    <s v="1975"/>
    <n v="8.1"/>
    <s v="United Producers"/>
    <s v="1"/>
    <m/>
    <m/>
    <m/>
    <m/>
    <d v="1975-08-15T00:00:00"/>
    <s v="Average"/>
    <s v="Good"/>
    <s v="Low budget"/>
    <s v="50years10months"/>
    <n v="50"/>
    <x v="2"/>
  </r>
  <r>
    <n v="107"/>
    <s v="Dilwale Dulhania Le Jayenge"/>
    <x v="0"/>
    <s v="1995"/>
    <n v="8"/>
    <s v="Yash Raj Films"/>
    <s v="1"/>
    <n v="400"/>
    <n v="2000"/>
    <s v="Millions"/>
    <s v="INR"/>
    <d v="1995-10-20T00:00:00"/>
    <s v="Blockbuster"/>
    <s v="Good"/>
    <s v="High budget"/>
    <s v="30years8months"/>
    <n v="30"/>
    <x v="2"/>
  </r>
  <r>
    <n v="108"/>
    <s v="3 Idiots"/>
    <x v="0"/>
    <s v="2009"/>
    <n v="8.4"/>
    <s v="Vinod Chopra Films"/>
    <s v="1"/>
    <n v="550"/>
    <n v="4000"/>
    <s v="Millions"/>
    <s v="INR"/>
    <d v="2009-12-25T00:00:00"/>
    <s v="Blockbuster"/>
    <s v="Good"/>
    <s v="High budget"/>
    <s v="16years6months"/>
    <n v="16"/>
    <x v="2"/>
  </r>
  <r>
    <n v="109"/>
    <s v="Kabhi Khushi Kabhie Gham"/>
    <x v="0"/>
    <s v="2001"/>
    <n v="7.4"/>
    <s v="Dharma Productions"/>
    <s v="1"/>
    <n v="390"/>
    <n v="1360"/>
    <s v="Millions"/>
    <s v="INR"/>
    <d v="2001-12-14T00:00:00"/>
    <s v="Blockbuster"/>
    <s v="Good"/>
    <s v="High budget"/>
    <s v="24years7months"/>
    <n v="24"/>
    <x v="2"/>
  </r>
  <r>
    <n v="110"/>
    <s v="Bajirao Mastani"/>
    <x v="0"/>
    <s v="2015"/>
    <n v="7.2"/>
    <s v="Not Avialable"/>
    <s v="1"/>
    <n v="1"/>
    <n v="3.5"/>
    <s v="Billions"/>
    <s v="INR"/>
    <d v="2015-12-18T00:00:00"/>
    <s v="Average"/>
    <s v="Good"/>
    <s v="Low budget"/>
    <s v="10years6months"/>
    <n v="10"/>
    <x v="1"/>
  </r>
  <r>
    <n v="111"/>
    <s v="The Shawshank Redemption"/>
    <x v="1"/>
    <s v="1994"/>
    <n v="9.3000000000000007"/>
    <s v="Castle Rock Entertainment"/>
    <s v="5"/>
    <n v="25"/>
    <n v="73.3"/>
    <s v="Millions"/>
    <s v="USD"/>
    <d v="1994-09-23T00:00:00"/>
    <s v="Average"/>
    <s v="Excellent"/>
    <s v="Low budget"/>
    <s v="31years9months"/>
    <n v="31"/>
    <x v="2"/>
  </r>
  <r>
    <n v="113"/>
    <s v="Interstellar"/>
    <x v="1"/>
    <s v="2014"/>
    <n v="8.6"/>
    <s v="Warner Bros. Pictures"/>
    <s v="5"/>
    <n v="165"/>
    <n v="701.8"/>
    <s v="Millions"/>
    <s v="USD"/>
    <d v="2014-07-16T00:00:00"/>
    <s v="Hit"/>
    <s v="Excellent"/>
    <s v="High budget"/>
    <s v="11years11months"/>
    <n v="11"/>
    <x v="1"/>
  </r>
  <r>
    <n v="112"/>
    <s v="Inception"/>
    <x v="1"/>
    <s v="2010"/>
    <n v="8.8000000000000007"/>
    <s v="Warner Bros. Pictures"/>
    <s v="5"/>
    <m/>
    <m/>
    <m/>
    <m/>
    <d v="2010-11-07T00:00:00"/>
    <s v="Average"/>
    <s v="Excellent"/>
    <s v="Low budget"/>
    <s v="15years8months"/>
    <n v="15"/>
    <x v="1"/>
  </r>
  <r>
    <n v="115"/>
    <s v="The Pursuit of Happyness"/>
    <x v="1"/>
    <s v="2006"/>
    <n v="8"/>
    <s v="Columbia Pictures"/>
    <s v="5"/>
    <n v="55"/>
    <n v="307.10000000000002"/>
    <s v="Millions"/>
    <s v="USD"/>
    <d v="2006-12-15T00:00:00"/>
    <s v="Average"/>
    <s v="Good"/>
    <s v="Medium budget"/>
    <s v="19years6months"/>
    <n v="19"/>
    <x v="2"/>
  </r>
  <r>
    <n v="116"/>
    <s v="Gladiator"/>
    <x v="1"/>
    <s v="2000"/>
    <n v="8.5"/>
    <s v="Universal Pictures"/>
    <s v="5"/>
    <n v="103"/>
    <n v="460.5"/>
    <s v="Millions"/>
    <s v="USD"/>
    <d v="2000-05-05T00:00:00"/>
    <s v="Average"/>
    <s v="Good"/>
    <s v="Medium budget"/>
    <s v="26years2months"/>
    <n v="26"/>
    <x v="2"/>
  </r>
  <r>
    <n v="117"/>
    <s v="Titanic"/>
    <x v="1"/>
    <s v="1997"/>
    <n v="7.9"/>
    <s v="Paramount Pictures"/>
    <s v="5"/>
    <n v="200"/>
    <n v="2202"/>
    <s v="Millions"/>
    <s v="USD"/>
    <d v="1997-12-19T00:00:00"/>
    <s v="Blockbuster"/>
    <s v="Good"/>
    <s v="High budget"/>
    <s v="28years6months"/>
    <n v="28"/>
    <x v="2"/>
  </r>
  <r>
    <n v="118"/>
    <s v="It's a Wonderful Life"/>
    <x v="1"/>
    <s v="1946"/>
    <n v="8.6"/>
    <s v="Liberty Films"/>
    <s v="5"/>
    <n v="3"/>
    <n v="3.3"/>
    <s v="Millions"/>
    <s v="USD"/>
    <d v="1946-12-20T00:00:00"/>
    <s v="Average"/>
    <s v="Excellent"/>
    <s v="Low budget"/>
    <s v="79years6months"/>
    <n v="79"/>
    <x v="2"/>
  </r>
  <r>
    <n v="119"/>
    <s v="Avatar"/>
    <x v="1"/>
    <s v="2009"/>
    <n v="7.8"/>
    <s v="20th Century Fox"/>
    <s v="5"/>
    <n v="237"/>
    <n v="2847"/>
    <s v="Millions"/>
    <s v="USD"/>
    <d v="2009-12-18T00:00:00"/>
    <s v="Blockbuster"/>
    <s v="Good"/>
    <s v="High budget"/>
    <s v="16years6months"/>
    <n v="16"/>
    <x v="2"/>
  </r>
  <r>
    <n v="120"/>
    <s v="The Godfather"/>
    <x v="1"/>
    <s v="1972"/>
    <n v="9.1999999999999993"/>
    <s v="Paramount Pictures"/>
    <s v="5"/>
    <n v="7"/>
    <n v="291"/>
    <s v="Millions"/>
    <s v="USD"/>
    <d v="1972-03-24T00:00:00"/>
    <s v="Average"/>
    <s v="Excellent"/>
    <s v="Low budget"/>
    <s v="54years3months"/>
    <n v="54"/>
    <x v="2"/>
  </r>
  <r>
    <n v="121"/>
    <s v="The Dark Knight"/>
    <x v="1"/>
    <s v="2008"/>
    <n v="9"/>
    <s v="Syncopy"/>
    <s v="5"/>
    <n v="185"/>
    <n v="1006"/>
    <s v="Millions"/>
    <s v="USD"/>
    <d v="2008-07-18T00:00:00"/>
    <s v="Blockbuster"/>
    <s v="Excellent"/>
    <s v="High budget"/>
    <s v="17years11months"/>
    <n v="17"/>
    <x v="2"/>
  </r>
  <r>
    <n v="122"/>
    <s v="Schindler's List"/>
    <x v="1"/>
    <s v="1993"/>
    <n v="9"/>
    <s v="Universal Pictures"/>
    <s v="5"/>
    <n v="22"/>
    <n v="322.2"/>
    <s v="Millions"/>
    <s v="USD"/>
    <d v="1993-02-04T00:00:00"/>
    <s v="Average"/>
    <s v="Excellent"/>
    <s v="Low budget"/>
    <s v="33years5months"/>
    <n v="33"/>
    <x v="2"/>
  </r>
  <r>
    <n v="123"/>
    <s v="Jurassic Park"/>
    <x v="1"/>
    <s v="1993"/>
    <n v="8.1999999999999993"/>
    <s v="Universal Pictures"/>
    <s v="5"/>
    <n v="63"/>
    <n v="1046"/>
    <s v="Millions"/>
    <s v="USD"/>
    <d v="1993-06-11T00:00:00"/>
    <s v="Blockbuster"/>
    <s v="Good"/>
    <s v="Medium budget"/>
    <s v="33years1months"/>
    <n v="33"/>
    <x v="2"/>
  </r>
  <r>
    <n v="124"/>
    <s v="Parasite"/>
    <x v="1"/>
    <s v="2019"/>
    <n v="8.5"/>
    <s v="Not Avialable"/>
    <s v="5"/>
    <n v="16"/>
    <n v="263.10000000000002"/>
    <s v="Millions"/>
    <s v="USD"/>
    <d v="2019-05-30T00:00:00"/>
    <s v="Average"/>
    <s v="Good"/>
    <s v="Low budget"/>
    <s v="7years1months"/>
    <n v="7"/>
    <x v="1"/>
  </r>
  <r>
    <n v="125"/>
    <s v="Avengers: Endgame"/>
    <x v="1"/>
    <s v="2019"/>
    <n v="8.4"/>
    <s v="Marvel Studios"/>
    <s v="5"/>
    <n v="400"/>
    <n v="2798"/>
    <s v="Millions"/>
    <s v="USD"/>
    <d v="2019-04-29T00:00:00"/>
    <s v="Blockbuster"/>
    <s v="Good"/>
    <s v="High budget"/>
    <s v="7years2months"/>
    <n v="7"/>
    <x v="1"/>
  </r>
  <r>
    <n v="126"/>
    <s v="Avengers: Infinity War"/>
    <x v="1"/>
    <s v="2018"/>
    <n v="8.4"/>
    <s v="Marvel Studios"/>
    <s v="5"/>
    <n v="400"/>
    <n v="2048"/>
    <s v="Millions"/>
    <s v="USD"/>
    <d v="2018-04-27T00:00:00"/>
    <s v="Blockbuster"/>
    <s v="Good"/>
    <s v="High budget"/>
    <s v="8years2months"/>
    <n v="8"/>
    <x v="1"/>
  </r>
  <r>
    <n v="127"/>
    <s v="Pather Panchali"/>
    <x v="0"/>
    <s v="1955"/>
    <n v="8.3000000000000007"/>
    <s v="Government of West Bengal"/>
    <s v="7"/>
    <n v="70"/>
    <n v="100"/>
    <s v="Millions"/>
    <s v="INR"/>
    <d v="1955-08-26T00:00:00"/>
    <s v="Average"/>
    <s v="Good"/>
    <s v="Medium budget"/>
    <s v="70years10months"/>
    <n v="70"/>
    <x v="2"/>
  </r>
  <r>
    <n v="128"/>
    <s v="Taare Zameen Par"/>
    <x v="0"/>
    <s v="2007"/>
    <n v="8.3000000000000007"/>
    <s v="Not Avialable"/>
    <s v="1"/>
    <n v="120"/>
    <n v="1350"/>
    <s v="Millions"/>
    <s v="INR"/>
    <d v="2007-12-21T00:00:00"/>
    <s v="Blockbuster"/>
    <s v="Good"/>
    <s v="Medium budget"/>
    <s v="18years6months"/>
    <n v="18"/>
    <x v="2"/>
  </r>
  <r>
    <n v="129"/>
    <s v="Munna Bhai M.B.B.S."/>
    <x v="0"/>
    <s v="2003"/>
    <n v="8.1"/>
    <s v="Vinod Chopra Productions"/>
    <s v="1"/>
    <n v="100"/>
    <n v="410"/>
    <s v="Millions"/>
    <s v="INR"/>
    <d v="2003-12-19T00:00:00"/>
    <s v="Average"/>
    <s v="Good"/>
    <s v="Medium budget"/>
    <s v="22years6months"/>
    <n v="22"/>
    <x v="2"/>
  </r>
  <r>
    <n v="130"/>
    <s v="PK"/>
    <x v="0"/>
    <s v="2014"/>
    <n v="8.1"/>
    <s v="Vinod Chopra Films"/>
    <s v="1"/>
    <n v="850"/>
    <n v="8540"/>
    <s v="Millions"/>
    <s v="INR"/>
    <d v="2014-12-19T00:00:00"/>
    <s v="Blockbuster"/>
    <s v="Good"/>
    <s v="High budget"/>
    <s v="11years6months"/>
    <n v="11"/>
    <x v="1"/>
  </r>
  <r>
    <n v="131"/>
    <s v="Sanju"/>
    <x v="0"/>
    <s v="2018"/>
    <n v="0"/>
    <s v="Vinod Chopra Films"/>
    <s v="1"/>
    <n v="1"/>
    <n v="5.9"/>
    <s v="Billions"/>
    <s v="INR"/>
    <d v="2018-06-29T00:00:00"/>
    <s v="Average"/>
    <s v="Average"/>
    <s v="Low budget"/>
    <s v="8years0months"/>
    <n v="8"/>
    <x v="1"/>
  </r>
  <r>
    <n v="132"/>
    <s v="Pushpa: The Rise - Part 1"/>
    <x v="0"/>
    <s v="2021"/>
    <n v="7.6"/>
    <s v="Mythri Movie Makers"/>
    <s v="2"/>
    <n v="2"/>
    <n v="3.6"/>
    <s v="Billions"/>
    <s v="INR"/>
    <d v="2021-12-17T00:00:00"/>
    <s v="Average"/>
    <s v="Good"/>
    <s v="Low budget"/>
    <s v="4years6months"/>
    <n v="4"/>
    <x v="0"/>
  </r>
  <r>
    <n v="133"/>
    <s v="RRR"/>
    <x v="0"/>
    <s v="2022"/>
    <n v="8"/>
    <s v="DVV Entertainment"/>
    <s v="2"/>
    <n v="6"/>
    <n v="12"/>
    <s v="Billions"/>
    <s v="INR"/>
    <d v="2022-03-25T00:00:00"/>
    <s v="Average"/>
    <s v="Good"/>
    <s v="Low budget"/>
    <s v="4years3months"/>
    <n v="4"/>
    <x v="0"/>
  </r>
  <r>
    <n v="134"/>
    <s v="Baahubali: The Beginning"/>
    <x v="0"/>
    <s v="2015"/>
    <n v="8"/>
    <s v="Arka Media Works"/>
    <s v="2"/>
    <n v="2"/>
    <n v="6.5"/>
    <s v="Billions"/>
    <s v="INR"/>
    <d v="2015-07-10T00:00:00"/>
    <s v="Average"/>
    <s v="Good"/>
    <s v="Low budget"/>
    <s v="11years0months"/>
    <n v="11"/>
    <x v="1"/>
  </r>
  <r>
    <n v="135"/>
    <s v="The Kashmir Files"/>
    <x v="0"/>
    <s v="2022"/>
    <n v="8.3000000000000007"/>
    <s v="Zee Studios"/>
    <s v="1"/>
    <n v="250"/>
    <n v="3409"/>
    <s v="Millions"/>
    <s v="INR"/>
    <d v="2022-03-11T00:00:00"/>
    <s v="Blockbuster"/>
    <s v="Good"/>
    <s v="High budget"/>
    <s v="4years4months"/>
    <n v="4"/>
    <x v="0"/>
  </r>
  <r>
    <n v="136"/>
    <s v="Bajrangi Bhaijaan"/>
    <x v="0"/>
    <s v="2015"/>
    <n v="8.1"/>
    <s v="Salman Khan Films"/>
    <s v="1"/>
    <n v="900"/>
    <n v="11690"/>
    <s v="Millions"/>
    <s v="INR"/>
    <d v="2015-07-17T00:00:00"/>
    <s v="Blockbuster"/>
    <s v="Good"/>
    <s v="High budget"/>
    <s v="10years11months"/>
    <n v="10"/>
    <x v="1"/>
  </r>
  <r>
    <n v="137"/>
    <s v="Captain America: The First Avenger"/>
    <x v="1"/>
    <s v="2011"/>
    <n v="6.9"/>
    <s v="Marvel Studios"/>
    <s v="5"/>
    <n v="217"/>
    <n v="370.6"/>
    <s v="Millions"/>
    <s v="USD"/>
    <d v="2011-07-22T00:00:00"/>
    <s v="Average"/>
    <s v="Average"/>
    <s v="High budget"/>
    <s v="14years11months"/>
    <n v="14"/>
    <x v="1"/>
  </r>
  <r>
    <n v="138"/>
    <s v="Captain America: The Winter Soldier"/>
    <x v="1"/>
    <s v="2014"/>
    <n v="7.8"/>
    <s v="Marvel Studios"/>
    <s v="5"/>
    <n v="177"/>
    <n v="714.4"/>
    <s v="Millions"/>
    <s v="USD"/>
    <d v="2014-04-04T00:00:00"/>
    <s v="Hit"/>
    <s v="Good"/>
    <s v="High budget"/>
    <s v="12years3months"/>
    <n v="12"/>
    <x v="1"/>
  </r>
  <r>
    <n v="139"/>
    <s v="Race 3"/>
    <x v="0"/>
    <s v="2018"/>
    <n v="1.9"/>
    <s v="Salman Khan Films"/>
    <s v="1"/>
    <n v="2"/>
    <n v="3.1"/>
    <s v="Billions"/>
    <s v="INR"/>
    <d v="2018-06-15T00:00:00"/>
    <s v="Average"/>
    <s v="Average"/>
    <s v="Low budget"/>
    <s v="8years0months"/>
    <n v="8"/>
    <x v="1"/>
  </r>
  <r>
    <n v="140"/>
    <s v="Shershaah"/>
    <x v="0"/>
    <s v="2021"/>
    <n v="8.4"/>
    <s v="Dharma Productions"/>
    <s v="1"/>
    <n v="500"/>
    <n v="950"/>
    <s v="Millions"/>
    <s v="INR"/>
    <d v="2021-08-12T00:00:00"/>
    <s v="Hit"/>
    <s v="Good"/>
    <s v="High budget"/>
    <s v="4years11months"/>
    <n v="4"/>
    <x v="0"/>
  </r>
  <r>
    <m/>
    <m/>
    <x v="2"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79A2F-747A-4419-959C-E11D50234B93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vie_era">
  <location ref="A7:B11" firstHeaderRow="1" firstDataRow="1" firstDataCol="1" rowPageCount="1" colPageCount="1"/>
  <pivotFields count="22">
    <pivotField dataField="1" showAll="0"/>
    <pivotField showAll="0"/>
    <pivotField showAll="0"/>
    <pivotField showAll="0"/>
    <pivotField showAll="0"/>
    <pivotField axis="axisPage" showAll="0">
      <items count="23">
        <item x="13"/>
        <item x="19"/>
        <item x="7"/>
        <item x="9"/>
        <item x="5"/>
        <item x="18"/>
        <item x="15"/>
        <item x="0"/>
        <item x="12"/>
        <item x="1"/>
        <item x="17"/>
        <item x="6"/>
        <item x="11"/>
        <item x="21"/>
        <item x="14"/>
        <item x="2"/>
        <item x="10"/>
        <item x="4"/>
        <item x="16"/>
        <item x="8"/>
        <item x="3"/>
        <item x="2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Movie_count" fld="0" subtotal="count" baseField="17" baseItem="0"/>
  </dataFields>
  <formats count="6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7" type="button" dataOnly="0" labelOnly="1" outline="0" axis="axisRow" fieldPosition="0"/>
    </format>
    <format dxfId="97">
      <pivotArea dataOnly="0" labelOnly="1" fieldPosition="0">
        <references count="1">
          <reference field="17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2F977-DC65-4E8E-AA43-4608BDAF6FA7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ndustry" colHeaderCaption="Movie_count">
  <location ref="A7:E11" firstHeaderRow="1" firstDataRow="2" firstDataCol="1"/>
  <pivotFields count="18"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*" fld="0" subtotal="count" baseField="2" baseItem="0"/>
  </dataFields>
  <formats count="11"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17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2" type="button" dataOnly="0" labelOnly="1" outline="0" axis="axisRow" fieldPosition="0"/>
    </format>
    <format dxfId="88">
      <pivotArea dataOnly="0" labelOnly="1" fieldPosition="0">
        <references count="1">
          <reference field="2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17" count="0"/>
        </references>
      </pivotArea>
    </format>
    <format dxfId="85">
      <pivotArea dataOnly="0" labelOnly="1" grandCol="1" outline="0" fieldPosition="0"/>
    </format>
    <format dxfId="84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ADEAC-A838-4BC6-A8CA-6F104B5ECC0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fit_category">
  <location ref="A7:B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vie_count" fld="1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ovie_count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learnigs.xlsx!Movie_financials__with_release_date">
        <x15:activeTabTopLevelEntity name="[Movie_financials__with_release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12222-F583-4B0E-923D-234BF1AAC88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Imdb_grade" colHeaderCaption="">
  <location ref="A7:F13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*" fld="0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2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*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learnigs.xlsx!Movie_financials__with_release_date">
        <x15:activeTabTopLevelEntity name="[Movie_financials__with_release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04EB1-6DD3-43B0-85AD-7BAB63537503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ndustry" colHeaderCaption="">
  <location ref="A7:E11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*" fld="0" subtotal="count" baseField="0" baseItem="0"/>
  </dataFields>
  <formats count="10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2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*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learnigs.xlsx!Movie_financials__with_release_date">
        <x15:activeTabTopLevelEntity name="[Movie_financials__with_release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9B6A26-6ADC-40DC-A373-F8019539D38B}" autoFormatId="16" applyNumberFormats="0" applyBorderFormats="0" applyFontFormats="0" applyPatternFormats="0" applyAlignmentFormats="0" applyWidthHeightFormats="0">
  <queryTableRefresh nextId="6">
    <queryTableFields count="5">
      <queryTableField id="1" name="movie_id" tableColumnId="1"/>
      <queryTableField id="2" name="budget" tableColumnId="2"/>
      <queryTableField id="3" name="revenue" tableColumnId="3"/>
      <queryTableField id="4" name="unit" tableColumnId="4"/>
      <queryTableField id="5" name="currenc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871ED6D-467A-4A77-8F77-45E5346CE728}" autoFormatId="16" applyNumberFormats="0" applyBorderFormats="0" applyFontFormats="0" applyPatternFormats="0" applyAlignmentFormats="0" applyWidthHeightFormats="0">
  <queryTableRefresh nextId="18" unboundColumnsRight="5">
    <queryTableFields count="13">
      <queryTableField id="1" name="Movie_id" tableColumnId="1"/>
      <queryTableField id="2" name="Title" tableColumnId="2"/>
      <queryTableField id="13" dataBound="0" tableColumnId="4"/>
      <queryTableField id="3" name="industry" tableColumnId="3"/>
      <queryTableField id="16" name="release_year" tableColumnId="13"/>
      <queryTableField id="5" name="imdb_rating" tableColumnId="5"/>
      <queryTableField id="6" name="studio" tableColumnId="6"/>
      <queryTableField id="7" name="language_id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  <queryTableDeletedFields count="2">
      <deletedField name="release_year"/>
      <deletedField name="release_yea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287E178-A80F-40A7-B61F-B3E1D81FE5F3}" autoFormatId="16" applyNumberFormats="0" applyBorderFormats="0" applyFontFormats="0" applyPatternFormats="0" applyAlignmentFormats="0" applyWidthHeightFormats="0">
  <queryTableRefresh nextId="20" unboundColumnsRight="3">
    <queryTableFields count="15">
      <queryTableField id="1" name="Movie_id" tableColumnId="1"/>
      <queryTableField id="2" name="Title" tableColumnId="2"/>
      <queryTableField id="3" name="industry" tableColumnId="3"/>
      <queryTableField id="4" name="release_year" tableColumnId="4"/>
      <queryTableField id="5" name="imdb_rating" tableColumnId="5"/>
      <queryTableField id="6" name="studio" tableColumnId="6"/>
      <queryTableField id="7" name="language_id" tableColumnId="7"/>
      <queryTableField id="8" name="budget" tableColumnId="8"/>
      <queryTableField id="9" name="revenue" tableColumnId="9"/>
      <queryTableField id="10" name="unit" tableColumnId="10"/>
      <queryTableField id="11" name="currency" tableColumnId="11"/>
      <queryTableField id="19" name="release_date" tableColumnId="19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4F4FE6E-0BA7-4FB6-8666-D8BDC7A030B1}" autoFormatId="16" applyNumberFormats="0" applyBorderFormats="0" applyFontFormats="0" applyPatternFormats="0" applyAlignmentFormats="0" applyWidthHeightFormats="0">
  <queryTableRefresh nextId="28" unboundColumnsRight="10">
    <queryTableFields count="22">
      <queryTableField id="1" name="Movie_id" tableColumnId="1"/>
      <queryTableField id="2" name="Title" tableColumnId="2"/>
      <queryTableField id="3" name="industry" tableColumnId="3"/>
      <queryTableField id="4" name="release_year" tableColumnId="4"/>
      <queryTableField id="5" name="imdb_rating" tableColumnId="5"/>
      <queryTableField id="6" name="studio" tableColumnId="6"/>
      <queryTableField id="7" name="language_id" tableColumnId="7"/>
      <queryTableField id="8" name="budget" tableColumnId="8"/>
      <queryTableField id="9" name="revenue" tableColumnId="9"/>
      <queryTableField id="10" name="unit" tableColumnId="10"/>
      <queryTableField id="11" name="currency" tableColumnId="11"/>
      <queryTableField id="19" name="release_date" tableColumnId="19"/>
      <queryTableField id="12" dataBound="0" tableColumnId="12"/>
      <queryTableField id="13" dataBound="0" tableColumnId="13"/>
      <queryTableField id="14" dataBound="0" tableColumnId="14"/>
      <queryTableField id="20" dataBound="0" tableColumnId="20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9C45A7-DADD-4014-828B-EAF0BD2BB05C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Movie_id" tableColumnId="2"/>
      <queryTableField id="3" name="Title" tableColumnId="3"/>
      <queryTableField id="4" name="industry" tableColumnId="4"/>
      <queryTableField id="5" name="release_year" tableColumnId="5"/>
      <queryTableField id="6" name="imdb_rating" tableColumnId="6"/>
      <queryTableField id="7" name="studio" tableColumnId="7"/>
      <queryTableField id="8" name="revenu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1A618-4CC3-48A5-9616-22A6AA17E657}" name="Movies" displayName="Movies" ref="A1:F42" totalsRowShown="0" headerRowDxfId="148">
  <tableColumns count="6">
    <tableColumn id="1" xr3:uid="{FBBEC880-B7D4-4301-9197-CAEBC7A4130D}" name="movie_id_title"/>
    <tableColumn id="3" xr3:uid="{9C51F219-4A7D-4A2C-9800-EC6ACAD903F0}" name="industry"/>
    <tableColumn id="4" xr3:uid="{C7E1048C-5407-4D7E-BA0A-35C20FB5E6CF}" name="release_year"/>
    <tableColumn id="5" xr3:uid="{EAB10B8B-D245-4AB3-885B-8E6E827D7C68}" name="imdb_rating"/>
    <tableColumn id="6" xr3:uid="{6140144B-E979-409F-AB98-25654BD38C28}" name="studio"/>
    <tableColumn id="7" xr3:uid="{8F18FAC8-1B57-4921-BF55-F73282E83AA5}" name="languag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958589-56E6-4B23-98E5-7C9A36166DE4}" name="Financials_1" displayName="Financials_1" ref="A1:E41" tableType="queryTable" totalsRowShown="0">
  <autoFilter ref="A1:E41" xr:uid="{A8958589-56E6-4B23-98E5-7C9A36166DE4}"/>
  <tableColumns count="5">
    <tableColumn id="1" xr3:uid="{B1B6CAA9-BCBE-4358-B070-E54ACCE2E01E}" uniqueName="1" name="movie_id" queryTableFieldId="1"/>
    <tableColumn id="2" xr3:uid="{A3B1E53D-B63D-484E-B3E3-D89A3EFAA4A6}" uniqueName="2" name="budget" queryTableFieldId="2"/>
    <tableColumn id="3" xr3:uid="{4E672F19-C96B-4AF7-8850-6AFD29A1EA84}" uniqueName="3" name="revenue" queryTableFieldId="3"/>
    <tableColumn id="4" xr3:uid="{DCD33047-4EDB-4158-996F-4C29A6A2002B}" uniqueName="4" name="unit" queryTableFieldId="4" dataDxfId="147"/>
    <tableColumn id="5" xr3:uid="{860C1013-4182-40B3-BDB7-BC260E11C5E7}" uniqueName="5" name="currency" queryTableFieldId="5" dataDxfId="1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01B0B-4883-44E2-AC2F-D6348F144A30}" name="Financials" displayName="Financials" ref="A1:E41" totalsRowShown="0" headerRowDxfId="145">
  <autoFilter ref="A1:E41" xr:uid="{D5301B0B-4883-44E2-AC2F-D6348F144A30}"/>
  <tableColumns count="5">
    <tableColumn id="1" xr3:uid="{385E6766-3418-42CF-BA6E-B8B033F479E1}" name="movie_id"/>
    <tableColumn id="2" xr3:uid="{285A23D4-4110-4DD3-9232-39AC520840CD}" name="budget"/>
    <tableColumn id="3" xr3:uid="{2927ED03-3BF6-4096-A8F9-93719D784720}" name="revenue"/>
    <tableColumn id="4" xr3:uid="{B2F224E5-8504-4F7D-AEFE-7FEE12C6A9C4}" name="unit"/>
    <tableColumn id="5" xr3:uid="{8845AECF-9562-4014-8AF7-135DDFD558C7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66C308-0F1D-4B7B-B782-E1C475811990}" name="Table11" displayName="Table11" ref="A1:B42" totalsRowShown="0">
  <autoFilter ref="A1:B42" xr:uid="{7666C308-0F1D-4B7B-B782-E1C475811990}"/>
  <tableColumns count="2">
    <tableColumn id="1" xr3:uid="{550E0921-199E-49F4-8459-63CB20A5A887}" name="Title"/>
    <tableColumn id="2" xr3:uid="{B184E762-153F-4538-876B-F64764C5B339}" name="release_date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319CAF-94C8-42DC-A33A-C0DE362B9C0C}" name="Movies_1" displayName="Movies_1" ref="A1:M42" tableType="queryTable" totalsRowShown="0">
  <autoFilter ref="A1:M42" xr:uid="{81319CAF-94C8-42DC-A33A-C0DE362B9C0C}"/>
  <tableColumns count="13">
    <tableColumn id="1" xr3:uid="{83C284CC-7519-4120-ABCB-02CD8AB44479}" uniqueName="1" name="Movie_id" queryTableFieldId="1"/>
    <tableColumn id="2" xr3:uid="{CA619A54-DF63-448C-84F3-C1406CD86616}" uniqueName="2" name="Title" queryTableFieldId="2" dataDxfId="144"/>
    <tableColumn id="4" xr3:uid="{38F2D37D-48C3-47BB-B8CF-4F274A660F13}" uniqueName="4" name="release_year" queryTableFieldId="13" dataDxfId="143"/>
    <tableColumn id="3" xr3:uid="{F430AE59-C8DF-4887-A305-98F22A8A9249}" uniqueName="3" name="industry" queryTableFieldId="3" dataDxfId="142"/>
    <tableColumn id="13" xr3:uid="{FB1E34D7-FDBC-4EED-9543-11DD9E3A62C7}" uniqueName="13" name="release_year2" queryTableFieldId="16" dataDxfId="141"/>
    <tableColumn id="5" xr3:uid="{FE95FAEA-8BF2-45F4-959F-7339D03A3854}" uniqueName="5" name="imdb_rating" queryTableFieldId="5"/>
    <tableColumn id="6" xr3:uid="{75CC33DF-1EE9-4F95-A652-29A66D7D587C}" uniqueName="6" name="studio" queryTableFieldId="6" dataDxfId="140"/>
    <tableColumn id="7" xr3:uid="{393438EA-8B85-4687-A1CE-C75616E07B79}" uniqueName="7" name="language_id" queryTableFieldId="7"/>
    <tableColumn id="8" xr3:uid="{7499A79B-5BD8-4807-921A-30CC1ACB8C8D}" uniqueName="8" name="Xlookup Budget" queryTableFieldId="8" dataDxfId="139">
      <calculatedColumnFormula>_xlfn.XLOOKUP(Movies_1[[#This Row],[Movie_id]],Financials[movie_id],Financials[budget],"not Avialable")</calculatedColumnFormula>
    </tableColumn>
    <tableColumn id="9" xr3:uid="{EB158509-4D66-4BAC-923D-C7685392986F}" uniqueName="9" name="Vlookup Budget" queryTableFieldId="9" dataDxfId="138">
      <calculatedColumnFormula>VLOOKUP(Movies_1[[#This Row],[Movie_id]],Financials[],2,FALSE)</calculatedColumnFormula>
    </tableColumn>
    <tableColumn id="10" xr3:uid="{DD74F959-2AA5-4502-9C5C-083526D5AA3A}" uniqueName="10" name="Revenue" queryTableFieldId="10" dataDxfId="137">
      <calculatedColumnFormula>_xlfn.XLOOKUP(Movies_1[[#This Row],[Movie_id]],Financials[movie_id],Financials[revenue],"not avialable")</calculatedColumnFormula>
    </tableColumn>
    <tableColumn id="11" xr3:uid="{D3D91516-F43D-4834-A3A5-19D09194E14C}" uniqueName="11" name="unit" queryTableFieldId="11" dataDxfId="136">
      <calculatedColumnFormula>_xlfn.XLOOKUP(Movies_1[[#This Row],[Movie_id]],Financials[movie_id],Financials[unit],TRUE)</calculatedColumnFormula>
    </tableColumn>
    <tableColumn id="12" xr3:uid="{0C6A7B87-15C6-4F79-8BAA-5953F0E396C4}" uniqueName="12" name="status" queryTableFieldId="12" dataDxfId="135">
      <calculatedColumnFormula>IF(ISNUMBER(I2),"Matched","Missing Finance Data")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3C7B5C-5C53-44B7-A813-822D4824FB6A}" name="Financials5" displayName="Financials5" ref="A1:E41" totalsRowShown="0" headerRowDxfId="134">
  <autoFilter ref="A1:E41" xr:uid="{D5301B0B-4883-44E2-AC2F-D6348F144A30}"/>
  <tableColumns count="5">
    <tableColumn id="1" xr3:uid="{E431ECC6-0A07-4A3F-A0B7-CF9384EEA6C8}" name="movie_id"/>
    <tableColumn id="2" xr3:uid="{868385D4-FCD9-4162-9FCF-62197F2A4F2B}" name="budget"/>
    <tableColumn id="3" xr3:uid="{C3C4DD5A-EAC0-4A27-9AE6-B4F684C0A6DA}" name="revenue"/>
    <tableColumn id="4" xr3:uid="{564AD13C-76BA-45A6-8407-07633A9E6F08}" name="unit"/>
    <tableColumn id="5" xr3:uid="{E0D49813-9489-491C-96C8-6FBB8D890A41}" name="curren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9C3531-E943-48A5-8D28-E9F736F5A275}" name="Movie_financials" displayName="Movie_financials" ref="A1:O40" tableType="queryTable" totalsRowShown="0">
  <autoFilter ref="A1:O40" xr:uid="{0D9C3531-E943-48A5-8D28-E9F736F5A275}"/>
  <tableColumns count="15">
    <tableColumn id="1" xr3:uid="{53FFE839-93F9-404C-B75C-EC0C12C6612C}" uniqueName="1" name="Movie_id" queryTableFieldId="1"/>
    <tableColumn id="2" xr3:uid="{46CA2729-91B2-4D11-80B6-58B149A5E65C}" uniqueName="2" name="Title" queryTableFieldId="2" dataDxfId="133"/>
    <tableColumn id="3" xr3:uid="{CFB63EBB-EDF5-46EC-8ECE-8B0777B40DEC}" uniqueName="3" name="industry" queryTableFieldId="3" dataDxfId="132"/>
    <tableColumn id="4" xr3:uid="{67AF05C4-3873-4E77-ADDB-B541C3D1845E}" uniqueName="4" name="release_year" queryTableFieldId="4" dataDxfId="131"/>
    <tableColumn id="5" xr3:uid="{72AF7DBE-A9B5-448F-9B2E-541677ECEA2A}" uniqueName="5" name="imdb_rating" queryTableFieldId="5"/>
    <tableColumn id="6" xr3:uid="{9096D40A-CA45-4A23-91C6-A0F016BB82FB}" uniqueName="6" name="studio" queryTableFieldId="6" dataDxfId="130"/>
    <tableColumn id="7" xr3:uid="{7D7600D1-788A-4353-86CD-B817F3202893}" uniqueName="7" name="language_id" queryTableFieldId="7" dataDxfId="129"/>
    <tableColumn id="8" xr3:uid="{9AEB0FBD-ECDB-4592-965E-0F9CE8DE71CC}" uniqueName="8" name="budget" queryTableFieldId="8"/>
    <tableColumn id="9" xr3:uid="{3EF38FB5-F69C-44FC-904F-CFF0C832F065}" uniqueName="9" name="revenue" queryTableFieldId="9"/>
    <tableColumn id="10" xr3:uid="{EACFBF8E-77DE-4864-A072-23DDB27B69FD}" uniqueName="10" name="unit" queryTableFieldId="10" dataDxfId="128"/>
    <tableColumn id="11" xr3:uid="{C0F8A0D9-31E8-4FF8-9B5B-7192EBDA9D46}" uniqueName="11" name="currency" queryTableFieldId="11" dataDxfId="127"/>
    <tableColumn id="19" xr3:uid="{6429CE98-B0BD-42B8-B2E0-535BD88137BF}" uniqueName="19" name="release_date" queryTableFieldId="19" dataDxfId="126"/>
    <tableColumn id="12" xr3:uid="{1EA4BC27-82FA-4F2B-8CB7-90FDC17C79C0}" uniqueName="12" name="Movie_performance" queryTableFieldId="12" dataDxfId="125">
      <calculatedColumnFormula array="1">_xlfn.IFS( Movie_financials[[#This Row],[revenue]]&lt;500,"Average", Movie_financials[[#This Row],[revenue]]&lt;=1000,"Hit", TRUE,"Blockbuster")</calculatedColumnFormula>
    </tableColumn>
    <tableColumn id="13" xr3:uid="{49AF3296-C8B4-4DB2-95BE-0DD07B4AA862}" uniqueName="13" name="Rating_category" queryTableFieldId="13" dataDxfId="124">
      <calculatedColumnFormula array="1">_xlfn.IFS(Movie_financials[[#This Row],[imdb_rating]]&lt;7,"Average",Movie_financials[[#This Row],[imdb_rating]]&lt;=8.5,"Good",TRUE,"Excellent")</calculatedColumnFormula>
    </tableColumn>
    <tableColumn id="14" xr3:uid="{5496B19F-0402-41EC-9BE0-B90EBF480746}" uniqueName="14" name="Budget_category" queryTableFieldId="14" dataDxfId="123">
      <calculatedColumnFormula array="1">_xlfn.IFS(Movie_financials[[#This Row],[budget]]&lt;50,"Low budget",Movie_financials[[#This Row],[budget]]&lt;=150,"Medium budget",TRUE,"High budget")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F373C5-8CF0-40F4-8683-7D7B83A49B59}" name="Table9" displayName="Table9" ref="A4:D22" totalsRowShown="0">
  <autoFilter ref="A4:D22" xr:uid="{61F373C5-8CF0-40F4-8683-7D7B83A49B59}"/>
  <tableColumns count="4">
    <tableColumn id="1" xr3:uid="{9B744D51-D924-4945-B204-3D01EF031694}" name="Studio_number" dataDxfId="122"/>
    <tableColumn id="2" xr3:uid="{A02988CC-DDC0-4240-83C1-1C9CBF94F86B}" name="Extracted_studio_number" dataDxfId="121">
      <calculatedColumnFormula>VALUE(TRIM(RIGHT(Table9[[#This Row],[Studio_number]],LEN(Table9[[#This Row],[Studio_number]])-FIND("-",Table9[[#This Row],[Studio_number]],6))))</calculatedColumnFormula>
    </tableColumn>
    <tableColumn id="5" xr3:uid="{A0D07ED9-EA1C-4268-9C9B-DD76DAE5C41E}" name="Trim checking" dataDxfId="120">
      <calculatedColumnFormula>LEN(Table9[[#This Row],[Extracted_studio_number]])</calculatedColumnFormula>
    </tableColumn>
    <tableColumn id="6" xr3:uid="{527021B6-D651-42C6-9B12-20F223C20E98}" name="value checking" dataDxfId="119">
      <calculatedColumnFormula>ISNUMBER(Table9[[#This Row],[Extracted_studio_number]])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AD331F-39D2-4D15-81FF-B5AD1DC866DB}" name="Movie_financials__with_release_date" displayName="Movie_financials__with_release_date" ref="A1:V40" tableType="queryTable" totalsRowShown="0">
  <autoFilter ref="A1:V40" xr:uid="{0D9C3531-E943-48A5-8D28-E9F736F5A275}"/>
  <tableColumns count="22">
    <tableColumn id="1" xr3:uid="{B5F1CE77-D8CD-4F2C-87FC-EE44B30ABE61}" uniqueName="1" name="Movie_id" queryTableFieldId="1"/>
    <tableColumn id="2" xr3:uid="{7C023894-5EDA-43C5-A377-A828464FDC79}" uniqueName="2" name="Title" queryTableFieldId="2" dataDxfId="118"/>
    <tableColumn id="3" xr3:uid="{1138451A-1F4E-428B-8942-F43E10CD9AE2}" uniqueName="3" name="industry" queryTableFieldId="3" dataDxfId="117"/>
    <tableColumn id="4" xr3:uid="{DE305008-C933-421D-9C88-8BB01BCC0860}" uniqueName="4" name="release_year" queryTableFieldId="4" dataDxfId="116"/>
    <tableColumn id="5" xr3:uid="{97AD1D1D-FF94-4401-A2C8-6790BC720C45}" uniqueName="5" name="imdb_rating" queryTableFieldId="5"/>
    <tableColumn id="6" xr3:uid="{2F8BE035-A74E-4C3E-BA6D-0FB200E1CD48}" uniqueName="6" name="studio" queryTableFieldId="6" dataDxfId="115"/>
    <tableColumn id="7" xr3:uid="{874903B5-2909-41A9-AF5F-69E0880891E0}" uniqueName="7" name="language_id" queryTableFieldId="7" dataDxfId="114"/>
    <tableColumn id="8" xr3:uid="{664A44E7-7AE5-42AA-B140-75E4C947CE26}" uniqueName="8" name="budget" queryTableFieldId="8"/>
    <tableColumn id="9" xr3:uid="{EED546A8-288F-4B40-A3F3-22AAF310B5E6}" uniqueName="9" name="revenue" queryTableFieldId="9"/>
    <tableColumn id="10" xr3:uid="{4412A98E-B0A1-4531-A092-B586B7D5DBCB}" uniqueName="10" name="unit" queryTableFieldId="10" dataDxfId="113"/>
    <tableColumn id="11" xr3:uid="{ED4EB3C9-DE7D-437F-812E-754C6AA11857}" uniqueName="11" name="currency" queryTableFieldId="11" dataDxfId="112"/>
    <tableColumn id="19" xr3:uid="{F3B7D1D2-18F8-4021-8182-2823E23220F9}" uniqueName="19" name="release_date" queryTableFieldId="19" dataDxfId="111"/>
    <tableColumn id="12" xr3:uid="{AB824483-D769-48AF-8B6F-139C47B7E7F0}" uniqueName="12" name="Movie_performance" queryTableFieldId="12" dataDxfId="110">
      <calculatedColumnFormula array="1">_xlfn.IFS( Movie_financials__with_release_date[[#This Row],[revenue]]&lt;500,"Average", Movie_financials__with_release_date[[#This Row],[revenue]]&lt;=1000,"Hit", TRUE,"Blockbuster")</calculatedColumnFormula>
    </tableColumn>
    <tableColumn id="13" xr3:uid="{CA7E44A5-4AC9-4AE7-9592-BB911C36BCBB}" uniqueName="13" name="Rating_category" queryTableFieldId="13" dataDxfId="109">
      <calculatedColumnFormula array="1">_xlfn.IFS(Movie_financials__with_release_date[[#This Row],[imdb_rating]]&lt;7,"Average",Movie_financials__with_release_date[[#This Row],[imdb_rating]]&lt;=8.5,"Good",TRUE,"Excellent")</calculatedColumnFormula>
    </tableColumn>
    <tableColumn id="14" xr3:uid="{CED58764-BE19-4006-AB53-A778057BBFAD}" uniqueName="14" name="Budget_category" queryTableFieldId="14" dataDxfId="108">
      <calculatedColumnFormula array="1">_xlfn.IFS(Movie_financials__with_release_date[[#This Row],[budget]]&lt;50,"Low budget",Movie_financials__with_release_date[[#This Row],[budget]]&lt;=150,"Medium budget",TRUE,"High budget")</calculatedColumnFormula>
    </tableColumn>
    <tableColumn id="20" xr3:uid="{776C386A-4BB1-4E6B-B1FB-DAE90096E5CF}" uniqueName="20" name="Movie_age" queryTableFieldId="20" dataDxfId="107">
      <calculatedColumnFormula>DATEDIF(Movie_financials__with_release_date[[#This Row],[release_date]],TODAY(),"Y")&amp; "years"&amp; DATEDIF(Movie_financials__with_release_date[[#This Row],[release_date]],TODAY(),"YM")&amp; "months"</calculatedColumnFormula>
    </tableColumn>
    <tableColumn id="22" xr3:uid="{5CA8C231-76F7-4CF0-8DE9-473883227757}" uniqueName="22" name="Movie_age(years)" queryTableFieldId="22" dataDxfId="106">
      <calculatedColumnFormula>DATEDIF(Movie_financials__with_release_date[[#This Row],[release_date]],TODAY(),"Y")</calculatedColumnFormula>
    </tableColumn>
    <tableColumn id="23" xr3:uid="{ADB474A3-7A65-4D1E-BB2E-6EC2599DFC08}" uniqueName="23" name="Movie_era" queryTableFieldId="23" dataDxfId="105">
      <calculatedColumnFormula array="1">_xlfn.IFS(Movie_financials__with_release_date[[#This Row],[Movie_age(years)]]&lt;5,"New Release",Movie_financials__with_release_date[[#This Row],[Movie_age(years)]]&lt;=15,"Modern Classic",
TRUE,"Classic"
)</calculatedColumnFormula>
    </tableColumn>
    <tableColumn id="24" xr3:uid="{E614A53E-6792-498A-8444-2010C8AD9787}" uniqueName="24" name="profit_category" queryTableFieldId="24" dataDxfId="104">
      <calculatedColumnFormula array="1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calculatedColumnFormula>
    </tableColumn>
    <tableColumn id="25" xr3:uid="{C63BA407-0113-4A2D-926E-1D6E4915CBDE}" uniqueName="25" name="Imdb_grade" queryTableFieldId="25" dataDxfId="103">
      <calculatedColumnFormula array="1">_xlfn.IFS(Movie_financials__with_release_date[[#This Row],[imdb_rating]]&gt;=9,"A+",
Movie_financials__with_release_date[[#This Row],[imdb_rating]]&gt;=8,"A",
Movie_financials__with_release_date[[#This Row],[imdb_rating]]&gt;=7,"B",
TRUE,"C")</calculatedColumnFormula>
    </tableColumn>
    <tableColumn id="26" xr3:uid="{B61E7B99-194D-4C24-90E7-C0882490E3B3}" uniqueName="26" name="revenue_category" queryTableFieldId="26" dataDxfId="102">
      <calculatedColumnFormula array="1">_xlfn.IFS(Movie_financials__with_release_date[[#This Row],[revenue]]&gt;=2000,"Mega Hit",
Movie_financials__with_release_date[[#This Row],[revenue]]&gt;=1000,"Super Hit",
Movie_financials__with_release_date[[#This Row],[revenue]]&gt;=500,"Hit",
TRUE,"Average")</calculatedColumnFormula>
    </tableColumn>
    <tableColumn id="15" xr3:uid="{165317F4-0E67-4D49-A0C0-714DC79C5C9D}" uniqueName="15" name="Status" queryTableFieldId="27" dataDxfId="101">
      <calculatedColumnFormula>IF(AND(Movie_financials__with_release_date[[#This Row],[budget]]&gt;=200,Movie_financials__with_release_date[[#This Row],[profit_category]]="Low Profit"),"⚠ Review","OK")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813D2B-8C7B-4F2A-8979-0389EA41DC02}" name="Table10" displayName="Table10" ref="A10:F29" totalsRowShown="0">
  <autoFilter ref="A10:F29" xr:uid="{8D813D2B-8C7B-4F2A-8979-0389EA41DC02}"/>
  <tableColumns count="6">
    <tableColumn id="1" xr3:uid="{5A765CC2-477D-45EA-B3F6-C81D31206F2C}" name="Title"/>
    <tableColumn id="2" xr3:uid="{85B2A3A2-EE21-4091-9781-8854398089B7}" name="budget"/>
    <tableColumn id="3" xr3:uid="{28A6CBB2-F51E-4276-AC39-C1738D502CBA}" name="revenue"/>
    <tableColumn id="4" xr3:uid="{03445B25-6CE2-4C7E-8A2A-330C3E31C2C1}" name="Column1"/>
    <tableColumn id="5" xr3:uid="{DA9CD506-AA83-46DE-BC02-02D12A4717A8}" name="profit_category"/>
    <tableColumn id="6" xr3:uid="{6F1904C1-B323-4C26-8D3B-07E5F318FD77}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DB56116-6CA3-418C-8410-6256D955C8DE}" name="Table17" displayName="Table17" ref="A3:E12" totalsRowShown="0" headerRowDxfId="57" dataDxfId="56">
  <autoFilter ref="A3:E12" xr:uid="{CDB56116-6CA3-418C-8410-6256D955C8DE}"/>
  <tableColumns count="5">
    <tableColumn id="1" xr3:uid="{38C7A535-DA44-45C3-BF64-6DD27F4A5FB6}" name="studio" dataDxfId="55"/>
    <tableColumn id="2" xr3:uid="{55D1BC58-3089-48B3-BD2D-F280D836E7C7}" name="industry" dataDxfId="54"/>
    <tableColumn id="3" xr3:uid="{6FE0D791-24C1-4541-8BE9-B275491FEC09}" name="imdb_rating" dataDxfId="53"/>
    <tableColumn id="4" xr3:uid="{B58968D0-1EF7-4113-AE32-84CEAC8B591F}" name="Movie_id" dataDxfId="52"/>
    <tableColumn id="5" xr3:uid="{8C7CCADC-6EE0-415A-B247-6AB10588EF98}" name="language_id" dataDxfId="5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998AEC7-91CC-43AA-AD91-72EE11C37FDF}" name="Table18" displayName="Table18" ref="I3:N14" totalsRowShown="0" headerRowDxfId="50" dataDxfId="49">
  <autoFilter ref="I3:N14" xr:uid="{8998AEC7-91CC-43AA-AD91-72EE11C37FDF}"/>
  <tableColumns count="6">
    <tableColumn id="1" xr3:uid="{ADDCA2FC-DDAB-4A05-9008-FDBFC5E488AF}" name="movie_id" dataDxfId="48"/>
    <tableColumn id="2" xr3:uid="{69A9370E-BD7A-410C-9C12-906D0F6B744A}" name="budget" dataDxfId="47"/>
    <tableColumn id="3" xr3:uid="{9B7E0CC4-B619-4F11-832C-9FBBB649A63F}" name="revenue" dataDxfId="46"/>
    <tableColumn id="4" xr3:uid="{EE57E914-D02F-4A6E-8D2A-A840B5E6B045}" name="unit" dataDxfId="45"/>
    <tableColumn id="5" xr3:uid="{A999C999-D8B3-4D3A-9A1F-2D96DFF24183}" name="currency" dataDxfId="44"/>
    <tableColumn id="6" xr3:uid="{D0EE1F2B-FD85-4C42-90E7-5D200308CE7D}" name="Studio" dataDxfId="43">
      <calculatedColumnFormula>INDEX(Table17[studio],MATCH(Table18[[#This Row],[movie_id]],Table17[Movie_id],0))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927C97-F03D-4543-B326-C060A6B67B93}" name="Excel_files" displayName="Excel_files" ref="A1:H32" tableType="queryTable" totalsRowShown="0">
  <autoFilter ref="A1:H32" xr:uid="{04927C97-F03D-4543-B326-C060A6B67B93}"/>
  <tableColumns count="8">
    <tableColumn id="1" xr3:uid="{89C9F481-112E-4C40-AA37-283830C3CDEB}" uniqueName="1" name="Source.Name" queryTableFieldId="1" dataDxfId="42"/>
    <tableColumn id="2" xr3:uid="{7093AEFE-F763-40B3-AA33-A55180D60351}" uniqueName="2" name="Movie_id" queryTableFieldId="2"/>
    <tableColumn id="3" xr3:uid="{E088A4ED-E4BC-4116-9DC7-C5A9293F52B7}" uniqueName="3" name="Title" queryTableFieldId="3" dataDxfId="41"/>
    <tableColumn id="4" xr3:uid="{10418641-C6BB-4963-8663-9615B619AB53}" uniqueName="4" name="industry" queryTableFieldId="4" dataDxfId="40"/>
    <tableColumn id="5" xr3:uid="{A5ECE099-4EB2-4336-9D10-D8764ECC844F}" uniqueName="5" name="release_year" queryTableFieldId="5"/>
    <tableColumn id="6" xr3:uid="{9406D450-390D-49CE-96BC-0EE0FE3A44E9}" uniqueName="6" name="imdb_rating" queryTableFieldId="6"/>
    <tableColumn id="7" xr3:uid="{945CC87B-66CB-4F42-82D6-CF7BBC6A1A27}" uniqueName="7" name="studio" queryTableFieldId="7" dataDxfId="39"/>
    <tableColumn id="8" xr3:uid="{F2F77F1E-AFA5-4EED-9261-35641CE37732}" uniqueName="8" name="revenue" queryTableField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A385EF-34D6-4EA5-B8D7-50E4A5E49CAD}" name="Table5" displayName="Table5" ref="A4:E16" totalsRowShown="0" headerRowDxfId="38" dataDxfId="37">
  <autoFilter ref="A4:E16" xr:uid="{C7A385EF-34D6-4EA5-B8D7-50E4A5E49CAD}"/>
  <tableColumns count="5">
    <tableColumn id="1" xr3:uid="{EF7485D0-D07C-4735-8B7D-497156185171}" name="S NO" dataDxfId="36"/>
    <tableColumn id="2" xr3:uid="{574EA53A-89F7-41C4-A873-2A33F4CFDF79}" name="Bussiness Questions" dataDxfId="35"/>
    <tableColumn id="3" xr3:uid="{8F799B7E-D7B6-4D35-88F7-B3750DC2E645}" name="Dynamic Report" dataDxfId="34"/>
    <tableColumn id="4" xr3:uid="{9E8FF268-BA81-4532-965D-C5AB77C874BC}" name="Function Used" dataDxfId="33"/>
    <tableColumn id="5" xr3:uid="{AC439E19-338E-4FE1-BD6D-B2EDF292AEBA}" name="RESULT" dataDxfId="32"/>
  </tableColumns>
  <tableStyleInfo name="TableStyleMedium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F8E0EB-F5E4-4FA3-B7FE-0BF2232FAA41}" name="Table16" displayName="Table16" ref="A8:F18" totalsRowShown="0" headerRowDxfId="31" dataDxfId="30">
  <autoFilter ref="A8:F18" xr:uid="{03F8E0EB-F5E4-4FA3-B7FE-0BF2232FAA41}"/>
  <tableColumns count="6">
    <tableColumn id="1" xr3:uid="{16459DCF-38D8-4999-A5BD-09A91EF97AA4}" name="Movie_id" dataDxfId="29"/>
    <tableColumn id="2" xr3:uid="{CB546243-C841-4835-8AA7-65A09805E29B}" name="Title" dataDxfId="28"/>
    <tableColumn id="3" xr3:uid="{86BC1EE4-2E57-46ED-9506-4D944F9277D0}" name="VLOOKUP (Approximate)" dataDxfId="27">
      <calculatedColumnFormula>VLOOKUP(Table16[[#This Row],[Movie_id]],'DAY 14'!$L$8:$N$18,2)</calculatedColumnFormula>
    </tableColumn>
    <tableColumn id="4" xr3:uid="{1761BEA6-3E71-4206-BEB8-F0CB3CF4DAD1}" name="VLOOKUP_x000a_ (Exact Match)" dataDxfId="26">
      <calculatedColumnFormula>VLOOKUP(Table16[[#This Row],[Movie_id]],'DAY 14'!$L$8:$N$18,2,FALSE)</calculatedColumnFormula>
    </tableColumn>
    <tableColumn id="5" xr3:uid="{6B971FD9-453B-4504-B629-E4FCEF058F2F}" name="INDEX + MATCH" dataDxfId="25">
      <calculatedColumnFormula>INDEX('DAY 14'!$M$9:$M$18,MATCH(A9,'DAY 14'!$L$9:$L$18,0))</calculatedColumnFormula>
    </tableColumn>
    <tableColumn id="6" xr3:uid="{BB2AAF8B-43EC-4AA4-A22A-1444FC4FF466}" name="Status" dataDxfId="24">
      <calculatedColumnFormula>IF(ISNA(C9),0,
IF(C9=D9,1,-1))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9D7B-4DB1-4E64-93BE-9BBCEBEABD22}">
  <sheetPr codeName="Sheet1"/>
  <dimension ref="A1:F42"/>
  <sheetViews>
    <sheetView workbookViewId="0">
      <selection activeCell="A2" sqref="A2:F42"/>
    </sheetView>
  </sheetViews>
  <sheetFormatPr defaultRowHeight="14.5"/>
  <cols>
    <col min="1" max="1" width="40.1796875" bestFit="1" customWidth="1"/>
    <col min="2" max="2" width="9.08984375" bestFit="1" customWidth="1"/>
    <col min="3" max="3" width="11.26953125" bestFit="1" customWidth="1"/>
    <col min="4" max="4" width="10.81640625" bestFit="1" customWidth="1"/>
    <col min="5" max="5" width="24.36328125" bestFit="1" customWidth="1"/>
    <col min="6" max="6" width="10.81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2022</v>
      </c>
      <c r="D2">
        <v>8.4</v>
      </c>
      <c r="E2" t="s">
        <v>8</v>
      </c>
      <c r="F2">
        <v>3</v>
      </c>
    </row>
    <row r="3" spans="1:6">
      <c r="A3" t="s">
        <v>9</v>
      </c>
      <c r="B3" t="s">
        <v>10</v>
      </c>
      <c r="C3">
        <v>2022</v>
      </c>
      <c r="D3">
        <v>7</v>
      </c>
      <c r="E3" t="s">
        <v>11</v>
      </c>
      <c r="F3">
        <v>5</v>
      </c>
    </row>
    <row r="4" spans="1:6">
      <c r="A4" t="s">
        <v>12</v>
      </c>
      <c r="B4" t="s">
        <v>10</v>
      </c>
      <c r="C4">
        <v>2013</v>
      </c>
      <c r="D4">
        <v>6.8</v>
      </c>
      <c r="E4" t="s">
        <v>11</v>
      </c>
      <c r="F4">
        <v>5</v>
      </c>
    </row>
    <row r="5" spans="1:6">
      <c r="A5" t="s">
        <v>13</v>
      </c>
      <c r="B5" t="s">
        <v>10</v>
      </c>
      <c r="C5">
        <v>2017</v>
      </c>
      <c r="D5">
        <v>7.9</v>
      </c>
      <c r="E5" t="s">
        <v>14</v>
      </c>
      <c r="F5">
        <v>5</v>
      </c>
    </row>
    <row r="6" spans="1:6">
      <c r="A6" t="s">
        <v>15</v>
      </c>
      <c r="B6" t="s">
        <v>10</v>
      </c>
      <c r="C6">
        <v>2022</v>
      </c>
      <c r="D6">
        <v>6.8</v>
      </c>
      <c r="E6" t="s">
        <v>11</v>
      </c>
      <c r="F6">
        <v>5</v>
      </c>
    </row>
    <row r="7" spans="1:6">
      <c r="A7" t="s">
        <v>16</v>
      </c>
      <c r="B7" t="s">
        <v>7</v>
      </c>
      <c r="C7">
        <v>1975</v>
      </c>
      <c r="D7">
        <v>8.1</v>
      </c>
      <c r="E7" t="s">
        <v>17</v>
      </c>
      <c r="F7">
        <v>1</v>
      </c>
    </row>
    <row r="8" spans="1:6">
      <c r="A8" t="s">
        <v>18</v>
      </c>
      <c r="B8" t="s">
        <v>7</v>
      </c>
      <c r="C8">
        <v>1995</v>
      </c>
      <c r="D8">
        <v>8</v>
      </c>
      <c r="E8" t="s">
        <v>19</v>
      </c>
      <c r="F8">
        <v>1</v>
      </c>
    </row>
    <row r="9" spans="1:6">
      <c r="A9" t="s">
        <v>20</v>
      </c>
      <c r="B9" t="s">
        <v>7</v>
      </c>
      <c r="C9">
        <v>2009</v>
      </c>
      <c r="D9">
        <v>8.4</v>
      </c>
      <c r="E9" t="s">
        <v>21</v>
      </c>
      <c r="F9">
        <v>1</v>
      </c>
    </row>
    <row r="10" spans="1:6">
      <c r="A10" t="s">
        <v>22</v>
      </c>
      <c r="B10" t="s">
        <v>7</v>
      </c>
      <c r="C10">
        <v>2001</v>
      </c>
      <c r="D10">
        <v>7.4</v>
      </c>
      <c r="E10" t="s">
        <v>23</v>
      </c>
      <c r="F10">
        <v>1</v>
      </c>
    </row>
    <row r="11" spans="1:6">
      <c r="A11" t="s">
        <v>24</v>
      </c>
      <c r="B11" t="s">
        <v>7</v>
      </c>
      <c r="C11">
        <v>2015</v>
      </c>
      <c r="D11">
        <v>7.2</v>
      </c>
      <c r="F11">
        <v>1</v>
      </c>
    </row>
    <row r="12" spans="1:6">
      <c r="A12" t="s">
        <v>25</v>
      </c>
      <c r="B12" t="s">
        <v>10</v>
      </c>
      <c r="C12">
        <v>1994</v>
      </c>
      <c r="D12">
        <v>9.3000000000000007</v>
      </c>
      <c r="E12" t="s">
        <v>26</v>
      </c>
      <c r="F12">
        <v>5</v>
      </c>
    </row>
    <row r="13" spans="1:6">
      <c r="A13" t="s">
        <v>27</v>
      </c>
      <c r="B13" t="s">
        <v>10</v>
      </c>
      <c r="C13">
        <v>2010</v>
      </c>
      <c r="D13">
        <v>8.8000000000000007</v>
      </c>
      <c r="E13" t="s">
        <v>28</v>
      </c>
      <c r="F13">
        <v>5</v>
      </c>
    </row>
    <row r="14" spans="1:6">
      <c r="A14" t="s">
        <v>29</v>
      </c>
      <c r="B14" t="s">
        <v>10</v>
      </c>
      <c r="C14">
        <v>2014</v>
      </c>
      <c r="D14">
        <v>8.6</v>
      </c>
      <c r="E14" t="s">
        <v>28</v>
      </c>
      <c r="F14">
        <v>5</v>
      </c>
    </row>
    <row r="15" spans="1:6">
      <c r="A15" t="s">
        <v>30</v>
      </c>
      <c r="B15" t="s">
        <v>10</v>
      </c>
      <c r="C15">
        <v>2006</v>
      </c>
      <c r="D15">
        <v>8</v>
      </c>
      <c r="E15" t="s">
        <v>31</v>
      </c>
      <c r="F15">
        <v>5</v>
      </c>
    </row>
    <row r="16" spans="1:6">
      <c r="A16" t="s">
        <v>32</v>
      </c>
      <c r="B16" t="s">
        <v>10</v>
      </c>
      <c r="C16">
        <v>2000</v>
      </c>
      <c r="D16">
        <v>8.5</v>
      </c>
      <c r="E16" t="s">
        <v>33</v>
      </c>
      <c r="F16">
        <v>5</v>
      </c>
    </row>
    <row r="17" spans="1:6">
      <c r="A17" t="s">
        <v>34</v>
      </c>
      <c r="B17" t="s">
        <v>10</v>
      </c>
      <c r="C17">
        <v>1997</v>
      </c>
      <c r="D17">
        <v>7.9</v>
      </c>
      <c r="E17" t="s">
        <v>35</v>
      </c>
      <c r="F17">
        <v>5</v>
      </c>
    </row>
    <row r="18" spans="1:6">
      <c r="A18" t="s">
        <v>36</v>
      </c>
      <c r="B18" t="s">
        <v>10</v>
      </c>
      <c r="C18">
        <v>1946</v>
      </c>
      <c r="D18">
        <v>8.6</v>
      </c>
      <c r="E18" t="s">
        <v>37</v>
      </c>
      <c r="F18">
        <v>5</v>
      </c>
    </row>
    <row r="19" spans="1:6">
      <c r="A19" t="s">
        <v>38</v>
      </c>
      <c r="B19" t="s">
        <v>10</v>
      </c>
      <c r="C19">
        <v>2009</v>
      </c>
      <c r="D19">
        <v>7.8</v>
      </c>
      <c r="E19" t="s">
        <v>39</v>
      </c>
      <c r="F19">
        <v>5</v>
      </c>
    </row>
    <row r="20" spans="1:6">
      <c r="A20" t="s">
        <v>40</v>
      </c>
      <c r="B20" t="s">
        <v>10</v>
      </c>
      <c r="C20">
        <v>1972</v>
      </c>
      <c r="D20">
        <v>9.1999999999999993</v>
      </c>
      <c r="E20" t="s">
        <v>41</v>
      </c>
      <c r="F20">
        <v>5</v>
      </c>
    </row>
    <row r="21" spans="1:6">
      <c r="A21" t="s">
        <v>42</v>
      </c>
      <c r="B21" t="s">
        <v>10</v>
      </c>
      <c r="C21">
        <v>2008</v>
      </c>
      <c r="D21">
        <v>9</v>
      </c>
      <c r="E21" t="s">
        <v>43</v>
      </c>
      <c r="F21">
        <v>5</v>
      </c>
    </row>
    <row r="22" spans="1:6">
      <c r="A22" t="s">
        <v>44</v>
      </c>
      <c r="B22" t="s">
        <v>10</v>
      </c>
      <c r="C22">
        <v>1993</v>
      </c>
      <c r="D22">
        <v>9</v>
      </c>
      <c r="E22" t="s">
        <v>45</v>
      </c>
      <c r="F22">
        <v>5</v>
      </c>
    </row>
    <row r="23" spans="1:6">
      <c r="A23" t="s">
        <v>46</v>
      </c>
      <c r="B23" t="s">
        <v>10</v>
      </c>
      <c r="C23">
        <v>1993</v>
      </c>
      <c r="D23">
        <v>8.1999999999999993</v>
      </c>
      <c r="E23" t="s">
        <v>45</v>
      </c>
      <c r="F23">
        <v>5</v>
      </c>
    </row>
    <row r="24" spans="1:6">
      <c r="A24" t="s">
        <v>47</v>
      </c>
      <c r="B24" t="s">
        <v>10</v>
      </c>
      <c r="C24">
        <v>2019</v>
      </c>
      <c r="D24">
        <v>8.5</v>
      </c>
      <c r="F24">
        <v>5</v>
      </c>
    </row>
    <row r="25" spans="1:6">
      <c r="A25" t="s">
        <v>48</v>
      </c>
      <c r="B25" t="s">
        <v>10</v>
      </c>
      <c r="C25">
        <v>2019</v>
      </c>
      <c r="D25">
        <v>8.4</v>
      </c>
      <c r="E25" t="s">
        <v>11</v>
      </c>
      <c r="F25">
        <v>5</v>
      </c>
    </row>
    <row r="26" spans="1:6">
      <c r="A26" t="s">
        <v>49</v>
      </c>
      <c r="B26" t="s">
        <v>10</v>
      </c>
      <c r="C26">
        <v>2018</v>
      </c>
      <c r="D26">
        <v>8.4</v>
      </c>
      <c r="E26" t="s">
        <v>11</v>
      </c>
      <c r="F26">
        <v>5</v>
      </c>
    </row>
    <row r="27" spans="1:6">
      <c r="A27" t="s">
        <v>50</v>
      </c>
      <c r="B27" t="s">
        <v>7</v>
      </c>
      <c r="C27">
        <v>1955</v>
      </c>
      <c r="D27">
        <v>8.3000000000000007</v>
      </c>
      <c r="E27" t="s">
        <v>51</v>
      </c>
      <c r="F27">
        <v>7</v>
      </c>
    </row>
    <row r="28" spans="1:6">
      <c r="A28" t="s">
        <v>52</v>
      </c>
      <c r="B28" t="s">
        <v>7</v>
      </c>
      <c r="C28">
        <v>2007</v>
      </c>
      <c r="D28">
        <v>8.3000000000000007</v>
      </c>
      <c r="F28">
        <v>1</v>
      </c>
    </row>
    <row r="29" spans="1:6">
      <c r="A29" t="s">
        <v>53</v>
      </c>
      <c r="B29" t="s">
        <v>7</v>
      </c>
      <c r="C29">
        <v>2003</v>
      </c>
      <c r="D29">
        <v>8.1</v>
      </c>
      <c r="E29" t="s">
        <v>54</v>
      </c>
      <c r="F29">
        <v>1</v>
      </c>
    </row>
    <row r="30" spans="1:6">
      <c r="A30" t="s">
        <v>47</v>
      </c>
      <c r="B30" t="s">
        <v>10</v>
      </c>
      <c r="C30">
        <v>2019</v>
      </c>
      <c r="D30">
        <v>8.5</v>
      </c>
      <c r="F30">
        <v>5</v>
      </c>
    </row>
    <row r="31" spans="1:6">
      <c r="A31" t="s">
        <v>15</v>
      </c>
      <c r="B31" t="s">
        <v>10</v>
      </c>
      <c r="C31">
        <v>2022</v>
      </c>
      <c r="D31">
        <v>6.8</v>
      </c>
      <c r="E31" t="s">
        <v>11</v>
      </c>
      <c r="F31">
        <v>5</v>
      </c>
    </row>
    <row r="32" spans="1:6">
      <c r="A32" t="s">
        <v>55</v>
      </c>
      <c r="B32" t="s">
        <v>7</v>
      </c>
      <c r="C32">
        <v>2014</v>
      </c>
      <c r="D32">
        <v>8.1</v>
      </c>
      <c r="E32" t="s">
        <v>56</v>
      </c>
      <c r="F32">
        <v>1</v>
      </c>
    </row>
    <row r="33" spans="1:6">
      <c r="A33" t="s">
        <v>57</v>
      </c>
      <c r="B33" t="s">
        <v>7</v>
      </c>
      <c r="C33">
        <v>2018</v>
      </c>
      <c r="D33" t="s">
        <v>58</v>
      </c>
      <c r="E33" t="s">
        <v>56</v>
      </c>
      <c r="F33">
        <v>1</v>
      </c>
    </row>
    <row r="34" spans="1:6">
      <c r="A34" t="s">
        <v>59</v>
      </c>
      <c r="B34" t="s">
        <v>7</v>
      </c>
      <c r="C34">
        <v>2021</v>
      </c>
      <c r="D34">
        <v>7.6</v>
      </c>
      <c r="E34" t="s">
        <v>60</v>
      </c>
      <c r="F34">
        <v>2</v>
      </c>
    </row>
    <row r="35" spans="1:6">
      <c r="A35" t="s">
        <v>61</v>
      </c>
      <c r="B35" t="s">
        <v>7</v>
      </c>
      <c r="C35">
        <v>2022</v>
      </c>
      <c r="D35">
        <v>8</v>
      </c>
      <c r="E35" t="s">
        <v>62</v>
      </c>
      <c r="F35">
        <v>2</v>
      </c>
    </row>
    <row r="36" spans="1:6">
      <c r="A36" t="s">
        <v>63</v>
      </c>
      <c r="B36" t="s">
        <v>7</v>
      </c>
      <c r="C36">
        <v>2015</v>
      </c>
      <c r="D36">
        <v>8</v>
      </c>
      <c r="E36" t="s">
        <v>64</v>
      </c>
      <c r="F36">
        <v>2</v>
      </c>
    </row>
    <row r="37" spans="1:6">
      <c r="A37" t="s">
        <v>65</v>
      </c>
      <c r="B37" t="s">
        <v>7</v>
      </c>
      <c r="C37">
        <v>2022</v>
      </c>
      <c r="D37">
        <v>8.3000000000000007</v>
      </c>
      <c r="E37" t="s">
        <v>66</v>
      </c>
      <c r="F37">
        <v>1</v>
      </c>
    </row>
    <row r="38" spans="1:6">
      <c r="A38" t="s">
        <v>67</v>
      </c>
      <c r="B38" t="s">
        <v>7</v>
      </c>
      <c r="C38">
        <v>2015</v>
      </c>
      <c r="D38">
        <v>8.1</v>
      </c>
      <c r="E38" t="s">
        <v>68</v>
      </c>
      <c r="F38">
        <v>1</v>
      </c>
    </row>
    <row r="39" spans="1:6">
      <c r="A39" t="s">
        <v>69</v>
      </c>
      <c r="B39" t="s">
        <v>10</v>
      </c>
      <c r="C39">
        <v>2011</v>
      </c>
      <c r="D39">
        <v>6.9</v>
      </c>
      <c r="E39" t="s">
        <v>11</v>
      </c>
      <c r="F39">
        <v>5</v>
      </c>
    </row>
    <row r="40" spans="1:6">
      <c r="A40" t="s">
        <v>70</v>
      </c>
      <c r="B40" t="s">
        <v>10</v>
      </c>
      <c r="C40">
        <v>2014</v>
      </c>
      <c r="D40">
        <v>7.8</v>
      </c>
      <c r="E40" t="s">
        <v>11</v>
      </c>
      <c r="F40">
        <v>5</v>
      </c>
    </row>
    <row r="41" spans="1:6">
      <c r="A41" t="s">
        <v>71</v>
      </c>
      <c r="B41" t="s">
        <v>7</v>
      </c>
      <c r="C41">
        <v>2018</v>
      </c>
      <c r="D41">
        <v>1.9</v>
      </c>
      <c r="E41" t="s">
        <v>68</v>
      </c>
      <c r="F41">
        <v>1</v>
      </c>
    </row>
    <row r="42" spans="1:6">
      <c r="A42" t="s">
        <v>72</v>
      </c>
      <c r="B42" t="s">
        <v>7</v>
      </c>
      <c r="C42">
        <v>2021</v>
      </c>
      <c r="D42">
        <v>8.4</v>
      </c>
      <c r="E42" t="s">
        <v>23</v>
      </c>
      <c r="F4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2F8F-5F64-49E4-9ADA-DE37D3CF4D7D}">
  <sheetPr codeName="Sheet2"/>
  <dimension ref="A1:E41"/>
  <sheetViews>
    <sheetView workbookViewId="0"/>
  </sheetViews>
  <sheetFormatPr defaultRowHeight="14.5"/>
  <cols>
    <col min="1" max="1" width="10.6328125" bestFit="1" customWidth="1"/>
    <col min="2" max="2" width="8.90625" bestFit="1" customWidth="1"/>
    <col min="3" max="3" width="9.81640625" bestFit="1" customWidth="1"/>
    <col min="4" max="4" width="7" bestFit="1" customWidth="1"/>
    <col min="5" max="5" width="10.453125" bestFit="1" customWidth="1"/>
  </cols>
  <sheetData>
    <row r="1" spans="1: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>
      <c r="A2">
        <v>101</v>
      </c>
      <c r="B2">
        <v>1</v>
      </c>
      <c r="C2">
        <v>12.5</v>
      </c>
      <c r="D2" t="s">
        <v>78</v>
      </c>
      <c r="E2" t="s">
        <v>79</v>
      </c>
    </row>
    <row r="3" spans="1:5">
      <c r="A3">
        <v>102</v>
      </c>
      <c r="B3">
        <v>200</v>
      </c>
      <c r="C3">
        <v>954.8</v>
      </c>
      <c r="D3" t="s">
        <v>80</v>
      </c>
      <c r="E3" t="s">
        <v>81</v>
      </c>
    </row>
    <row r="4" spans="1:5">
      <c r="A4">
        <v>103</v>
      </c>
      <c r="B4">
        <v>165</v>
      </c>
      <c r="C4">
        <v>644.79999999999995</v>
      </c>
      <c r="D4" t="s">
        <v>80</v>
      </c>
      <c r="E4" t="s">
        <v>81</v>
      </c>
    </row>
    <row r="5" spans="1:5">
      <c r="A5">
        <v>104</v>
      </c>
      <c r="B5">
        <v>180</v>
      </c>
      <c r="C5">
        <v>854</v>
      </c>
      <c r="D5" t="s">
        <v>80</v>
      </c>
      <c r="E5" t="s">
        <v>81</v>
      </c>
    </row>
    <row r="6" spans="1:5">
      <c r="A6">
        <v>105</v>
      </c>
      <c r="B6">
        <v>250</v>
      </c>
      <c r="C6">
        <v>670</v>
      </c>
      <c r="D6" t="s">
        <v>80</v>
      </c>
      <c r="E6" t="s">
        <v>81</v>
      </c>
    </row>
    <row r="7" spans="1:5">
      <c r="A7">
        <v>107</v>
      </c>
      <c r="B7">
        <v>400</v>
      </c>
      <c r="C7">
        <v>2000</v>
      </c>
      <c r="D7" t="s">
        <v>80</v>
      </c>
      <c r="E7" t="s">
        <v>79</v>
      </c>
    </row>
    <row r="8" spans="1:5">
      <c r="A8">
        <v>108</v>
      </c>
      <c r="B8">
        <v>550</v>
      </c>
      <c r="C8">
        <v>4000</v>
      </c>
      <c r="D8" t="s">
        <v>80</v>
      </c>
      <c r="E8" t="s">
        <v>79</v>
      </c>
    </row>
    <row r="9" spans="1:5">
      <c r="A9">
        <v>109</v>
      </c>
      <c r="B9">
        <v>390</v>
      </c>
      <c r="C9">
        <v>1360</v>
      </c>
      <c r="D9" t="s">
        <v>80</v>
      </c>
      <c r="E9" t="s">
        <v>79</v>
      </c>
    </row>
    <row r="10" spans="1:5">
      <c r="A10">
        <v>110</v>
      </c>
      <c r="B10">
        <v>1.4</v>
      </c>
      <c r="C10">
        <v>3.5</v>
      </c>
      <c r="D10" t="s">
        <v>78</v>
      </c>
      <c r="E10" t="s">
        <v>79</v>
      </c>
    </row>
    <row r="11" spans="1:5">
      <c r="A11">
        <v>111</v>
      </c>
      <c r="B11">
        <v>25</v>
      </c>
      <c r="C11">
        <v>73.3</v>
      </c>
      <c r="D11" t="s">
        <v>80</v>
      </c>
      <c r="E11" t="s">
        <v>81</v>
      </c>
    </row>
    <row r="12" spans="1:5">
      <c r="A12">
        <v>113</v>
      </c>
      <c r="B12">
        <v>165</v>
      </c>
      <c r="C12">
        <v>701.8</v>
      </c>
      <c r="D12" t="s">
        <v>80</v>
      </c>
      <c r="E12" t="s">
        <v>81</v>
      </c>
    </row>
    <row r="13" spans="1:5">
      <c r="A13">
        <v>114</v>
      </c>
      <c r="B13">
        <v>205</v>
      </c>
      <c r="C13">
        <v>365.3</v>
      </c>
      <c r="D13" t="s">
        <v>80</v>
      </c>
      <c r="E13" t="s">
        <v>81</v>
      </c>
    </row>
    <row r="14" spans="1:5">
      <c r="A14">
        <v>115</v>
      </c>
      <c r="B14">
        <v>55</v>
      </c>
      <c r="C14">
        <v>307.10000000000002</v>
      </c>
      <c r="D14" t="s">
        <v>80</v>
      </c>
      <c r="E14" t="s">
        <v>81</v>
      </c>
    </row>
    <row r="15" spans="1:5">
      <c r="A15">
        <v>116</v>
      </c>
      <c r="B15">
        <v>103</v>
      </c>
      <c r="C15">
        <v>460.5</v>
      </c>
      <c r="D15" t="s">
        <v>80</v>
      </c>
      <c r="E15" t="s">
        <v>81</v>
      </c>
    </row>
    <row r="16" spans="1:5">
      <c r="A16">
        <v>117</v>
      </c>
      <c r="B16">
        <v>200</v>
      </c>
      <c r="C16">
        <v>2202</v>
      </c>
      <c r="D16" t="s">
        <v>80</v>
      </c>
      <c r="E16" t="s">
        <v>81</v>
      </c>
    </row>
    <row r="17" spans="1:5">
      <c r="A17">
        <v>118</v>
      </c>
      <c r="B17">
        <v>3.18</v>
      </c>
      <c r="C17">
        <v>3.3</v>
      </c>
      <c r="D17" t="s">
        <v>80</v>
      </c>
      <c r="E17" t="s">
        <v>81</v>
      </c>
    </row>
    <row r="18" spans="1:5">
      <c r="A18">
        <v>119</v>
      </c>
      <c r="B18">
        <v>237</v>
      </c>
      <c r="C18">
        <v>2847</v>
      </c>
      <c r="D18" t="s">
        <v>80</v>
      </c>
      <c r="E18" t="s">
        <v>81</v>
      </c>
    </row>
    <row r="19" spans="1:5">
      <c r="A19">
        <v>120</v>
      </c>
      <c r="B19">
        <v>7.2</v>
      </c>
      <c r="C19">
        <v>291</v>
      </c>
      <c r="D19" t="s">
        <v>80</v>
      </c>
      <c r="E19" t="s">
        <v>81</v>
      </c>
    </row>
    <row r="20" spans="1:5">
      <c r="A20">
        <v>121</v>
      </c>
      <c r="B20">
        <v>185</v>
      </c>
      <c r="C20">
        <v>1006</v>
      </c>
      <c r="D20" t="s">
        <v>80</v>
      </c>
      <c r="E20" t="s">
        <v>81</v>
      </c>
    </row>
    <row r="21" spans="1:5">
      <c r="A21">
        <v>122</v>
      </c>
      <c r="B21">
        <v>22</v>
      </c>
      <c r="C21">
        <v>322.2</v>
      </c>
      <c r="D21" t="s">
        <v>80</v>
      </c>
      <c r="E21" t="s">
        <v>81</v>
      </c>
    </row>
    <row r="22" spans="1:5">
      <c r="A22">
        <v>123</v>
      </c>
      <c r="B22">
        <v>63</v>
      </c>
      <c r="C22">
        <v>1046</v>
      </c>
      <c r="D22" t="s">
        <v>80</v>
      </c>
      <c r="E22" t="s">
        <v>81</v>
      </c>
    </row>
    <row r="23" spans="1:5">
      <c r="A23">
        <v>124</v>
      </c>
      <c r="B23">
        <v>15.5</v>
      </c>
      <c r="C23">
        <v>263.10000000000002</v>
      </c>
      <c r="D23" t="s">
        <v>80</v>
      </c>
      <c r="E23" t="s">
        <v>81</v>
      </c>
    </row>
    <row r="24" spans="1:5">
      <c r="A24">
        <v>125</v>
      </c>
      <c r="B24">
        <v>400</v>
      </c>
      <c r="C24">
        <v>2798</v>
      </c>
      <c r="D24" t="s">
        <v>80</v>
      </c>
      <c r="E24" t="s">
        <v>81</v>
      </c>
    </row>
    <row r="25" spans="1:5">
      <c r="A25">
        <v>126</v>
      </c>
      <c r="B25">
        <v>400</v>
      </c>
      <c r="C25">
        <v>2048</v>
      </c>
      <c r="D25" t="s">
        <v>80</v>
      </c>
      <c r="E25" t="s">
        <v>81</v>
      </c>
    </row>
    <row r="26" spans="1:5">
      <c r="A26">
        <v>127</v>
      </c>
      <c r="B26">
        <v>70</v>
      </c>
      <c r="C26">
        <v>100</v>
      </c>
      <c r="D26" t="s">
        <v>80</v>
      </c>
      <c r="E26" t="s">
        <v>79</v>
      </c>
    </row>
    <row r="27" spans="1:5">
      <c r="A27">
        <v>128</v>
      </c>
      <c r="B27">
        <v>120</v>
      </c>
      <c r="C27">
        <v>1350</v>
      </c>
      <c r="D27" t="s">
        <v>80</v>
      </c>
      <c r="E27" t="s">
        <v>79</v>
      </c>
    </row>
    <row r="28" spans="1:5">
      <c r="A28">
        <v>129</v>
      </c>
      <c r="B28">
        <v>100</v>
      </c>
      <c r="C28">
        <v>410</v>
      </c>
      <c r="D28" t="s">
        <v>80</v>
      </c>
      <c r="E28" t="s">
        <v>79</v>
      </c>
    </row>
    <row r="29" spans="1:5">
      <c r="A29">
        <v>130</v>
      </c>
      <c r="B29">
        <v>850</v>
      </c>
      <c r="C29">
        <v>8540</v>
      </c>
      <c r="D29" t="s">
        <v>80</v>
      </c>
      <c r="E29" t="s">
        <v>79</v>
      </c>
    </row>
    <row r="30" spans="1:5">
      <c r="A30">
        <v>131</v>
      </c>
      <c r="B30">
        <v>1</v>
      </c>
      <c r="C30">
        <v>5.9</v>
      </c>
      <c r="D30" t="s">
        <v>78</v>
      </c>
      <c r="E30" t="s">
        <v>79</v>
      </c>
    </row>
    <row r="31" spans="1:5">
      <c r="A31">
        <v>132</v>
      </c>
      <c r="B31">
        <v>2</v>
      </c>
      <c r="C31">
        <v>3.6</v>
      </c>
      <c r="D31" t="s">
        <v>78</v>
      </c>
      <c r="E31" t="s">
        <v>79</v>
      </c>
    </row>
    <row r="32" spans="1:5">
      <c r="A32">
        <v>133</v>
      </c>
      <c r="B32">
        <v>5.5</v>
      </c>
      <c r="C32">
        <v>12</v>
      </c>
      <c r="D32" t="s">
        <v>78</v>
      </c>
      <c r="E32" t="s">
        <v>79</v>
      </c>
    </row>
    <row r="33" spans="1:5">
      <c r="A33">
        <v>134</v>
      </c>
      <c r="B33">
        <v>1.8</v>
      </c>
      <c r="C33">
        <v>6.5</v>
      </c>
      <c r="D33" t="s">
        <v>78</v>
      </c>
      <c r="E33" t="s">
        <v>79</v>
      </c>
    </row>
    <row r="34" spans="1:5">
      <c r="A34">
        <v>135</v>
      </c>
      <c r="B34">
        <v>250</v>
      </c>
      <c r="C34">
        <v>3409</v>
      </c>
      <c r="D34" t="s">
        <v>80</v>
      </c>
      <c r="E34" t="s">
        <v>79</v>
      </c>
    </row>
    <row r="35" spans="1:5">
      <c r="A35">
        <v>136</v>
      </c>
      <c r="B35">
        <v>900</v>
      </c>
      <c r="C35">
        <v>11690</v>
      </c>
      <c r="D35" t="s">
        <v>80</v>
      </c>
      <c r="E35" t="s">
        <v>79</v>
      </c>
    </row>
    <row r="36" spans="1:5">
      <c r="A36">
        <v>137</v>
      </c>
      <c r="B36">
        <v>216.7</v>
      </c>
      <c r="C36">
        <v>370.6</v>
      </c>
      <c r="D36" t="s">
        <v>80</v>
      </c>
      <c r="E36" t="s">
        <v>81</v>
      </c>
    </row>
    <row r="37" spans="1:5">
      <c r="A37">
        <v>138</v>
      </c>
      <c r="B37">
        <v>177</v>
      </c>
      <c r="C37">
        <v>714.4</v>
      </c>
      <c r="D37" t="s">
        <v>80</v>
      </c>
      <c r="E37" t="s">
        <v>81</v>
      </c>
    </row>
    <row r="38" spans="1:5">
      <c r="A38">
        <v>139</v>
      </c>
      <c r="B38">
        <v>1.8</v>
      </c>
      <c r="C38">
        <v>3.1</v>
      </c>
      <c r="D38" t="s">
        <v>78</v>
      </c>
      <c r="E38" t="s">
        <v>79</v>
      </c>
    </row>
    <row r="39" spans="1:5">
      <c r="A39">
        <v>140</v>
      </c>
      <c r="B39">
        <v>500</v>
      </c>
      <c r="C39">
        <v>950</v>
      </c>
      <c r="D39" t="s">
        <v>80</v>
      </c>
      <c r="E39" t="s">
        <v>79</v>
      </c>
    </row>
    <row r="40" spans="1:5">
      <c r="A40">
        <v>406</v>
      </c>
      <c r="B40">
        <v>30</v>
      </c>
      <c r="C40">
        <v>350</v>
      </c>
      <c r="D40" t="s">
        <v>80</v>
      </c>
      <c r="E40" t="s">
        <v>79</v>
      </c>
    </row>
    <row r="41" spans="1:5">
      <c r="A41">
        <v>412</v>
      </c>
      <c r="B41">
        <v>160</v>
      </c>
      <c r="C41">
        <v>836.8</v>
      </c>
      <c r="D41" t="s">
        <v>80</v>
      </c>
      <c r="E41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95E8-80E2-43EF-AEEF-67AEF3D3BC3A}">
  <sheetPr codeName="Sheet3"/>
  <dimension ref="A1:E41"/>
  <sheetViews>
    <sheetView workbookViewId="0">
      <selection sqref="A1:E11"/>
    </sheetView>
  </sheetViews>
  <sheetFormatPr defaultRowHeight="14.5"/>
  <cols>
    <col min="1" max="1" width="10.6328125" bestFit="1" customWidth="1"/>
    <col min="2" max="2" width="8.90625" bestFit="1" customWidth="1"/>
    <col min="3" max="3" width="9.81640625" bestFit="1" customWidth="1"/>
    <col min="4" max="4" width="7" bestFit="1" customWidth="1"/>
    <col min="5" max="5" width="10.453125" bestFit="1" customWidth="1"/>
  </cols>
  <sheetData>
    <row r="1" spans="1: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>
      <c r="A2">
        <v>101</v>
      </c>
      <c r="B2">
        <v>1</v>
      </c>
      <c r="C2">
        <v>12.5</v>
      </c>
      <c r="D2" t="s">
        <v>78</v>
      </c>
      <c r="E2" t="s">
        <v>79</v>
      </c>
    </row>
    <row r="3" spans="1:5">
      <c r="A3">
        <v>102</v>
      </c>
      <c r="B3">
        <v>200</v>
      </c>
      <c r="C3">
        <v>954.8</v>
      </c>
      <c r="D3" t="s">
        <v>80</v>
      </c>
      <c r="E3" t="s">
        <v>81</v>
      </c>
    </row>
    <row r="4" spans="1:5">
      <c r="A4">
        <v>103</v>
      </c>
      <c r="B4">
        <v>165</v>
      </c>
      <c r="C4">
        <v>644.79999999999995</v>
      </c>
      <c r="D4" t="s">
        <v>80</v>
      </c>
      <c r="E4" t="s">
        <v>81</v>
      </c>
    </row>
    <row r="5" spans="1:5">
      <c r="A5">
        <v>104</v>
      </c>
      <c r="B5">
        <v>180</v>
      </c>
      <c r="C5">
        <v>854</v>
      </c>
      <c r="D5" t="s">
        <v>80</v>
      </c>
      <c r="E5" t="s">
        <v>81</v>
      </c>
    </row>
    <row r="6" spans="1:5">
      <c r="A6">
        <v>105</v>
      </c>
      <c r="B6">
        <v>250</v>
      </c>
      <c r="C6">
        <v>670</v>
      </c>
      <c r="D6" t="s">
        <v>80</v>
      </c>
      <c r="E6" t="s">
        <v>81</v>
      </c>
    </row>
    <row r="7" spans="1:5">
      <c r="A7">
        <v>107</v>
      </c>
      <c r="B7">
        <v>400</v>
      </c>
      <c r="C7">
        <v>2000</v>
      </c>
      <c r="D7" t="s">
        <v>80</v>
      </c>
      <c r="E7" t="s">
        <v>79</v>
      </c>
    </row>
    <row r="8" spans="1:5">
      <c r="A8">
        <v>108</v>
      </c>
      <c r="B8">
        <v>550</v>
      </c>
      <c r="C8">
        <v>4000</v>
      </c>
      <c r="D8" t="s">
        <v>80</v>
      </c>
      <c r="E8" t="s">
        <v>79</v>
      </c>
    </row>
    <row r="9" spans="1:5">
      <c r="A9">
        <v>109</v>
      </c>
      <c r="B9">
        <v>390</v>
      </c>
      <c r="C9">
        <v>1360</v>
      </c>
      <c r="D9" t="s">
        <v>80</v>
      </c>
      <c r="E9" t="s">
        <v>79</v>
      </c>
    </row>
    <row r="10" spans="1:5">
      <c r="A10">
        <v>110</v>
      </c>
      <c r="B10">
        <v>1.4</v>
      </c>
      <c r="C10">
        <v>3.5</v>
      </c>
      <c r="D10" t="s">
        <v>78</v>
      </c>
      <c r="E10" t="s">
        <v>79</v>
      </c>
    </row>
    <row r="11" spans="1:5">
      <c r="A11">
        <v>111</v>
      </c>
      <c r="B11">
        <v>25</v>
      </c>
      <c r="C11">
        <v>73.3</v>
      </c>
      <c r="D11" t="s">
        <v>80</v>
      </c>
      <c r="E11" t="s">
        <v>81</v>
      </c>
    </row>
    <row r="12" spans="1:5">
      <c r="A12">
        <v>113</v>
      </c>
      <c r="B12">
        <v>165</v>
      </c>
      <c r="C12">
        <v>701.8</v>
      </c>
      <c r="D12" t="s">
        <v>80</v>
      </c>
      <c r="E12" t="s">
        <v>81</v>
      </c>
    </row>
    <row r="13" spans="1:5">
      <c r="A13">
        <v>114</v>
      </c>
      <c r="B13">
        <v>205</v>
      </c>
      <c r="C13">
        <v>365.3</v>
      </c>
      <c r="D13" t="s">
        <v>80</v>
      </c>
      <c r="E13" t="s">
        <v>81</v>
      </c>
    </row>
    <row r="14" spans="1:5">
      <c r="A14">
        <v>115</v>
      </c>
      <c r="B14">
        <v>55</v>
      </c>
      <c r="C14">
        <v>307.10000000000002</v>
      </c>
      <c r="D14" t="s">
        <v>80</v>
      </c>
      <c r="E14" t="s">
        <v>81</v>
      </c>
    </row>
    <row r="15" spans="1:5">
      <c r="A15">
        <v>116</v>
      </c>
      <c r="B15">
        <v>103</v>
      </c>
      <c r="C15">
        <v>460.5</v>
      </c>
      <c r="D15" t="s">
        <v>80</v>
      </c>
      <c r="E15" t="s">
        <v>81</v>
      </c>
    </row>
    <row r="16" spans="1:5">
      <c r="A16">
        <v>117</v>
      </c>
      <c r="B16">
        <v>200</v>
      </c>
      <c r="C16">
        <v>2202</v>
      </c>
      <c r="D16" t="s">
        <v>80</v>
      </c>
      <c r="E16" t="s">
        <v>81</v>
      </c>
    </row>
    <row r="17" spans="1:5">
      <c r="A17">
        <v>118</v>
      </c>
      <c r="B17">
        <v>3.18</v>
      </c>
      <c r="C17">
        <v>3.3</v>
      </c>
      <c r="D17" t="s">
        <v>80</v>
      </c>
      <c r="E17" t="s">
        <v>81</v>
      </c>
    </row>
    <row r="18" spans="1:5">
      <c r="A18">
        <v>119</v>
      </c>
      <c r="B18">
        <v>237</v>
      </c>
      <c r="C18">
        <v>2847</v>
      </c>
      <c r="D18" t="s">
        <v>80</v>
      </c>
      <c r="E18" t="s">
        <v>81</v>
      </c>
    </row>
    <row r="19" spans="1:5">
      <c r="A19">
        <v>120</v>
      </c>
      <c r="B19">
        <v>7.2</v>
      </c>
      <c r="C19">
        <v>291</v>
      </c>
      <c r="D19" t="s">
        <v>80</v>
      </c>
      <c r="E19" t="s">
        <v>81</v>
      </c>
    </row>
    <row r="20" spans="1:5">
      <c r="A20">
        <v>121</v>
      </c>
      <c r="B20">
        <v>185</v>
      </c>
      <c r="C20">
        <v>1006</v>
      </c>
      <c r="D20" t="s">
        <v>80</v>
      </c>
      <c r="E20" t="s">
        <v>81</v>
      </c>
    </row>
    <row r="21" spans="1:5">
      <c r="A21">
        <v>122</v>
      </c>
      <c r="B21">
        <v>22</v>
      </c>
      <c r="C21">
        <v>322.2</v>
      </c>
      <c r="D21" t="s">
        <v>80</v>
      </c>
      <c r="E21" t="s">
        <v>81</v>
      </c>
    </row>
    <row r="22" spans="1:5">
      <c r="A22">
        <v>123</v>
      </c>
      <c r="B22">
        <v>63</v>
      </c>
      <c r="C22">
        <v>1046</v>
      </c>
      <c r="D22" t="s">
        <v>80</v>
      </c>
      <c r="E22" t="s">
        <v>81</v>
      </c>
    </row>
    <row r="23" spans="1:5">
      <c r="A23">
        <v>124</v>
      </c>
      <c r="B23">
        <v>15.5</v>
      </c>
      <c r="C23">
        <v>263.10000000000002</v>
      </c>
      <c r="D23" t="s">
        <v>80</v>
      </c>
      <c r="E23" t="s">
        <v>81</v>
      </c>
    </row>
    <row r="24" spans="1:5">
      <c r="A24">
        <v>125</v>
      </c>
      <c r="B24">
        <v>400</v>
      </c>
      <c r="C24">
        <v>2798</v>
      </c>
      <c r="D24" t="s">
        <v>80</v>
      </c>
      <c r="E24" t="s">
        <v>81</v>
      </c>
    </row>
    <row r="25" spans="1:5">
      <c r="A25">
        <v>126</v>
      </c>
      <c r="B25">
        <v>400</v>
      </c>
      <c r="C25">
        <v>2048</v>
      </c>
      <c r="D25" t="s">
        <v>80</v>
      </c>
      <c r="E25" t="s">
        <v>81</v>
      </c>
    </row>
    <row r="26" spans="1:5">
      <c r="A26">
        <v>127</v>
      </c>
      <c r="B26">
        <v>70</v>
      </c>
      <c r="C26">
        <v>100</v>
      </c>
      <c r="D26" t="s">
        <v>80</v>
      </c>
      <c r="E26" t="s">
        <v>79</v>
      </c>
    </row>
    <row r="27" spans="1:5">
      <c r="A27">
        <v>128</v>
      </c>
      <c r="B27">
        <v>120</v>
      </c>
      <c r="C27">
        <v>1350</v>
      </c>
      <c r="D27" t="s">
        <v>80</v>
      </c>
      <c r="E27" t="s">
        <v>79</v>
      </c>
    </row>
    <row r="28" spans="1:5">
      <c r="A28">
        <v>129</v>
      </c>
      <c r="B28">
        <v>100</v>
      </c>
      <c r="C28">
        <v>410</v>
      </c>
      <c r="D28" t="s">
        <v>80</v>
      </c>
      <c r="E28" t="s">
        <v>79</v>
      </c>
    </row>
    <row r="29" spans="1:5">
      <c r="A29">
        <v>130</v>
      </c>
      <c r="B29">
        <v>850</v>
      </c>
      <c r="C29">
        <v>8540</v>
      </c>
      <c r="D29" t="s">
        <v>80</v>
      </c>
      <c r="E29" t="s">
        <v>79</v>
      </c>
    </row>
    <row r="30" spans="1:5">
      <c r="A30">
        <v>131</v>
      </c>
      <c r="B30">
        <v>1</v>
      </c>
      <c r="C30">
        <v>5.9</v>
      </c>
      <c r="D30" t="s">
        <v>78</v>
      </c>
      <c r="E30" t="s">
        <v>79</v>
      </c>
    </row>
    <row r="31" spans="1:5">
      <c r="A31">
        <v>132</v>
      </c>
      <c r="B31">
        <v>2</v>
      </c>
      <c r="C31">
        <v>3.6</v>
      </c>
      <c r="D31" t="s">
        <v>78</v>
      </c>
      <c r="E31" t="s">
        <v>79</v>
      </c>
    </row>
    <row r="32" spans="1:5">
      <c r="A32">
        <v>133</v>
      </c>
      <c r="B32">
        <v>5.5</v>
      </c>
      <c r="C32">
        <v>12</v>
      </c>
      <c r="D32" t="s">
        <v>78</v>
      </c>
      <c r="E32" t="s">
        <v>79</v>
      </c>
    </row>
    <row r="33" spans="1:5">
      <c r="A33">
        <v>134</v>
      </c>
      <c r="B33">
        <v>1.8</v>
      </c>
      <c r="C33">
        <v>6.5</v>
      </c>
      <c r="D33" t="s">
        <v>78</v>
      </c>
      <c r="E33" t="s">
        <v>79</v>
      </c>
    </row>
    <row r="34" spans="1:5">
      <c r="A34">
        <v>135</v>
      </c>
      <c r="B34">
        <v>250</v>
      </c>
      <c r="C34">
        <v>3409</v>
      </c>
      <c r="D34" t="s">
        <v>80</v>
      </c>
      <c r="E34" t="s">
        <v>79</v>
      </c>
    </row>
    <row r="35" spans="1:5">
      <c r="A35">
        <v>136</v>
      </c>
      <c r="B35">
        <v>900</v>
      </c>
      <c r="C35">
        <v>11690</v>
      </c>
      <c r="D35" t="s">
        <v>80</v>
      </c>
      <c r="E35" t="s">
        <v>79</v>
      </c>
    </row>
    <row r="36" spans="1:5">
      <c r="A36">
        <v>137</v>
      </c>
      <c r="B36">
        <v>216.7</v>
      </c>
      <c r="C36">
        <v>370.6</v>
      </c>
      <c r="D36" t="s">
        <v>80</v>
      </c>
      <c r="E36" t="s">
        <v>81</v>
      </c>
    </row>
    <row r="37" spans="1:5">
      <c r="A37">
        <v>138</v>
      </c>
      <c r="B37">
        <v>177</v>
      </c>
      <c r="C37">
        <v>714.4</v>
      </c>
      <c r="D37" t="s">
        <v>80</v>
      </c>
      <c r="E37" t="s">
        <v>81</v>
      </c>
    </row>
    <row r="38" spans="1:5">
      <c r="A38">
        <v>139</v>
      </c>
      <c r="B38">
        <v>1.8</v>
      </c>
      <c r="C38">
        <v>3.1</v>
      </c>
      <c r="D38" t="s">
        <v>78</v>
      </c>
      <c r="E38" t="s">
        <v>79</v>
      </c>
    </row>
    <row r="39" spans="1:5">
      <c r="A39">
        <v>140</v>
      </c>
      <c r="B39">
        <v>500</v>
      </c>
      <c r="C39">
        <v>950</v>
      </c>
      <c r="D39" t="s">
        <v>80</v>
      </c>
      <c r="E39" t="s">
        <v>79</v>
      </c>
    </row>
    <row r="40" spans="1:5">
      <c r="A40">
        <v>406</v>
      </c>
      <c r="B40">
        <v>30</v>
      </c>
      <c r="C40">
        <v>350</v>
      </c>
      <c r="D40" t="s">
        <v>80</v>
      </c>
      <c r="E40" t="s">
        <v>79</v>
      </c>
    </row>
    <row r="41" spans="1:5">
      <c r="A41">
        <v>412</v>
      </c>
      <c r="B41">
        <v>160</v>
      </c>
      <c r="C41">
        <v>836.8</v>
      </c>
      <c r="D41" t="s">
        <v>80</v>
      </c>
      <c r="E41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C2EF-AC9D-4CFC-B6AD-B4FA48226CCC}">
  <sheetPr codeName="Sheet4"/>
  <dimension ref="A1:B42"/>
  <sheetViews>
    <sheetView workbookViewId="0">
      <selection sqref="A1:B42"/>
    </sheetView>
  </sheetViews>
  <sheetFormatPr defaultRowHeight="14.5"/>
  <cols>
    <col min="1" max="1" width="36.54296875" bestFit="1" customWidth="1"/>
    <col min="2" max="2" width="13.453125" customWidth="1"/>
  </cols>
  <sheetData>
    <row r="1" spans="1:2">
      <c r="A1" t="s">
        <v>83</v>
      </c>
      <c r="B1" t="s">
        <v>195</v>
      </c>
    </row>
    <row r="2" spans="1:2">
      <c r="A2" t="s">
        <v>84</v>
      </c>
      <c r="B2">
        <v>44665</v>
      </c>
    </row>
    <row r="3" spans="1:2">
      <c r="A3" t="s">
        <v>87</v>
      </c>
      <c r="B3">
        <v>44687</v>
      </c>
    </row>
    <row r="4" spans="1:2">
      <c r="A4" t="s">
        <v>88</v>
      </c>
      <c r="B4">
        <v>41586</v>
      </c>
    </row>
    <row r="5" spans="1:2">
      <c r="A5" t="s">
        <v>90</v>
      </c>
      <c r="B5">
        <v>43042</v>
      </c>
    </row>
    <row r="6" spans="1:2">
      <c r="A6" t="s">
        <v>92</v>
      </c>
      <c r="B6">
        <v>44750</v>
      </c>
    </row>
    <row r="7" spans="1:2">
      <c r="A7" t="s">
        <v>93</v>
      </c>
      <c r="B7">
        <v>27621</v>
      </c>
    </row>
    <row r="8" spans="1:2">
      <c r="A8" t="s">
        <v>95</v>
      </c>
      <c r="B8">
        <v>34992</v>
      </c>
    </row>
    <row r="9" spans="1:2">
      <c r="A9" t="s">
        <v>97</v>
      </c>
      <c r="B9">
        <v>40172</v>
      </c>
    </row>
    <row r="10" spans="1:2">
      <c r="A10" t="s">
        <v>99</v>
      </c>
      <c r="B10">
        <v>37239</v>
      </c>
    </row>
    <row r="11" spans="1:2">
      <c r="A11" t="s">
        <v>101</v>
      </c>
      <c r="B11">
        <v>42356</v>
      </c>
    </row>
    <row r="12" spans="1:2">
      <c r="A12" t="s">
        <v>104</v>
      </c>
      <c r="B12">
        <v>34600</v>
      </c>
    </row>
    <row r="13" spans="1:2">
      <c r="A13" t="s">
        <v>106</v>
      </c>
      <c r="B13">
        <v>40489</v>
      </c>
    </row>
    <row r="14" spans="1:2">
      <c r="A14" t="s">
        <v>108</v>
      </c>
      <c r="B14">
        <v>41836</v>
      </c>
    </row>
    <row r="15" spans="1:2">
      <c r="A15" t="s">
        <v>110</v>
      </c>
      <c r="B15">
        <v>39066</v>
      </c>
    </row>
    <row r="16" spans="1:2">
      <c r="A16" t="s">
        <v>112</v>
      </c>
      <c r="B16">
        <v>36651</v>
      </c>
    </row>
    <row r="17" spans="1:2">
      <c r="A17" t="s">
        <v>114</v>
      </c>
      <c r="B17">
        <v>35783</v>
      </c>
    </row>
    <row r="18" spans="1:2">
      <c r="A18" t="s">
        <v>116</v>
      </c>
      <c r="B18">
        <v>17156</v>
      </c>
    </row>
    <row r="19" spans="1:2">
      <c r="A19" t="s">
        <v>118</v>
      </c>
      <c r="B19">
        <v>40165</v>
      </c>
    </row>
    <row r="20" spans="1:2">
      <c r="A20" t="s">
        <v>119</v>
      </c>
      <c r="B20">
        <v>26382</v>
      </c>
    </row>
    <row r="21" spans="1:2">
      <c r="A21" t="s">
        <v>121</v>
      </c>
      <c r="B21">
        <v>39647</v>
      </c>
    </row>
    <row r="22" spans="1:2">
      <c r="A22" t="s">
        <v>123</v>
      </c>
      <c r="B22">
        <v>34004</v>
      </c>
    </row>
    <row r="23" spans="1:2">
      <c r="A23" t="s">
        <v>125</v>
      </c>
      <c r="B23">
        <v>34131</v>
      </c>
    </row>
    <row r="24" spans="1:2">
      <c r="A24" t="s">
        <v>126</v>
      </c>
      <c r="B24">
        <v>43615</v>
      </c>
    </row>
    <row r="25" spans="1:2">
      <c r="A25" t="s">
        <v>128</v>
      </c>
      <c r="B25">
        <v>43584</v>
      </c>
    </row>
    <row r="26" spans="1:2">
      <c r="A26" t="s">
        <v>129</v>
      </c>
      <c r="B26">
        <v>43217</v>
      </c>
    </row>
    <row r="27" spans="1:2">
      <c r="A27" t="s">
        <v>131</v>
      </c>
      <c r="B27">
        <v>20327</v>
      </c>
    </row>
    <row r="28" spans="1:2">
      <c r="A28" t="s">
        <v>134</v>
      </c>
      <c r="B28">
        <v>39437</v>
      </c>
    </row>
    <row r="29" spans="1:2">
      <c r="A29" t="s">
        <v>136</v>
      </c>
      <c r="B29">
        <v>37974</v>
      </c>
    </row>
    <row r="30" spans="1:2">
      <c r="A30" t="s">
        <v>126</v>
      </c>
      <c r="B30">
        <v>43615</v>
      </c>
    </row>
    <row r="31" spans="1:2">
      <c r="A31" t="s">
        <v>92</v>
      </c>
      <c r="B31">
        <v>44750</v>
      </c>
    </row>
    <row r="32" spans="1:2">
      <c r="A32" t="s">
        <v>138</v>
      </c>
      <c r="B32">
        <v>41992</v>
      </c>
    </row>
    <row r="33" spans="1:2">
      <c r="A33" t="s">
        <v>139</v>
      </c>
      <c r="B33">
        <v>43280</v>
      </c>
    </row>
    <row r="34" spans="1:2">
      <c r="A34" t="s">
        <v>140</v>
      </c>
      <c r="B34">
        <v>44547</v>
      </c>
    </row>
    <row r="35" spans="1:2">
      <c r="A35" t="s">
        <v>142</v>
      </c>
      <c r="B35">
        <v>44645</v>
      </c>
    </row>
    <row r="36" spans="1:2">
      <c r="A36" t="s">
        <v>143</v>
      </c>
      <c r="B36">
        <v>42195</v>
      </c>
    </row>
    <row r="37" spans="1:2">
      <c r="A37" t="s">
        <v>144</v>
      </c>
      <c r="B37">
        <v>44631</v>
      </c>
    </row>
    <row r="38" spans="1:2">
      <c r="A38" t="s">
        <v>145</v>
      </c>
      <c r="B38">
        <v>42202</v>
      </c>
    </row>
    <row r="39" spans="1:2">
      <c r="A39" t="s">
        <v>146</v>
      </c>
      <c r="B39">
        <v>40746</v>
      </c>
    </row>
    <row r="40" spans="1:2">
      <c r="A40" t="s">
        <v>148</v>
      </c>
      <c r="B40">
        <v>41733</v>
      </c>
    </row>
    <row r="41" spans="1:2">
      <c r="A41" t="s">
        <v>149</v>
      </c>
      <c r="B41">
        <v>43266</v>
      </c>
    </row>
    <row r="42" spans="1:2">
      <c r="A42" t="s">
        <v>150</v>
      </c>
      <c r="B42">
        <v>44420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D215-228B-49D0-988B-FD5546952C3E}">
  <sheetPr codeName="Sheet5"/>
  <dimension ref="A1:M42"/>
  <sheetViews>
    <sheetView tabSelected="1" topLeftCell="A19" workbookViewId="0">
      <selection activeCell="E16" sqref="E16"/>
    </sheetView>
  </sheetViews>
  <sheetFormatPr defaultRowHeight="14.5"/>
  <cols>
    <col min="1" max="1" width="10.453125" bestFit="1" customWidth="1"/>
    <col min="2" max="2" width="36.54296875" bestFit="1" customWidth="1"/>
    <col min="3" max="3" width="13.54296875" bestFit="1" customWidth="1"/>
    <col min="4" max="4" width="10" bestFit="1" customWidth="1"/>
    <col min="5" max="5" width="14.54296875" bestFit="1" customWidth="1"/>
    <col min="6" max="6" width="13.08984375" bestFit="1" customWidth="1"/>
    <col min="7" max="7" width="23.26953125" bestFit="1" customWidth="1"/>
    <col min="8" max="8" width="13.08984375" customWidth="1"/>
    <col min="9" max="10" width="16.1796875" bestFit="1" customWidth="1"/>
    <col min="11" max="11" width="11" bestFit="1" customWidth="1"/>
    <col min="12" max="12" width="7" bestFit="1" customWidth="1"/>
    <col min="13" max="13" width="18.1796875" bestFit="1" customWidth="1"/>
    <col min="14" max="14" width="17.54296875" bestFit="1" customWidth="1"/>
  </cols>
  <sheetData>
    <row r="1" spans="1:13">
      <c r="A1" t="s">
        <v>82</v>
      </c>
      <c r="B1" t="s">
        <v>83</v>
      </c>
      <c r="C1" t="s">
        <v>2</v>
      </c>
      <c r="D1" t="s">
        <v>1</v>
      </c>
      <c r="E1" t="s">
        <v>250</v>
      </c>
      <c r="F1" t="s">
        <v>3</v>
      </c>
      <c r="G1" t="s">
        <v>4</v>
      </c>
      <c r="H1" t="s">
        <v>5</v>
      </c>
      <c r="I1" t="s">
        <v>151</v>
      </c>
      <c r="J1" t="s">
        <v>152</v>
      </c>
      <c r="K1" t="s">
        <v>153</v>
      </c>
      <c r="L1" t="s">
        <v>76</v>
      </c>
      <c r="M1" t="s">
        <v>154</v>
      </c>
    </row>
    <row r="2" spans="1:13">
      <c r="A2">
        <v>101</v>
      </c>
      <c r="B2" t="s">
        <v>84</v>
      </c>
      <c r="C2" t="s">
        <v>85</v>
      </c>
      <c r="D2" t="s">
        <v>7</v>
      </c>
      <c r="E2" t="s">
        <v>85</v>
      </c>
      <c r="F2">
        <v>8.4</v>
      </c>
      <c r="G2" t="s">
        <v>86</v>
      </c>
      <c r="H2">
        <v>3</v>
      </c>
      <c r="I2">
        <f>_xlfn.XLOOKUP(Movies_1[[#This Row],[Movie_id]],Financials[movie_id],Financials[budget],"not Avialable")</f>
        <v>1</v>
      </c>
      <c r="J2">
        <f>VLOOKUP(Movies_1[[#This Row],[Movie_id]],Financials[],2,FALSE)</f>
        <v>1</v>
      </c>
      <c r="K2">
        <f>_xlfn.XLOOKUP(Movies_1[[#This Row],[Movie_id]],Financials[movie_id],Financials[revenue],"not avialable")</f>
        <v>12.5</v>
      </c>
      <c r="L2" t="str">
        <f>_xlfn.XLOOKUP(Movies_1[[#This Row],[Movie_id]],Financials[movie_id],Financials[unit],TRUE)</f>
        <v>Billions</v>
      </c>
      <c r="M2" t="str">
        <f t="shared" ref="M2:M42" si="0">IF(ISNUMBER(I2),"Matched","Missing Finance Data")</f>
        <v>Matched</v>
      </c>
    </row>
    <row r="3" spans="1:13">
      <c r="A3">
        <v>102</v>
      </c>
      <c r="B3" t="s">
        <v>87</v>
      </c>
      <c r="C3" t="s">
        <v>85</v>
      </c>
      <c r="D3" t="s">
        <v>10</v>
      </c>
      <c r="E3" t="s">
        <v>85</v>
      </c>
      <c r="F3">
        <v>7</v>
      </c>
      <c r="G3" t="s">
        <v>11</v>
      </c>
      <c r="H3">
        <v>5</v>
      </c>
      <c r="I3">
        <f>_xlfn.XLOOKUP(Movies_1[[#This Row],[Movie_id]],Financials[movie_id],Financials[budget],"not Avialable")</f>
        <v>200</v>
      </c>
      <c r="J3">
        <f>VLOOKUP(Movies_1[[#This Row],[Movie_id]],Financials[],2,FALSE)</f>
        <v>200</v>
      </c>
      <c r="K3">
        <f>_xlfn.XLOOKUP(Movies_1[[#This Row],[Movie_id]],Financials[movie_id],Financials[revenue],"not avialable")</f>
        <v>954.8</v>
      </c>
      <c r="L3" t="str">
        <f>_xlfn.XLOOKUP(Movies_1[[#This Row],[Movie_id]],Financials[movie_id],Financials[unit],TRUE)</f>
        <v>Millions</v>
      </c>
      <c r="M3" t="str">
        <f t="shared" si="0"/>
        <v>Matched</v>
      </c>
    </row>
    <row r="4" spans="1:13">
      <c r="A4">
        <v>103</v>
      </c>
      <c r="B4" t="s">
        <v>88</v>
      </c>
      <c r="C4" t="s">
        <v>89</v>
      </c>
      <c r="D4" t="s">
        <v>10</v>
      </c>
      <c r="E4" t="s">
        <v>89</v>
      </c>
      <c r="F4">
        <v>6.8</v>
      </c>
      <c r="G4" t="s">
        <v>11</v>
      </c>
      <c r="H4">
        <v>5</v>
      </c>
      <c r="I4">
        <f>_xlfn.XLOOKUP(Movies_1[[#This Row],[Movie_id]],Financials[movie_id],Financials[budget],"not Avialable")</f>
        <v>165</v>
      </c>
      <c r="J4">
        <f>VLOOKUP(Movies_1[[#This Row],[Movie_id]],Financials[],2,FALSE)</f>
        <v>165</v>
      </c>
      <c r="K4">
        <f>_xlfn.XLOOKUP(Movies_1[[#This Row],[Movie_id]],Financials[movie_id],Financials[revenue],"not avialable")</f>
        <v>644.79999999999995</v>
      </c>
      <c r="L4" t="str">
        <f>_xlfn.XLOOKUP(Movies_1[[#This Row],[Movie_id]],Financials[movie_id],Financials[unit],TRUE)</f>
        <v>Millions</v>
      </c>
      <c r="M4" t="str">
        <f t="shared" si="0"/>
        <v>Matched</v>
      </c>
    </row>
    <row r="5" spans="1:13">
      <c r="A5">
        <v>104</v>
      </c>
      <c r="B5" t="s">
        <v>90</v>
      </c>
      <c r="C5" t="s">
        <v>91</v>
      </c>
      <c r="D5" t="s">
        <v>10</v>
      </c>
      <c r="E5" t="s">
        <v>91</v>
      </c>
      <c r="F5">
        <v>7.9</v>
      </c>
      <c r="G5" t="s">
        <v>11</v>
      </c>
      <c r="H5">
        <v>5</v>
      </c>
      <c r="I5">
        <f>_xlfn.XLOOKUP(Movies_1[[#This Row],[Movie_id]],Financials[movie_id],Financials[budget],"not Avialable")</f>
        <v>180</v>
      </c>
      <c r="J5">
        <f>VLOOKUP(Movies_1[[#This Row],[Movie_id]],Financials[],2,FALSE)</f>
        <v>180</v>
      </c>
      <c r="K5">
        <f>_xlfn.XLOOKUP(Movies_1[[#This Row],[Movie_id]],Financials[movie_id],Financials[revenue],"not avialable")</f>
        <v>854</v>
      </c>
      <c r="L5" t="str">
        <f>_xlfn.XLOOKUP(Movies_1[[#This Row],[Movie_id]],Financials[movie_id],Financials[unit],TRUE)</f>
        <v>Millions</v>
      </c>
      <c r="M5" t="str">
        <f t="shared" si="0"/>
        <v>Matched</v>
      </c>
    </row>
    <row r="6" spans="1:13">
      <c r="A6">
        <v>105</v>
      </c>
      <c r="B6" t="s">
        <v>92</v>
      </c>
      <c r="C6" t="s">
        <v>85</v>
      </c>
      <c r="D6" t="s">
        <v>10</v>
      </c>
      <c r="E6" t="s">
        <v>85</v>
      </c>
      <c r="F6">
        <v>6.8</v>
      </c>
      <c r="G6" t="s">
        <v>11</v>
      </c>
      <c r="H6">
        <v>5</v>
      </c>
      <c r="I6">
        <f>_xlfn.XLOOKUP(Movies_1[[#This Row],[Movie_id]],Financials[movie_id],Financials[budget],"not Avialable")</f>
        <v>250</v>
      </c>
      <c r="J6">
        <f>VLOOKUP(Movies_1[[#This Row],[Movie_id]],Financials[],2,FALSE)</f>
        <v>250</v>
      </c>
      <c r="K6">
        <f>_xlfn.XLOOKUP(Movies_1[[#This Row],[Movie_id]],Financials[movie_id],Financials[revenue],"not avialable")</f>
        <v>670</v>
      </c>
      <c r="L6" t="str">
        <f>_xlfn.XLOOKUP(Movies_1[[#This Row],[Movie_id]],Financials[movie_id],Financials[unit],TRUE)</f>
        <v>Millions</v>
      </c>
      <c r="M6" t="str">
        <f t="shared" si="0"/>
        <v>Matched</v>
      </c>
    </row>
    <row r="7" spans="1:13">
      <c r="A7">
        <v>106</v>
      </c>
      <c r="B7" t="s">
        <v>93</v>
      </c>
      <c r="C7" t="s">
        <v>85</v>
      </c>
      <c r="D7" t="s">
        <v>7</v>
      </c>
      <c r="E7" t="s">
        <v>94</v>
      </c>
      <c r="F7">
        <v>8.1</v>
      </c>
      <c r="G7" t="s">
        <v>17</v>
      </c>
      <c r="H7">
        <v>1</v>
      </c>
      <c r="I7" t="str">
        <f>_xlfn.XLOOKUP(Movies_1[[#This Row],[Movie_id]],Financials[movie_id],Financials[budget],"not Avialable")</f>
        <v>not Avialable</v>
      </c>
      <c r="J7" t="e">
        <f>VLOOKUP(Movies_1[[#This Row],[Movie_id]],Financials[],2,FALSE)</f>
        <v>#N/A</v>
      </c>
      <c r="K7" t="str">
        <f>_xlfn.XLOOKUP(Movies_1[[#This Row],[Movie_id]],Financials[movie_id],Financials[revenue],"not avialable")</f>
        <v>not avialable</v>
      </c>
      <c r="L7" t="b">
        <f>_xlfn.XLOOKUP(Movies_1[[#This Row],[Movie_id]],Financials[movie_id],Financials[unit],TRUE)</f>
        <v>1</v>
      </c>
      <c r="M7" t="str">
        <f t="shared" si="0"/>
        <v>Missing Finance Data</v>
      </c>
    </row>
    <row r="8" spans="1:13">
      <c r="A8">
        <v>107</v>
      </c>
      <c r="B8" t="s">
        <v>95</v>
      </c>
      <c r="C8" t="s">
        <v>85</v>
      </c>
      <c r="D8" t="s">
        <v>7</v>
      </c>
      <c r="E8" t="s">
        <v>96</v>
      </c>
      <c r="F8">
        <v>8</v>
      </c>
      <c r="G8" t="s">
        <v>19</v>
      </c>
      <c r="H8">
        <v>1</v>
      </c>
      <c r="I8">
        <f>_xlfn.XLOOKUP(Movies_1[[#This Row],[Movie_id]],Financials[movie_id],Financials[budget],"not Avialable")</f>
        <v>400</v>
      </c>
      <c r="J8">
        <f>VLOOKUP(Movies_1[[#This Row],[Movie_id]],Financials[],2,FALSE)</f>
        <v>400</v>
      </c>
      <c r="K8">
        <f>_xlfn.XLOOKUP(Movies_1[[#This Row],[Movie_id]],Financials[movie_id],Financials[revenue],"not avialable")</f>
        <v>2000</v>
      </c>
      <c r="L8" t="str">
        <f>_xlfn.XLOOKUP(Movies_1[[#This Row],[Movie_id]],Financials[movie_id],Financials[unit],TRUE)</f>
        <v>Millions</v>
      </c>
      <c r="M8" t="str">
        <f t="shared" si="0"/>
        <v>Matched</v>
      </c>
    </row>
    <row r="9" spans="1:13">
      <c r="A9">
        <v>108</v>
      </c>
      <c r="B9" t="s">
        <v>97</v>
      </c>
      <c r="C9" t="s">
        <v>85</v>
      </c>
      <c r="D9" t="s">
        <v>7</v>
      </c>
      <c r="E9" t="s">
        <v>98</v>
      </c>
      <c r="F9">
        <v>8.4</v>
      </c>
      <c r="G9" t="s">
        <v>56</v>
      </c>
      <c r="H9">
        <v>1</v>
      </c>
      <c r="I9">
        <f>_xlfn.XLOOKUP(Movies_1[[#This Row],[Movie_id]],Financials[movie_id],Financials[budget],"not Avialable")</f>
        <v>550</v>
      </c>
      <c r="J9">
        <f>VLOOKUP(Movies_1[[#This Row],[Movie_id]],Financials[],2,FALSE)</f>
        <v>550</v>
      </c>
      <c r="K9">
        <f>_xlfn.XLOOKUP(Movies_1[[#This Row],[Movie_id]],Financials[movie_id],Financials[revenue],"not avialable")</f>
        <v>4000</v>
      </c>
      <c r="L9" t="str">
        <f>_xlfn.XLOOKUP(Movies_1[[#This Row],[Movie_id]],Financials[movie_id],Financials[unit],TRUE)</f>
        <v>Millions</v>
      </c>
      <c r="M9" t="str">
        <f t="shared" si="0"/>
        <v>Matched</v>
      </c>
    </row>
    <row r="10" spans="1:13">
      <c r="A10">
        <v>109</v>
      </c>
      <c r="B10" t="s">
        <v>99</v>
      </c>
      <c r="C10" t="s">
        <v>94</v>
      </c>
      <c r="D10" t="s">
        <v>7</v>
      </c>
      <c r="E10" t="s">
        <v>100</v>
      </c>
      <c r="F10">
        <v>7.4</v>
      </c>
      <c r="G10" t="s">
        <v>23</v>
      </c>
      <c r="H10">
        <v>1</v>
      </c>
      <c r="I10">
        <f>_xlfn.XLOOKUP(Movies_1[[#This Row],[Movie_id]],Financials[movie_id],Financials[budget],"not Avialable")</f>
        <v>390</v>
      </c>
      <c r="J10">
        <f>VLOOKUP(Movies_1[[#This Row],[Movie_id]],Financials[],2,FALSE)</f>
        <v>390</v>
      </c>
      <c r="K10">
        <f>_xlfn.XLOOKUP(Movies_1[[#This Row],[Movie_id]],Financials[movie_id],Financials[revenue],"not avialable")</f>
        <v>1360</v>
      </c>
      <c r="L10" t="str">
        <f>_xlfn.XLOOKUP(Movies_1[[#This Row],[Movie_id]],Financials[movie_id],Financials[unit],TRUE)</f>
        <v>Millions</v>
      </c>
      <c r="M10" t="str">
        <f t="shared" si="0"/>
        <v>Matched</v>
      </c>
    </row>
    <row r="11" spans="1:13">
      <c r="A11">
        <v>110</v>
      </c>
      <c r="B11" t="s">
        <v>101</v>
      </c>
      <c r="C11" t="s">
        <v>96</v>
      </c>
      <c r="D11" t="s">
        <v>7</v>
      </c>
      <c r="E11" t="s">
        <v>102</v>
      </c>
      <c r="F11">
        <v>7.2</v>
      </c>
      <c r="G11" t="s">
        <v>103</v>
      </c>
      <c r="H11">
        <v>1</v>
      </c>
      <c r="I11">
        <f>_xlfn.XLOOKUP(Movies_1[[#This Row],[Movie_id]],Financials[movie_id],Financials[budget],"not Avialable")</f>
        <v>1.4</v>
      </c>
      <c r="J11">
        <f>VLOOKUP(Movies_1[[#This Row],[Movie_id]],Financials[],2,FALSE)</f>
        <v>1.4</v>
      </c>
      <c r="K11">
        <f>_xlfn.XLOOKUP(Movies_1[[#This Row],[Movie_id]],Financials[movie_id],Financials[revenue],"not avialable")</f>
        <v>3.5</v>
      </c>
      <c r="L11" t="str">
        <f>_xlfn.XLOOKUP(Movies_1[[#This Row],[Movie_id]],Financials[movie_id],Financials[unit],TRUE)</f>
        <v>Billions</v>
      </c>
      <c r="M11" t="str">
        <f t="shared" si="0"/>
        <v>Matched</v>
      </c>
    </row>
    <row r="12" spans="1:13">
      <c r="A12">
        <v>111</v>
      </c>
      <c r="B12" t="s">
        <v>104</v>
      </c>
      <c r="C12" t="s">
        <v>98</v>
      </c>
      <c r="D12" t="s">
        <v>10</v>
      </c>
      <c r="E12" t="s">
        <v>105</v>
      </c>
      <c r="F12">
        <v>9.3000000000000007</v>
      </c>
      <c r="G12" t="s">
        <v>26</v>
      </c>
      <c r="H12">
        <v>5</v>
      </c>
      <c r="I12">
        <f>_xlfn.XLOOKUP(Movies_1[[#This Row],[Movie_id]],Financials[movie_id],Financials[budget],"not Avialable")</f>
        <v>25</v>
      </c>
      <c r="J12">
        <f>VLOOKUP(Movies_1[[#This Row],[Movie_id]],Financials[],2,FALSE)</f>
        <v>25</v>
      </c>
      <c r="K12">
        <f>_xlfn.XLOOKUP(Movies_1[[#This Row],[Movie_id]],Financials[movie_id],Financials[revenue],"not avialable")</f>
        <v>73.3</v>
      </c>
      <c r="L12" t="str">
        <f>_xlfn.XLOOKUP(Movies_1[[#This Row],[Movie_id]],Financials[movie_id],Financials[unit],TRUE)</f>
        <v>Millions</v>
      </c>
      <c r="M12" t="str">
        <f t="shared" si="0"/>
        <v>Matched</v>
      </c>
    </row>
    <row r="13" spans="1:13">
      <c r="A13">
        <v>112</v>
      </c>
      <c r="B13" t="s">
        <v>106</v>
      </c>
      <c r="C13" t="s">
        <v>100</v>
      </c>
      <c r="D13" t="s">
        <v>10</v>
      </c>
      <c r="E13" t="s">
        <v>107</v>
      </c>
      <c r="F13">
        <v>8.8000000000000007</v>
      </c>
      <c r="G13" t="s">
        <v>28</v>
      </c>
      <c r="H13">
        <v>5</v>
      </c>
      <c r="I13" t="str">
        <f>_xlfn.XLOOKUP(Movies_1[[#This Row],[Movie_id]],Financials[movie_id],Financials[budget],"not Avialable")</f>
        <v>not Avialable</v>
      </c>
      <c r="J13" t="e">
        <f>VLOOKUP(Movies_1[[#This Row],[Movie_id]],Financials[],2,FALSE)</f>
        <v>#N/A</v>
      </c>
      <c r="K13" t="str">
        <f>_xlfn.XLOOKUP(Movies_1[[#This Row],[Movie_id]],Financials[movie_id],Financials[revenue],"not avialable")</f>
        <v>not avialable</v>
      </c>
      <c r="L13" t="b">
        <f>_xlfn.XLOOKUP(Movies_1[[#This Row],[Movie_id]],Financials[movie_id],Financials[unit],TRUE)</f>
        <v>1</v>
      </c>
      <c r="M13" t="str">
        <f t="shared" si="0"/>
        <v>Missing Finance Data</v>
      </c>
    </row>
    <row r="14" spans="1:13">
      <c r="A14">
        <v>113</v>
      </c>
      <c r="B14" t="s">
        <v>108</v>
      </c>
      <c r="C14" t="s">
        <v>102</v>
      </c>
      <c r="D14" t="s">
        <v>10</v>
      </c>
      <c r="E14" t="s">
        <v>109</v>
      </c>
      <c r="F14">
        <v>8.6</v>
      </c>
      <c r="G14" t="s">
        <v>28</v>
      </c>
      <c r="H14">
        <v>5</v>
      </c>
      <c r="I14">
        <f>_xlfn.XLOOKUP(Movies_1[[#This Row],[Movie_id]],Financials[movie_id],Financials[budget],"not Avialable")</f>
        <v>165</v>
      </c>
      <c r="J14">
        <f>VLOOKUP(Movies_1[[#This Row],[Movie_id]],Financials[],2,FALSE)</f>
        <v>165</v>
      </c>
      <c r="K14">
        <f>_xlfn.XLOOKUP(Movies_1[[#This Row],[Movie_id]],Financials[movie_id],Financials[revenue],"not avialable")</f>
        <v>701.8</v>
      </c>
      <c r="L14" t="str">
        <f>_xlfn.XLOOKUP(Movies_1[[#This Row],[Movie_id]],Financials[movie_id],Financials[unit],TRUE)</f>
        <v>Millions</v>
      </c>
      <c r="M14" t="str">
        <f t="shared" si="0"/>
        <v>Matched</v>
      </c>
    </row>
    <row r="15" spans="1:13">
      <c r="A15">
        <v>115</v>
      </c>
      <c r="B15" t="s">
        <v>110</v>
      </c>
      <c r="C15" t="s">
        <v>105</v>
      </c>
      <c r="D15" t="s">
        <v>10</v>
      </c>
      <c r="E15" t="s">
        <v>111</v>
      </c>
      <c r="F15">
        <v>8</v>
      </c>
      <c r="G15" t="s">
        <v>31</v>
      </c>
      <c r="H15">
        <v>5</v>
      </c>
      <c r="I15">
        <f>_xlfn.XLOOKUP(Movies_1[[#This Row],[Movie_id]],Financials[movie_id],Financials[budget],"not Avialable")</f>
        <v>55</v>
      </c>
      <c r="J15">
        <f>VLOOKUP(Movies_1[[#This Row],[Movie_id]],Financials[],2,FALSE)</f>
        <v>55</v>
      </c>
      <c r="K15">
        <f>_xlfn.XLOOKUP(Movies_1[[#This Row],[Movie_id]],Financials[movie_id],Financials[revenue],"not avialable")</f>
        <v>307.10000000000002</v>
      </c>
      <c r="L15" t="str">
        <f>_xlfn.XLOOKUP(Movies_1[[#This Row],[Movie_id]],Financials[movie_id],Financials[unit],TRUE)</f>
        <v>Millions</v>
      </c>
      <c r="M15" t="str">
        <f t="shared" si="0"/>
        <v>Matched</v>
      </c>
    </row>
    <row r="16" spans="1:13">
      <c r="A16">
        <v>116</v>
      </c>
      <c r="B16" t="s">
        <v>112</v>
      </c>
      <c r="C16" t="s">
        <v>109</v>
      </c>
      <c r="D16" t="s">
        <v>10</v>
      </c>
      <c r="E16" t="s">
        <v>113</v>
      </c>
      <c r="F16">
        <v>8.5</v>
      </c>
      <c r="G16" t="s">
        <v>45</v>
      </c>
      <c r="H16">
        <v>5</v>
      </c>
      <c r="I16">
        <f>_xlfn.XLOOKUP(Movies_1[[#This Row],[Movie_id]],Financials[movie_id],Financials[budget],"not Avialable")</f>
        <v>103</v>
      </c>
      <c r="J16">
        <f>VLOOKUP(Movies_1[[#This Row],[Movie_id]],Financials[],2,FALSE)</f>
        <v>103</v>
      </c>
      <c r="K16">
        <f>_xlfn.XLOOKUP(Movies_1[[#This Row],[Movie_id]],Financials[movie_id],Financials[revenue],"not avialable")</f>
        <v>460.5</v>
      </c>
      <c r="L16" t="str">
        <f>_xlfn.XLOOKUP(Movies_1[[#This Row],[Movie_id]],Financials[movie_id],Financials[unit],TRUE)</f>
        <v>Millions</v>
      </c>
      <c r="M16" t="str">
        <f t="shared" si="0"/>
        <v>Matched</v>
      </c>
    </row>
    <row r="17" spans="1:13">
      <c r="A17">
        <v>117</v>
      </c>
      <c r="B17" t="s">
        <v>114</v>
      </c>
      <c r="C17" t="s">
        <v>107</v>
      </c>
      <c r="D17" t="s">
        <v>10</v>
      </c>
      <c r="E17" t="s">
        <v>115</v>
      </c>
      <c r="F17">
        <v>7.9</v>
      </c>
      <c r="G17" t="s">
        <v>35</v>
      </c>
      <c r="H17">
        <v>5</v>
      </c>
      <c r="I17">
        <f>_xlfn.XLOOKUP(Movies_1[[#This Row],[Movie_id]],Financials[movie_id],Financials[budget],"not Avialable")</f>
        <v>200</v>
      </c>
      <c r="J17">
        <f>VLOOKUP(Movies_1[[#This Row],[Movie_id]],Financials[],2,FALSE)</f>
        <v>200</v>
      </c>
      <c r="K17">
        <f>_xlfn.XLOOKUP(Movies_1[[#This Row],[Movie_id]],Financials[movie_id],Financials[revenue],"not avialable")</f>
        <v>2202</v>
      </c>
      <c r="L17" t="str">
        <f>_xlfn.XLOOKUP(Movies_1[[#This Row],[Movie_id]],Financials[movie_id],Financials[unit],TRUE)</f>
        <v>Millions</v>
      </c>
      <c r="M17" t="str">
        <f t="shared" si="0"/>
        <v>Matched</v>
      </c>
    </row>
    <row r="18" spans="1:13">
      <c r="A18">
        <v>118</v>
      </c>
      <c r="B18" t="s">
        <v>116</v>
      </c>
      <c r="C18" t="s">
        <v>111</v>
      </c>
      <c r="D18" t="s">
        <v>10</v>
      </c>
      <c r="E18" t="s">
        <v>117</v>
      </c>
      <c r="F18">
        <v>8.6</v>
      </c>
      <c r="G18" t="s">
        <v>37</v>
      </c>
      <c r="H18">
        <v>5</v>
      </c>
      <c r="I18">
        <f>_xlfn.XLOOKUP(Movies_1[[#This Row],[Movie_id]],Financials[movie_id],Financials[budget],"not Avialable")</f>
        <v>3.18</v>
      </c>
      <c r="J18">
        <f>VLOOKUP(Movies_1[[#This Row],[Movie_id]],Financials[],2,FALSE)</f>
        <v>3.18</v>
      </c>
      <c r="K18">
        <f>_xlfn.XLOOKUP(Movies_1[[#This Row],[Movie_id]],Financials[movie_id],Financials[revenue],"not avialable")</f>
        <v>3.3</v>
      </c>
      <c r="L18" t="str">
        <f>_xlfn.XLOOKUP(Movies_1[[#This Row],[Movie_id]],Financials[movie_id],Financials[unit],TRUE)</f>
        <v>Millions</v>
      </c>
      <c r="M18" t="str">
        <f t="shared" si="0"/>
        <v>Matched</v>
      </c>
    </row>
    <row r="19" spans="1:13">
      <c r="A19">
        <v>119</v>
      </c>
      <c r="B19" t="s">
        <v>118</v>
      </c>
      <c r="C19" t="s">
        <v>113</v>
      </c>
      <c r="D19" t="s">
        <v>10</v>
      </c>
      <c r="E19" t="s">
        <v>98</v>
      </c>
      <c r="F19">
        <v>7.8</v>
      </c>
      <c r="G19" t="s">
        <v>39</v>
      </c>
      <c r="H19">
        <v>5</v>
      </c>
      <c r="I19">
        <f>_xlfn.XLOOKUP(Movies_1[[#This Row],[Movie_id]],Financials[movie_id],Financials[budget],"not Avialable")</f>
        <v>237</v>
      </c>
      <c r="J19">
        <f>VLOOKUP(Movies_1[[#This Row],[Movie_id]],Financials[],2,FALSE)</f>
        <v>237</v>
      </c>
      <c r="K19">
        <f>_xlfn.XLOOKUP(Movies_1[[#This Row],[Movie_id]],Financials[movie_id],Financials[revenue],"not avialable")</f>
        <v>2847</v>
      </c>
      <c r="L19" t="str">
        <f>_xlfn.XLOOKUP(Movies_1[[#This Row],[Movie_id]],Financials[movie_id],Financials[unit],TRUE)</f>
        <v>Millions</v>
      </c>
      <c r="M19" t="str">
        <f t="shared" si="0"/>
        <v>Matched</v>
      </c>
    </row>
    <row r="20" spans="1:13">
      <c r="A20">
        <v>120</v>
      </c>
      <c r="B20" t="s">
        <v>119</v>
      </c>
      <c r="C20" t="s">
        <v>115</v>
      </c>
      <c r="D20" t="s">
        <v>10</v>
      </c>
      <c r="E20" t="s">
        <v>120</v>
      </c>
      <c r="F20">
        <v>9.1999999999999993</v>
      </c>
      <c r="G20" t="s">
        <v>35</v>
      </c>
      <c r="H20">
        <v>5</v>
      </c>
      <c r="I20">
        <f>_xlfn.XLOOKUP(Movies_1[[#This Row],[Movie_id]],Financials[movie_id],Financials[budget],"not Avialable")</f>
        <v>7.2</v>
      </c>
      <c r="J20">
        <f>VLOOKUP(Movies_1[[#This Row],[Movie_id]],Financials[],2,FALSE)</f>
        <v>7.2</v>
      </c>
      <c r="K20">
        <f>_xlfn.XLOOKUP(Movies_1[[#This Row],[Movie_id]],Financials[movie_id],Financials[revenue],"not avialable")</f>
        <v>291</v>
      </c>
      <c r="L20" t="str">
        <f>_xlfn.XLOOKUP(Movies_1[[#This Row],[Movie_id]],Financials[movie_id],Financials[unit],TRUE)</f>
        <v>Millions</v>
      </c>
      <c r="M20" t="str">
        <f t="shared" si="0"/>
        <v>Matched</v>
      </c>
    </row>
    <row r="21" spans="1:13">
      <c r="A21">
        <v>121</v>
      </c>
      <c r="B21" t="s">
        <v>121</v>
      </c>
      <c r="C21" t="s">
        <v>117</v>
      </c>
      <c r="D21" t="s">
        <v>10</v>
      </c>
      <c r="E21" t="s">
        <v>122</v>
      </c>
      <c r="F21">
        <v>9</v>
      </c>
      <c r="G21" t="s">
        <v>43</v>
      </c>
      <c r="H21">
        <v>5</v>
      </c>
      <c r="I21">
        <f>_xlfn.XLOOKUP(Movies_1[[#This Row],[Movie_id]],Financials[movie_id],Financials[budget],"not Avialable")</f>
        <v>185</v>
      </c>
      <c r="J21">
        <f>VLOOKUP(Movies_1[[#This Row],[Movie_id]],Financials[],2,FALSE)</f>
        <v>185</v>
      </c>
      <c r="K21">
        <f>_xlfn.XLOOKUP(Movies_1[[#This Row],[Movie_id]],Financials[movie_id],Financials[revenue],"not avialable")</f>
        <v>1006</v>
      </c>
      <c r="L21" t="str">
        <f>_xlfn.XLOOKUP(Movies_1[[#This Row],[Movie_id]],Financials[movie_id],Financials[unit],TRUE)</f>
        <v>Millions</v>
      </c>
      <c r="M21" t="str">
        <f t="shared" si="0"/>
        <v>Matched</v>
      </c>
    </row>
    <row r="22" spans="1:13">
      <c r="A22">
        <v>122</v>
      </c>
      <c r="B22" t="s">
        <v>123</v>
      </c>
      <c r="C22" t="s">
        <v>98</v>
      </c>
      <c r="D22" t="s">
        <v>10</v>
      </c>
      <c r="E22" t="s">
        <v>124</v>
      </c>
      <c r="F22">
        <v>9</v>
      </c>
      <c r="G22" t="s">
        <v>45</v>
      </c>
      <c r="H22">
        <v>5</v>
      </c>
      <c r="I22">
        <f>_xlfn.XLOOKUP(Movies_1[[#This Row],[Movie_id]],Financials[movie_id],Financials[budget],"not Avialable")</f>
        <v>22</v>
      </c>
      <c r="J22">
        <f>VLOOKUP(Movies_1[[#This Row],[Movie_id]],Financials[],2,FALSE)</f>
        <v>22</v>
      </c>
      <c r="K22">
        <f>_xlfn.XLOOKUP(Movies_1[[#This Row],[Movie_id]],Financials[movie_id],Financials[revenue],"not avialable")</f>
        <v>322.2</v>
      </c>
      <c r="L22" t="str">
        <f>_xlfn.XLOOKUP(Movies_1[[#This Row],[Movie_id]],Financials[movie_id],Financials[unit],TRUE)</f>
        <v>Millions</v>
      </c>
      <c r="M22" t="str">
        <f t="shared" si="0"/>
        <v>Matched</v>
      </c>
    </row>
    <row r="23" spans="1:13">
      <c r="A23">
        <v>123</v>
      </c>
      <c r="B23" t="s">
        <v>125</v>
      </c>
      <c r="C23" t="s">
        <v>120</v>
      </c>
      <c r="D23" t="s">
        <v>10</v>
      </c>
      <c r="E23" t="s">
        <v>124</v>
      </c>
      <c r="F23">
        <v>8.1999999999999993</v>
      </c>
      <c r="G23" t="s">
        <v>45</v>
      </c>
      <c r="H23">
        <v>5</v>
      </c>
      <c r="I23">
        <f>_xlfn.XLOOKUP(Movies_1[[#This Row],[Movie_id]],Financials[movie_id],Financials[budget],"not Avialable")</f>
        <v>63</v>
      </c>
      <c r="J23">
        <f>VLOOKUP(Movies_1[[#This Row],[Movie_id]],Financials[],2,FALSE)</f>
        <v>63</v>
      </c>
      <c r="K23">
        <f>_xlfn.XLOOKUP(Movies_1[[#This Row],[Movie_id]],Financials[movie_id],Financials[revenue],"not avialable")</f>
        <v>1046</v>
      </c>
      <c r="L23" t="str">
        <f>_xlfn.XLOOKUP(Movies_1[[#This Row],[Movie_id]],Financials[movie_id],Financials[unit],TRUE)</f>
        <v>Millions</v>
      </c>
      <c r="M23" t="str">
        <f t="shared" si="0"/>
        <v>Matched</v>
      </c>
    </row>
    <row r="24" spans="1:13">
      <c r="A24">
        <v>124</v>
      </c>
      <c r="B24" t="s">
        <v>126</v>
      </c>
      <c r="C24" t="s">
        <v>122</v>
      </c>
      <c r="D24" t="s">
        <v>10</v>
      </c>
      <c r="E24" t="s">
        <v>127</v>
      </c>
      <c r="F24">
        <v>8.5</v>
      </c>
      <c r="G24" t="s">
        <v>103</v>
      </c>
      <c r="H24">
        <v>5</v>
      </c>
      <c r="I24">
        <f>_xlfn.XLOOKUP(Movies_1[[#This Row],[Movie_id]],Financials[movie_id],Financials[budget],"not Avialable")</f>
        <v>15.5</v>
      </c>
      <c r="J24">
        <f>VLOOKUP(Movies_1[[#This Row],[Movie_id]],Financials[],2,FALSE)</f>
        <v>15.5</v>
      </c>
      <c r="K24">
        <f>_xlfn.XLOOKUP(Movies_1[[#This Row],[Movie_id]],Financials[movie_id],Financials[revenue],"not avialable")</f>
        <v>263.10000000000002</v>
      </c>
      <c r="L24" t="str">
        <f>_xlfn.XLOOKUP(Movies_1[[#This Row],[Movie_id]],Financials[movie_id],Financials[unit],TRUE)</f>
        <v>Millions</v>
      </c>
      <c r="M24" t="str">
        <f t="shared" si="0"/>
        <v>Matched</v>
      </c>
    </row>
    <row r="25" spans="1:13">
      <c r="A25">
        <v>125</v>
      </c>
      <c r="B25" t="s">
        <v>128</v>
      </c>
      <c r="C25" t="s">
        <v>124</v>
      </c>
      <c r="D25" t="s">
        <v>10</v>
      </c>
      <c r="E25" t="s">
        <v>127</v>
      </c>
      <c r="F25">
        <v>8.4</v>
      </c>
      <c r="G25" t="s">
        <v>11</v>
      </c>
      <c r="H25">
        <v>5</v>
      </c>
      <c r="I25">
        <f>_xlfn.XLOOKUP(Movies_1[[#This Row],[Movie_id]],Financials[movie_id],Financials[budget],"not Avialable")</f>
        <v>400</v>
      </c>
      <c r="J25">
        <f>VLOOKUP(Movies_1[[#This Row],[Movie_id]],Financials[],2,FALSE)</f>
        <v>400</v>
      </c>
      <c r="K25">
        <f>_xlfn.XLOOKUP(Movies_1[[#This Row],[Movie_id]],Financials[movie_id],Financials[revenue],"not avialable")</f>
        <v>2798</v>
      </c>
      <c r="L25" t="str">
        <f>_xlfn.XLOOKUP(Movies_1[[#This Row],[Movie_id]],Financials[movie_id],Financials[unit],TRUE)</f>
        <v>Millions</v>
      </c>
      <c r="M25" t="str">
        <f t="shared" si="0"/>
        <v>Matched</v>
      </c>
    </row>
    <row r="26" spans="1:13">
      <c r="A26">
        <v>126</v>
      </c>
      <c r="B26" t="s">
        <v>129</v>
      </c>
      <c r="C26" t="s">
        <v>124</v>
      </c>
      <c r="D26" t="s">
        <v>10</v>
      </c>
      <c r="E26" t="s">
        <v>130</v>
      </c>
      <c r="F26">
        <v>8.4</v>
      </c>
      <c r="G26" t="s">
        <v>11</v>
      </c>
      <c r="H26">
        <v>5</v>
      </c>
      <c r="I26">
        <f>_xlfn.XLOOKUP(Movies_1[[#This Row],[Movie_id]],Financials[movie_id],Financials[budget],"not Avialable")</f>
        <v>400</v>
      </c>
      <c r="J26">
        <f>VLOOKUP(Movies_1[[#This Row],[Movie_id]],Financials[],2,FALSE)</f>
        <v>400</v>
      </c>
      <c r="K26">
        <f>_xlfn.XLOOKUP(Movies_1[[#This Row],[Movie_id]],Financials[movie_id],Financials[revenue],"not avialable")</f>
        <v>2048</v>
      </c>
      <c r="L26" t="str">
        <f>_xlfn.XLOOKUP(Movies_1[[#This Row],[Movie_id]],Financials[movie_id],Financials[unit],TRUE)</f>
        <v>Millions</v>
      </c>
      <c r="M26" t="str">
        <f t="shared" si="0"/>
        <v>Matched</v>
      </c>
    </row>
    <row r="27" spans="1:13">
      <c r="A27">
        <v>127</v>
      </c>
      <c r="B27" t="s">
        <v>131</v>
      </c>
      <c r="C27" t="s">
        <v>127</v>
      </c>
      <c r="D27" t="s">
        <v>7</v>
      </c>
      <c r="E27" t="s">
        <v>132</v>
      </c>
      <c r="F27">
        <v>8.3000000000000007</v>
      </c>
      <c r="G27" t="s">
        <v>133</v>
      </c>
      <c r="H27">
        <v>7</v>
      </c>
      <c r="I27">
        <f>_xlfn.XLOOKUP(Movies_1[[#This Row],[Movie_id]],Financials[movie_id],Financials[budget],"not Avialable")</f>
        <v>70</v>
      </c>
      <c r="J27">
        <f>VLOOKUP(Movies_1[[#This Row],[Movie_id]],Financials[],2,FALSE)</f>
        <v>70</v>
      </c>
      <c r="K27">
        <f>_xlfn.XLOOKUP(Movies_1[[#This Row],[Movie_id]],Financials[movie_id],Financials[revenue],"not avialable")</f>
        <v>100</v>
      </c>
      <c r="L27" t="str">
        <f>_xlfn.XLOOKUP(Movies_1[[#This Row],[Movie_id]],Financials[movie_id],Financials[unit],TRUE)</f>
        <v>Millions</v>
      </c>
      <c r="M27" t="str">
        <f t="shared" si="0"/>
        <v>Matched</v>
      </c>
    </row>
    <row r="28" spans="1:13">
      <c r="A28">
        <v>128</v>
      </c>
      <c r="B28" t="s">
        <v>134</v>
      </c>
      <c r="C28" t="s">
        <v>127</v>
      </c>
      <c r="D28" t="s">
        <v>7</v>
      </c>
      <c r="E28" t="s">
        <v>135</v>
      </c>
      <c r="F28">
        <v>8.3000000000000007</v>
      </c>
      <c r="G28" t="s">
        <v>103</v>
      </c>
      <c r="H28">
        <v>1</v>
      </c>
      <c r="I28">
        <f>_xlfn.XLOOKUP(Movies_1[[#This Row],[Movie_id]],Financials[movie_id],Financials[budget],"not Avialable")</f>
        <v>120</v>
      </c>
      <c r="J28">
        <f>VLOOKUP(Movies_1[[#This Row],[Movie_id]],Financials[],2,FALSE)</f>
        <v>120</v>
      </c>
      <c r="K28">
        <f>_xlfn.XLOOKUP(Movies_1[[#This Row],[Movie_id]],Financials[movie_id],Financials[revenue],"not avialable")</f>
        <v>1350</v>
      </c>
      <c r="L28" t="str">
        <f>_xlfn.XLOOKUP(Movies_1[[#This Row],[Movie_id]],Financials[movie_id],Financials[unit],TRUE)</f>
        <v>Millions</v>
      </c>
      <c r="M28" t="str">
        <f t="shared" si="0"/>
        <v>Matched</v>
      </c>
    </row>
    <row r="29" spans="1:13">
      <c r="A29">
        <v>129</v>
      </c>
      <c r="B29" t="s">
        <v>136</v>
      </c>
      <c r="C29" t="s">
        <v>127</v>
      </c>
      <c r="D29" t="s">
        <v>7</v>
      </c>
      <c r="E29" t="s">
        <v>137</v>
      </c>
      <c r="F29">
        <v>8.1</v>
      </c>
      <c r="G29" t="s">
        <v>54</v>
      </c>
      <c r="H29">
        <v>1</v>
      </c>
      <c r="I29">
        <f>_xlfn.XLOOKUP(Movies_1[[#This Row],[Movie_id]],Financials[movie_id],Financials[budget],"not Avialable")</f>
        <v>100</v>
      </c>
      <c r="J29">
        <f>VLOOKUP(Movies_1[[#This Row],[Movie_id]],Financials[],2,FALSE)</f>
        <v>100</v>
      </c>
      <c r="K29">
        <f>_xlfn.XLOOKUP(Movies_1[[#This Row],[Movie_id]],Financials[movie_id],Financials[revenue],"not avialable")</f>
        <v>410</v>
      </c>
      <c r="L29" t="str">
        <f>_xlfn.XLOOKUP(Movies_1[[#This Row],[Movie_id]],Financials[movie_id],Financials[unit],TRUE)</f>
        <v>Millions</v>
      </c>
      <c r="M29" t="str">
        <f t="shared" si="0"/>
        <v>Matched</v>
      </c>
    </row>
    <row r="30" spans="1:13">
      <c r="A30">
        <v>124</v>
      </c>
      <c r="B30" t="s">
        <v>126</v>
      </c>
      <c r="C30" t="s">
        <v>127</v>
      </c>
      <c r="D30" t="s">
        <v>10</v>
      </c>
      <c r="E30" t="s">
        <v>127</v>
      </c>
      <c r="F30">
        <v>8.5</v>
      </c>
      <c r="G30" t="s">
        <v>103</v>
      </c>
      <c r="H30">
        <v>5</v>
      </c>
      <c r="I30">
        <f>_xlfn.XLOOKUP(Movies_1[[#This Row],[Movie_id]],Financials[movie_id],Financials[budget],"not Avialable")</f>
        <v>15.5</v>
      </c>
      <c r="J30">
        <f>VLOOKUP(Movies_1[[#This Row],[Movie_id]],Financials[],2,FALSE)</f>
        <v>15.5</v>
      </c>
      <c r="K30">
        <f>_xlfn.XLOOKUP(Movies_1[[#This Row],[Movie_id]],Financials[movie_id],Financials[revenue],"not avialable")</f>
        <v>263.10000000000002</v>
      </c>
      <c r="L30" t="str">
        <f>_xlfn.XLOOKUP(Movies_1[[#This Row],[Movie_id]],Financials[movie_id],Financials[unit],TRUE)</f>
        <v>Millions</v>
      </c>
      <c r="M30" t="str">
        <f t="shared" si="0"/>
        <v>Matched</v>
      </c>
    </row>
    <row r="31" spans="1:13">
      <c r="A31">
        <v>105</v>
      </c>
      <c r="B31" t="s">
        <v>92</v>
      </c>
      <c r="C31" t="s">
        <v>127</v>
      </c>
      <c r="D31" t="s">
        <v>10</v>
      </c>
      <c r="E31" t="s">
        <v>85</v>
      </c>
      <c r="F31">
        <v>6.8</v>
      </c>
      <c r="G31" t="s">
        <v>11</v>
      </c>
      <c r="H31">
        <v>5</v>
      </c>
      <c r="I31">
        <f>_xlfn.XLOOKUP(Movies_1[[#This Row],[Movie_id]],Financials[movie_id],Financials[budget],"not Avialable")</f>
        <v>250</v>
      </c>
      <c r="J31">
        <f>VLOOKUP(Movies_1[[#This Row],[Movie_id]],Financials[],2,FALSE)</f>
        <v>250</v>
      </c>
      <c r="K31">
        <f>_xlfn.XLOOKUP(Movies_1[[#This Row],[Movie_id]],Financials[movie_id],Financials[revenue],"not avialable")</f>
        <v>670</v>
      </c>
      <c r="L31" t="str">
        <f>_xlfn.XLOOKUP(Movies_1[[#This Row],[Movie_id]],Financials[movie_id],Financials[unit],TRUE)</f>
        <v>Millions</v>
      </c>
      <c r="M31" t="str">
        <f t="shared" si="0"/>
        <v>Matched</v>
      </c>
    </row>
    <row r="32" spans="1:13">
      <c r="A32">
        <v>130</v>
      </c>
      <c r="B32" t="s">
        <v>138</v>
      </c>
      <c r="C32" t="s">
        <v>130</v>
      </c>
      <c r="D32" t="s">
        <v>7</v>
      </c>
      <c r="E32" t="s">
        <v>109</v>
      </c>
      <c r="F32">
        <v>8.1</v>
      </c>
      <c r="G32" t="s">
        <v>56</v>
      </c>
      <c r="H32">
        <v>1</v>
      </c>
      <c r="I32">
        <f>_xlfn.XLOOKUP(Movies_1[[#This Row],[Movie_id]],Financials[movie_id],Financials[budget],"not Avialable")</f>
        <v>850</v>
      </c>
      <c r="J32">
        <f>VLOOKUP(Movies_1[[#This Row],[Movie_id]],Financials[],2,FALSE)</f>
        <v>850</v>
      </c>
      <c r="K32">
        <f>_xlfn.XLOOKUP(Movies_1[[#This Row],[Movie_id]],Financials[movie_id],Financials[revenue],"not avialable")</f>
        <v>8540</v>
      </c>
      <c r="L32" t="str">
        <f>_xlfn.XLOOKUP(Movies_1[[#This Row],[Movie_id]],Financials[movie_id],Financials[unit],TRUE)</f>
        <v>Millions</v>
      </c>
      <c r="M32" t="str">
        <f t="shared" si="0"/>
        <v>Matched</v>
      </c>
    </row>
    <row r="33" spans="1:13">
      <c r="A33">
        <v>131</v>
      </c>
      <c r="B33" t="s">
        <v>139</v>
      </c>
      <c r="C33" t="s">
        <v>132</v>
      </c>
      <c r="D33" t="s">
        <v>7</v>
      </c>
      <c r="E33" t="s">
        <v>130</v>
      </c>
      <c r="F33">
        <v>0</v>
      </c>
      <c r="G33" t="s">
        <v>56</v>
      </c>
      <c r="H33">
        <v>1</v>
      </c>
      <c r="I33">
        <f>_xlfn.XLOOKUP(Movies_1[[#This Row],[Movie_id]],Financials[movie_id],Financials[budget],"not Avialable")</f>
        <v>1</v>
      </c>
      <c r="J33">
        <f>VLOOKUP(Movies_1[[#This Row],[Movie_id]],Financials[],2,FALSE)</f>
        <v>1</v>
      </c>
      <c r="K33">
        <f>_xlfn.XLOOKUP(Movies_1[[#This Row],[Movie_id]],Financials[movie_id],Financials[revenue],"not avialable")</f>
        <v>5.9</v>
      </c>
      <c r="L33" t="str">
        <f>_xlfn.XLOOKUP(Movies_1[[#This Row],[Movie_id]],Financials[movie_id],Financials[unit],TRUE)</f>
        <v>Billions</v>
      </c>
      <c r="M33" t="str">
        <f t="shared" si="0"/>
        <v>Matched</v>
      </c>
    </row>
    <row r="34" spans="1:13">
      <c r="A34">
        <v>132</v>
      </c>
      <c r="B34" t="s">
        <v>140</v>
      </c>
      <c r="C34" t="s">
        <v>135</v>
      </c>
      <c r="D34" t="s">
        <v>7</v>
      </c>
      <c r="E34" t="s">
        <v>141</v>
      </c>
      <c r="F34">
        <v>7.6</v>
      </c>
      <c r="G34" t="s">
        <v>60</v>
      </c>
      <c r="H34">
        <v>2</v>
      </c>
      <c r="I34">
        <f>_xlfn.XLOOKUP(Movies_1[[#This Row],[Movie_id]],Financials[movie_id],Financials[budget],"not Avialable")</f>
        <v>2</v>
      </c>
      <c r="J34">
        <f>VLOOKUP(Movies_1[[#This Row],[Movie_id]],Financials[],2,FALSE)</f>
        <v>2</v>
      </c>
      <c r="K34">
        <f>_xlfn.XLOOKUP(Movies_1[[#This Row],[Movie_id]],Financials[movie_id],Financials[revenue],"not avialable")</f>
        <v>3.6</v>
      </c>
      <c r="L34" t="str">
        <f>_xlfn.XLOOKUP(Movies_1[[#This Row],[Movie_id]],Financials[movie_id],Financials[unit],TRUE)</f>
        <v>Billions</v>
      </c>
      <c r="M34" t="str">
        <f t="shared" si="0"/>
        <v>Matched</v>
      </c>
    </row>
    <row r="35" spans="1:13">
      <c r="A35">
        <v>133</v>
      </c>
      <c r="B35" t="s">
        <v>142</v>
      </c>
      <c r="C35" t="s">
        <v>137</v>
      </c>
      <c r="D35" t="s">
        <v>7</v>
      </c>
      <c r="E35" t="s">
        <v>85</v>
      </c>
      <c r="F35">
        <v>8</v>
      </c>
      <c r="G35" t="s">
        <v>62</v>
      </c>
      <c r="H35">
        <v>2</v>
      </c>
      <c r="I35">
        <f>_xlfn.XLOOKUP(Movies_1[[#This Row],[Movie_id]],Financials[movie_id],Financials[budget],"not Avialable")</f>
        <v>5.5</v>
      </c>
      <c r="J35">
        <f>VLOOKUP(Movies_1[[#This Row],[Movie_id]],Financials[],2,FALSE)</f>
        <v>5.5</v>
      </c>
      <c r="K35">
        <f>_xlfn.XLOOKUP(Movies_1[[#This Row],[Movie_id]],Financials[movie_id],Financials[revenue],"not avialable")</f>
        <v>12</v>
      </c>
      <c r="L35" t="str">
        <f>_xlfn.XLOOKUP(Movies_1[[#This Row],[Movie_id]],Financials[movie_id],Financials[unit],TRUE)</f>
        <v>Billions</v>
      </c>
      <c r="M35" t="str">
        <f t="shared" si="0"/>
        <v>Matched</v>
      </c>
    </row>
    <row r="36" spans="1:13">
      <c r="A36">
        <v>134</v>
      </c>
      <c r="B36" t="s">
        <v>143</v>
      </c>
      <c r="C36" t="s">
        <v>109</v>
      </c>
      <c r="D36" t="s">
        <v>7</v>
      </c>
      <c r="E36" t="s">
        <v>102</v>
      </c>
      <c r="F36">
        <v>8</v>
      </c>
      <c r="G36" t="s">
        <v>64</v>
      </c>
      <c r="H36">
        <v>2</v>
      </c>
      <c r="I36">
        <f>_xlfn.XLOOKUP(Movies_1[[#This Row],[Movie_id]],Financials[movie_id],Financials[budget],"not Avialable")</f>
        <v>1.8</v>
      </c>
      <c r="J36">
        <f>VLOOKUP(Movies_1[[#This Row],[Movie_id]],Financials[],2,FALSE)</f>
        <v>1.8</v>
      </c>
      <c r="K36">
        <f>_xlfn.XLOOKUP(Movies_1[[#This Row],[Movie_id]],Financials[movie_id],Financials[revenue],"not avialable")</f>
        <v>6.5</v>
      </c>
      <c r="L36" t="str">
        <f>_xlfn.XLOOKUP(Movies_1[[#This Row],[Movie_id]],Financials[movie_id],Financials[unit],TRUE)</f>
        <v>Billions</v>
      </c>
      <c r="M36" t="str">
        <f t="shared" si="0"/>
        <v>Matched</v>
      </c>
    </row>
    <row r="37" spans="1:13">
      <c r="A37">
        <v>135</v>
      </c>
      <c r="B37" t="s">
        <v>144</v>
      </c>
      <c r="C37" t="s">
        <v>130</v>
      </c>
      <c r="D37" t="s">
        <v>7</v>
      </c>
      <c r="E37" t="s">
        <v>85</v>
      </c>
      <c r="F37">
        <v>8.3000000000000007</v>
      </c>
      <c r="G37" t="s">
        <v>66</v>
      </c>
      <c r="H37">
        <v>1</v>
      </c>
      <c r="I37">
        <f>_xlfn.XLOOKUP(Movies_1[[#This Row],[Movie_id]],Financials[movie_id],Financials[budget],"not Avialable")</f>
        <v>250</v>
      </c>
      <c r="J37">
        <f>VLOOKUP(Movies_1[[#This Row],[Movie_id]],Financials[],2,FALSE)</f>
        <v>250</v>
      </c>
      <c r="K37">
        <f>_xlfn.XLOOKUP(Movies_1[[#This Row],[Movie_id]],Financials[movie_id],Financials[revenue],"not avialable")</f>
        <v>3409</v>
      </c>
      <c r="L37" t="str">
        <f>_xlfn.XLOOKUP(Movies_1[[#This Row],[Movie_id]],Financials[movie_id],Financials[unit],TRUE)</f>
        <v>Millions</v>
      </c>
      <c r="M37" t="str">
        <f t="shared" si="0"/>
        <v>Matched</v>
      </c>
    </row>
    <row r="38" spans="1:13">
      <c r="A38">
        <v>136</v>
      </c>
      <c r="B38" t="s">
        <v>145</v>
      </c>
      <c r="C38" t="s">
        <v>141</v>
      </c>
      <c r="D38" t="s">
        <v>7</v>
      </c>
      <c r="E38" t="s">
        <v>102</v>
      </c>
      <c r="F38">
        <v>8.1</v>
      </c>
      <c r="G38" t="s">
        <v>68</v>
      </c>
      <c r="H38">
        <v>1</v>
      </c>
      <c r="I38">
        <f>_xlfn.XLOOKUP(Movies_1[[#This Row],[Movie_id]],Financials[movie_id],Financials[budget],"not Avialable")</f>
        <v>900</v>
      </c>
      <c r="J38">
        <f>VLOOKUP(Movies_1[[#This Row],[Movie_id]],Financials[],2,FALSE)</f>
        <v>900</v>
      </c>
      <c r="K38">
        <f>_xlfn.XLOOKUP(Movies_1[[#This Row],[Movie_id]],Financials[movie_id],Financials[revenue],"not avialable")</f>
        <v>11690</v>
      </c>
      <c r="L38" t="str">
        <f>_xlfn.XLOOKUP(Movies_1[[#This Row],[Movie_id]],Financials[movie_id],Financials[unit],TRUE)</f>
        <v>Millions</v>
      </c>
      <c r="M38" t="str">
        <f t="shared" si="0"/>
        <v>Matched</v>
      </c>
    </row>
    <row r="39" spans="1:13">
      <c r="A39">
        <v>137</v>
      </c>
      <c r="B39" t="s">
        <v>146</v>
      </c>
      <c r="C39" t="s">
        <v>85</v>
      </c>
      <c r="D39" t="s">
        <v>10</v>
      </c>
      <c r="E39" t="s">
        <v>147</v>
      </c>
      <c r="F39">
        <v>6.9</v>
      </c>
      <c r="G39" t="s">
        <v>11</v>
      </c>
      <c r="H39">
        <v>5</v>
      </c>
      <c r="I39">
        <f>_xlfn.XLOOKUP(Movies_1[[#This Row],[Movie_id]],Financials[movie_id],Financials[budget],"not Avialable")</f>
        <v>216.7</v>
      </c>
      <c r="J39">
        <f>VLOOKUP(Movies_1[[#This Row],[Movie_id]],Financials[],2,FALSE)</f>
        <v>216.7</v>
      </c>
      <c r="K39">
        <f>_xlfn.XLOOKUP(Movies_1[[#This Row],[Movie_id]],Financials[movie_id],Financials[revenue],"not avialable")</f>
        <v>370.6</v>
      </c>
      <c r="L39" t="str">
        <f>_xlfn.XLOOKUP(Movies_1[[#This Row],[Movie_id]],Financials[movie_id],Financials[unit],TRUE)</f>
        <v>Millions</v>
      </c>
      <c r="M39" t="str">
        <f t="shared" si="0"/>
        <v>Matched</v>
      </c>
    </row>
    <row r="40" spans="1:13">
      <c r="A40">
        <v>138</v>
      </c>
      <c r="B40" t="s">
        <v>148</v>
      </c>
      <c r="C40" t="s">
        <v>102</v>
      </c>
      <c r="D40" t="s">
        <v>10</v>
      </c>
      <c r="E40" t="s">
        <v>109</v>
      </c>
      <c r="F40">
        <v>7.8</v>
      </c>
      <c r="G40" t="s">
        <v>11</v>
      </c>
      <c r="H40">
        <v>5</v>
      </c>
      <c r="I40">
        <f>_xlfn.XLOOKUP(Movies_1[[#This Row],[Movie_id]],Financials[movie_id],Financials[budget],"not Avialable")</f>
        <v>177</v>
      </c>
      <c r="J40">
        <f>VLOOKUP(Movies_1[[#This Row],[Movie_id]],Financials[],2,FALSE)</f>
        <v>177</v>
      </c>
      <c r="K40">
        <f>_xlfn.XLOOKUP(Movies_1[[#This Row],[Movie_id]],Financials[movie_id],Financials[revenue],"not avialable")</f>
        <v>714.4</v>
      </c>
      <c r="L40" t="str">
        <f>_xlfn.XLOOKUP(Movies_1[[#This Row],[Movie_id]],Financials[movie_id],Financials[unit],TRUE)</f>
        <v>Millions</v>
      </c>
      <c r="M40" t="str">
        <f t="shared" si="0"/>
        <v>Matched</v>
      </c>
    </row>
    <row r="41" spans="1:13">
      <c r="A41">
        <v>139</v>
      </c>
      <c r="B41" t="s">
        <v>149</v>
      </c>
      <c r="C41" t="s">
        <v>85</v>
      </c>
      <c r="D41" t="s">
        <v>7</v>
      </c>
      <c r="E41" t="s">
        <v>130</v>
      </c>
      <c r="F41">
        <v>1.9</v>
      </c>
      <c r="G41" t="s">
        <v>68</v>
      </c>
      <c r="H41">
        <v>1</v>
      </c>
      <c r="I41">
        <f>_xlfn.XLOOKUP(Movies_1[[#This Row],[Movie_id]],Financials[movie_id],Financials[budget],"not Avialable")</f>
        <v>1.8</v>
      </c>
      <c r="J41">
        <f>VLOOKUP(Movies_1[[#This Row],[Movie_id]],Financials[],2,FALSE)</f>
        <v>1.8</v>
      </c>
      <c r="K41">
        <f>_xlfn.XLOOKUP(Movies_1[[#This Row],[Movie_id]],Financials[movie_id],Financials[revenue],"not avialable")</f>
        <v>3.1</v>
      </c>
      <c r="L41" t="str">
        <f>_xlfn.XLOOKUP(Movies_1[[#This Row],[Movie_id]],Financials[movie_id],Financials[unit],TRUE)</f>
        <v>Billions</v>
      </c>
      <c r="M41" t="str">
        <f t="shared" si="0"/>
        <v>Matched</v>
      </c>
    </row>
    <row r="42" spans="1:13">
      <c r="A42">
        <v>140</v>
      </c>
      <c r="B42" t="s">
        <v>150</v>
      </c>
      <c r="C42" t="s">
        <v>141</v>
      </c>
      <c r="D42" t="s">
        <v>7</v>
      </c>
      <c r="E42" t="s">
        <v>141</v>
      </c>
      <c r="F42">
        <v>8.4</v>
      </c>
      <c r="G42" t="s">
        <v>23</v>
      </c>
      <c r="H42">
        <v>1</v>
      </c>
      <c r="I42">
        <f>_xlfn.XLOOKUP(Movies_1[[#This Row],[Movie_id]],Financials[movie_id],Financials[budget],"not Avialable")</f>
        <v>500</v>
      </c>
      <c r="J42">
        <f>VLOOKUP(Movies_1[[#This Row],[Movie_id]],Financials[],2,FALSE)</f>
        <v>500</v>
      </c>
      <c r="K42">
        <f>_xlfn.XLOOKUP(Movies_1[[#This Row],[Movie_id]],Financials[movie_id],Financials[revenue],"not avialable")</f>
        <v>950</v>
      </c>
      <c r="L42" t="str">
        <f>_xlfn.XLOOKUP(Movies_1[[#This Row],[Movie_id]],Financials[movie_id],Financials[unit],TRUE)</f>
        <v>Millions</v>
      </c>
      <c r="M42" t="str">
        <f t="shared" si="0"/>
        <v>Matched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CB29-7016-4006-9A2C-9C3E4173BA9D}">
  <sheetPr codeName="Sheet6"/>
  <dimension ref="A1:P41"/>
  <sheetViews>
    <sheetView zoomScale="104" zoomScaleNormal="104" workbookViewId="0">
      <selection activeCell="O7" sqref="O7"/>
    </sheetView>
  </sheetViews>
  <sheetFormatPr defaultRowHeight="14.5"/>
  <cols>
    <col min="1" max="1" width="10.6328125" bestFit="1" customWidth="1"/>
    <col min="2" max="2" width="8.90625" bestFit="1" customWidth="1"/>
    <col min="3" max="3" width="9.81640625" bestFit="1" customWidth="1"/>
    <col min="4" max="4" width="7" bestFit="1" customWidth="1"/>
    <col min="5" max="5" width="10.453125" bestFit="1" customWidth="1"/>
    <col min="9" max="9" width="10.08984375" bestFit="1" customWidth="1"/>
    <col min="10" max="10" width="14.453125" bestFit="1" customWidth="1"/>
  </cols>
  <sheetData>
    <row r="1" spans="1:16" ht="2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H1" s="8" t="s">
        <v>157</v>
      </c>
      <c r="I1" s="8" t="s">
        <v>158</v>
      </c>
      <c r="J1" s="8" t="s">
        <v>159</v>
      </c>
      <c r="L1" s="8"/>
      <c r="M1" s="8" t="s">
        <v>160</v>
      </c>
      <c r="N1" s="7">
        <v>2</v>
      </c>
      <c r="O1" s="7">
        <v>3</v>
      </c>
      <c r="P1" s="7"/>
    </row>
    <row r="2" spans="1:16">
      <c r="A2">
        <v>101</v>
      </c>
      <c r="B2">
        <v>1</v>
      </c>
      <c r="C2">
        <v>12.5</v>
      </c>
      <c r="D2" t="s">
        <v>78</v>
      </c>
      <c r="E2" t="s">
        <v>79</v>
      </c>
      <c r="H2">
        <v>1000</v>
      </c>
      <c r="I2" s="6">
        <v>0.18</v>
      </c>
      <c r="J2">
        <f>H2*$I$2</f>
        <v>180</v>
      </c>
      <c r="L2">
        <v>1</v>
      </c>
      <c r="M2">
        <v>10</v>
      </c>
      <c r="N2">
        <f>$M2*$N$1</f>
        <v>20</v>
      </c>
      <c r="O2">
        <f>$L2*$O$1</f>
        <v>3</v>
      </c>
    </row>
    <row r="3" spans="1:16">
      <c r="A3">
        <v>102</v>
      </c>
      <c r="B3">
        <v>200</v>
      </c>
      <c r="C3">
        <v>954.8</v>
      </c>
      <c r="D3" t="s">
        <v>80</v>
      </c>
      <c r="E3" t="s">
        <v>81</v>
      </c>
      <c r="H3">
        <v>1500</v>
      </c>
      <c r="J3">
        <f t="shared" ref="J3:J5" si="0">H3*$I$2</f>
        <v>270</v>
      </c>
      <c r="L3">
        <v>2</v>
      </c>
      <c r="M3">
        <v>20</v>
      </c>
      <c r="N3">
        <f t="shared" ref="N3:N4" si="1">$M3*$N$1</f>
        <v>40</v>
      </c>
      <c r="O3">
        <f t="shared" ref="O3:O11" si="2">$L3*$O$1</f>
        <v>6</v>
      </c>
    </row>
    <row r="4" spans="1:16">
      <c r="A4">
        <v>103</v>
      </c>
      <c r="B4">
        <v>165</v>
      </c>
      <c r="C4">
        <v>644.79999999999995</v>
      </c>
      <c r="D4" t="s">
        <v>80</v>
      </c>
      <c r="E4" t="s">
        <v>81</v>
      </c>
      <c r="H4">
        <v>2000</v>
      </c>
      <c r="J4">
        <f t="shared" si="0"/>
        <v>360</v>
      </c>
      <c r="L4">
        <v>3</v>
      </c>
      <c r="M4">
        <v>30</v>
      </c>
      <c r="N4">
        <f t="shared" si="1"/>
        <v>60</v>
      </c>
      <c r="O4">
        <f t="shared" si="2"/>
        <v>9</v>
      </c>
    </row>
    <row r="5" spans="1:16">
      <c r="A5">
        <v>104</v>
      </c>
      <c r="B5">
        <v>180</v>
      </c>
      <c r="C5">
        <v>854</v>
      </c>
      <c r="D5" t="s">
        <v>80</v>
      </c>
      <c r="E5" t="s">
        <v>81</v>
      </c>
      <c r="H5">
        <v>3000</v>
      </c>
      <c r="J5">
        <f t="shared" si="0"/>
        <v>540</v>
      </c>
      <c r="L5">
        <v>4</v>
      </c>
      <c r="M5">
        <v>40</v>
      </c>
      <c r="N5">
        <f>$M5*$N$1</f>
        <v>80</v>
      </c>
      <c r="O5">
        <f t="shared" si="2"/>
        <v>12</v>
      </c>
    </row>
    <row r="6" spans="1:16">
      <c r="A6">
        <v>105</v>
      </c>
      <c r="B6">
        <v>250</v>
      </c>
      <c r="C6">
        <v>670</v>
      </c>
      <c r="D6" t="s">
        <v>80</v>
      </c>
      <c r="E6" t="s">
        <v>81</v>
      </c>
      <c r="L6">
        <v>5</v>
      </c>
      <c r="O6">
        <f t="shared" si="2"/>
        <v>15</v>
      </c>
    </row>
    <row r="7" spans="1:16">
      <c r="A7">
        <v>107</v>
      </c>
      <c r="B7">
        <v>400</v>
      </c>
      <c r="C7">
        <v>2000</v>
      </c>
      <c r="D7" t="s">
        <v>80</v>
      </c>
      <c r="E7" t="s">
        <v>79</v>
      </c>
      <c r="L7">
        <v>6</v>
      </c>
      <c r="O7">
        <f t="shared" si="2"/>
        <v>18</v>
      </c>
    </row>
    <row r="8" spans="1:16">
      <c r="A8">
        <v>108</v>
      </c>
      <c r="B8">
        <v>550</v>
      </c>
      <c r="C8">
        <v>4000</v>
      </c>
      <c r="D8" t="s">
        <v>80</v>
      </c>
      <c r="E8" t="s">
        <v>79</v>
      </c>
      <c r="L8">
        <v>7</v>
      </c>
      <c r="O8">
        <f t="shared" si="2"/>
        <v>21</v>
      </c>
    </row>
    <row r="9" spans="1:16">
      <c r="A9">
        <v>109</v>
      </c>
      <c r="B9">
        <v>390</v>
      </c>
      <c r="C9">
        <v>1360</v>
      </c>
      <c r="D9" t="s">
        <v>80</v>
      </c>
      <c r="E9" t="s">
        <v>79</v>
      </c>
      <c r="L9">
        <v>8</v>
      </c>
      <c r="O9">
        <f t="shared" si="2"/>
        <v>24</v>
      </c>
    </row>
    <row r="10" spans="1:16">
      <c r="A10">
        <v>110</v>
      </c>
      <c r="B10">
        <v>1.4</v>
      </c>
      <c r="C10">
        <v>3.5</v>
      </c>
      <c r="D10" t="s">
        <v>78</v>
      </c>
      <c r="E10" t="s">
        <v>79</v>
      </c>
      <c r="L10">
        <v>9</v>
      </c>
      <c r="O10">
        <f t="shared" si="2"/>
        <v>27</v>
      </c>
    </row>
    <row r="11" spans="1:16">
      <c r="A11">
        <v>111</v>
      </c>
      <c r="B11">
        <v>25</v>
      </c>
      <c r="C11">
        <v>73.3</v>
      </c>
      <c r="D11" t="s">
        <v>80</v>
      </c>
      <c r="E11" t="s">
        <v>81</v>
      </c>
      <c r="L11">
        <v>10</v>
      </c>
      <c r="O11">
        <f t="shared" si="2"/>
        <v>30</v>
      </c>
    </row>
    <row r="12" spans="1:16">
      <c r="A12">
        <v>113</v>
      </c>
      <c r="B12">
        <v>165</v>
      </c>
      <c r="C12">
        <v>701.8</v>
      </c>
      <c r="D12" t="s">
        <v>80</v>
      </c>
      <c r="E12" t="s">
        <v>81</v>
      </c>
    </row>
    <row r="13" spans="1:16">
      <c r="A13">
        <v>114</v>
      </c>
      <c r="B13">
        <v>205</v>
      </c>
      <c r="C13">
        <v>365.3</v>
      </c>
      <c r="D13" t="s">
        <v>80</v>
      </c>
      <c r="E13" t="s">
        <v>81</v>
      </c>
    </row>
    <row r="14" spans="1:16">
      <c r="A14">
        <v>115</v>
      </c>
      <c r="B14">
        <v>55</v>
      </c>
      <c r="C14">
        <v>307.10000000000002</v>
      </c>
      <c r="D14" t="s">
        <v>80</v>
      </c>
      <c r="E14" t="s">
        <v>81</v>
      </c>
    </row>
    <row r="15" spans="1:16">
      <c r="A15">
        <v>116</v>
      </c>
      <c r="B15">
        <v>103</v>
      </c>
      <c r="C15">
        <v>460.5</v>
      </c>
      <c r="D15" t="s">
        <v>80</v>
      </c>
      <c r="E15" t="s">
        <v>81</v>
      </c>
    </row>
    <row r="16" spans="1:16">
      <c r="A16">
        <v>117</v>
      </c>
      <c r="B16">
        <v>200</v>
      </c>
      <c r="C16">
        <v>2202</v>
      </c>
      <c r="D16" t="s">
        <v>80</v>
      </c>
      <c r="E16" t="s">
        <v>81</v>
      </c>
    </row>
    <row r="17" spans="1:5">
      <c r="A17">
        <v>118</v>
      </c>
      <c r="B17">
        <v>3.18</v>
      </c>
      <c r="C17">
        <v>3.3</v>
      </c>
      <c r="D17" t="s">
        <v>80</v>
      </c>
      <c r="E17" t="s">
        <v>81</v>
      </c>
    </row>
    <row r="18" spans="1:5">
      <c r="A18">
        <v>119</v>
      </c>
      <c r="B18">
        <v>237</v>
      </c>
      <c r="C18">
        <v>2847</v>
      </c>
      <c r="D18" t="s">
        <v>80</v>
      </c>
      <c r="E18" t="s">
        <v>81</v>
      </c>
    </row>
    <row r="19" spans="1:5">
      <c r="A19">
        <v>120</v>
      </c>
      <c r="B19">
        <v>7.2</v>
      </c>
      <c r="C19">
        <v>291</v>
      </c>
      <c r="D19" t="s">
        <v>80</v>
      </c>
      <c r="E19" t="s">
        <v>81</v>
      </c>
    </row>
    <row r="20" spans="1:5">
      <c r="A20">
        <v>121</v>
      </c>
      <c r="B20">
        <v>185</v>
      </c>
      <c r="C20">
        <v>1006</v>
      </c>
      <c r="D20" t="s">
        <v>80</v>
      </c>
      <c r="E20" t="s">
        <v>81</v>
      </c>
    </row>
    <row r="21" spans="1:5">
      <c r="A21">
        <v>122</v>
      </c>
      <c r="B21">
        <v>22</v>
      </c>
      <c r="C21">
        <v>322.2</v>
      </c>
      <c r="D21" t="s">
        <v>80</v>
      </c>
      <c r="E21" t="s">
        <v>81</v>
      </c>
    </row>
    <row r="22" spans="1:5">
      <c r="A22">
        <v>123</v>
      </c>
      <c r="B22">
        <v>63</v>
      </c>
      <c r="C22">
        <v>1046</v>
      </c>
      <c r="D22" t="s">
        <v>80</v>
      </c>
      <c r="E22" t="s">
        <v>81</v>
      </c>
    </row>
    <row r="23" spans="1:5">
      <c r="A23">
        <v>124</v>
      </c>
      <c r="B23">
        <v>15.5</v>
      </c>
      <c r="C23">
        <v>263.10000000000002</v>
      </c>
      <c r="D23" t="s">
        <v>80</v>
      </c>
      <c r="E23" t="s">
        <v>81</v>
      </c>
    </row>
    <row r="24" spans="1:5">
      <c r="A24">
        <v>125</v>
      </c>
      <c r="B24">
        <v>400</v>
      </c>
      <c r="C24">
        <v>2798</v>
      </c>
      <c r="D24" t="s">
        <v>80</v>
      </c>
      <c r="E24" t="s">
        <v>81</v>
      </c>
    </row>
    <row r="25" spans="1:5">
      <c r="A25">
        <v>126</v>
      </c>
      <c r="B25">
        <v>400</v>
      </c>
      <c r="C25">
        <v>2048</v>
      </c>
      <c r="D25" t="s">
        <v>80</v>
      </c>
      <c r="E25" t="s">
        <v>81</v>
      </c>
    </row>
    <row r="26" spans="1:5">
      <c r="A26">
        <v>127</v>
      </c>
      <c r="B26">
        <v>70</v>
      </c>
      <c r="C26">
        <v>100</v>
      </c>
      <c r="D26" t="s">
        <v>80</v>
      </c>
      <c r="E26" t="s">
        <v>79</v>
      </c>
    </row>
    <row r="27" spans="1:5">
      <c r="A27">
        <v>128</v>
      </c>
      <c r="B27">
        <v>120</v>
      </c>
      <c r="C27">
        <v>1350</v>
      </c>
      <c r="D27" t="s">
        <v>80</v>
      </c>
      <c r="E27" t="s">
        <v>79</v>
      </c>
    </row>
    <row r="28" spans="1:5">
      <c r="A28">
        <v>129</v>
      </c>
      <c r="B28">
        <v>100</v>
      </c>
      <c r="C28">
        <v>410</v>
      </c>
      <c r="D28" t="s">
        <v>80</v>
      </c>
      <c r="E28" t="s">
        <v>79</v>
      </c>
    </row>
    <row r="29" spans="1:5">
      <c r="A29">
        <v>130</v>
      </c>
      <c r="B29">
        <v>850</v>
      </c>
      <c r="C29">
        <v>8540</v>
      </c>
      <c r="D29" t="s">
        <v>80</v>
      </c>
      <c r="E29" t="s">
        <v>79</v>
      </c>
    </row>
    <row r="30" spans="1:5">
      <c r="A30">
        <v>131</v>
      </c>
      <c r="B30">
        <v>1</v>
      </c>
      <c r="C30">
        <v>5.9</v>
      </c>
      <c r="D30" t="s">
        <v>78</v>
      </c>
      <c r="E30" t="s">
        <v>79</v>
      </c>
    </row>
    <row r="31" spans="1:5">
      <c r="A31">
        <v>132</v>
      </c>
      <c r="B31">
        <v>2</v>
      </c>
      <c r="C31">
        <v>3.6</v>
      </c>
      <c r="D31" t="s">
        <v>78</v>
      </c>
      <c r="E31" t="s">
        <v>79</v>
      </c>
    </row>
    <row r="32" spans="1:5">
      <c r="A32">
        <v>133</v>
      </c>
      <c r="B32">
        <v>5.5</v>
      </c>
      <c r="C32">
        <v>12</v>
      </c>
      <c r="D32" t="s">
        <v>78</v>
      </c>
      <c r="E32" t="s">
        <v>79</v>
      </c>
    </row>
    <row r="33" spans="1:5">
      <c r="A33">
        <v>134</v>
      </c>
      <c r="B33">
        <v>1.8</v>
      </c>
      <c r="C33">
        <v>6.5</v>
      </c>
      <c r="D33" t="s">
        <v>78</v>
      </c>
      <c r="E33" t="s">
        <v>79</v>
      </c>
    </row>
    <row r="34" spans="1:5">
      <c r="A34">
        <v>135</v>
      </c>
      <c r="B34">
        <v>250</v>
      </c>
      <c r="C34">
        <v>3409</v>
      </c>
      <c r="D34" t="s">
        <v>80</v>
      </c>
      <c r="E34" t="s">
        <v>79</v>
      </c>
    </row>
    <row r="35" spans="1:5">
      <c r="A35">
        <v>136</v>
      </c>
      <c r="B35">
        <v>900</v>
      </c>
      <c r="C35">
        <v>11690</v>
      </c>
      <c r="D35" t="s">
        <v>80</v>
      </c>
      <c r="E35" t="s">
        <v>79</v>
      </c>
    </row>
    <row r="36" spans="1:5">
      <c r="A36">
        <v>137</v>
      </c>
      <c r="B36">
        <v>216.7</v>
      </c>
      <c r="C36">
        <v>370.6</v>
      </c>
      <c r="D36" t="s">
        <v>80</v>
      </c>
      <c r="E36" t="s">
        <v>81</v>
      </c>
    </row>
    <row r="37" spans="1:5">
      <c r="A37">
        <v>138</v>
      </c>
      <c r="B37">
        <v>177</v>
      </c>
      <c r="C37">
        <v>714.4</v>
      </c>
      <c r="D37" t="s">
        <v>80</v>
      </c>
      <c r="E37" t="s">
        <v>81</v>
      </c>
    </row>
    <row r="38" spans="1:5">
      <c r="A38">
        <v>139</v>
      </c>
      <c r="B38">
        <v>1.8</v>
      </c>
      <c r="C38">
        <v>3.1</v>
      </c>
      <c r="D38" t="s">
        <v>78</v>
      </c>
      <c r="E38" t="s">
        <v>79</v>
      </c>
    </row>
    <row r="39" spans="1:5">
      <c r="A39">
        <v>140</v>
      </c>
      <c r="B39">
        <v>500</v>
      </c>
      <c r="C39">
        <v>950</v>
      </c>
      <c r="D39" t="s">
        <v>80</v>
      </c>
      <c r="E39" t="s">
        <v>79</v>
      </c>
    </row>
    <row r="40" spans="1:5">
      <c r="A40">
        <v>406</v>
      </c>
      <c r="B40">
        <v>30</v>
      </c>
      <c r="C40">
        <v>350</v>
      </c>
      <c r="D40" t="s">
        <v>80</v>
      </c>
      <c r="E40" t="s">
        <v>79</v>
      </c>
    </row>
    <row r="41" spans="1:5">
      <c r="A41">
        <v>412</v>
      </c>
      <c r="B41">
        <v>160</v>
      </c>
      <c r="C41">
        <v>836.8</v>
      </c>
      <c r="D41" t="s">
        <v>80</v>
      </c>
      <c r="E41" t="s">
        <v>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AA88-4569-4ED4-878D-832C6246D34C}">
  <sheetPr codeName="Sheet7"/>
  <dimension ref="A1:O40"/>
  <sheetViews>
    <sheetView zoomScale="104" zoomScaleNormal="104" workbookViewId="0">
      <selection activeCell="K1" sqref="K1:K11"/>
    </sheetView>
  </sheetViews>
  <sheetFormatPr defaultRowHeight="14.5"/>
  <cols>
    <col min="1" max="1" width="10.453125" bestFit="1" customWidth="1"/>
    <col min="2" max="2" width="36.54296875" bestFit="1" customWidth="1"/>
    <col min="3" max="3" width="10" bestFit="1" customWidth="1"/>
    <col min="4" max="4" width="13.6328125" bestFit="1" customWidth="1"/>
    <col min="5" max="5" width="13.08984375" bestFit="1" customWidth="1"/>
    <col min="6" max="6" width="23.36328125" bestFit="1" customWidth="1"/>
    <col min="7" max="7" width="13.08984375" bestFit="1" customWidth="1"/>
    <col min="8" max="8" width="8.90625" bestFit="1" customWidth="1"/>
    <col min="9" max="9" width="9.81640625" bestFit="1" customWidth="1"/>
    <col min="10" max="10" width="7.1796875" bestFit="1" customWidth="1"/>
    <col min="11" max="11" width="10.453125" bestFit="1" customWidth="1"/>
    <col min="12" max="12" width="13.7265625" bestFit="1" customWidth="1"/>
    <col min="13" max="13" width="19.7265625" bestFit="1" customWidth="1"/>
    <col min="14" max="14" width="16.453125" bestFit="1" customWidth="1"/>
    <col min="15" max="15" width="16.90625" bestFit="1" customWidth="1"/>
  </cols>
  <sheetData>
    <row r="1" spans="1:15">
      <c r="A1" t="s">
        <v>82</v>
      </c>
      <c r="B1" t="s">
        <v>83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74</v>
      </c>
      <c r="I1" t="s">
        <v>75</v>
      </c>
      <c r="J1" t="s">
        <v>76</v>
      </c>
      <c r="K1" t="s">
        <v>77</v>
      </c>
      <c r="L1" t="s">
        <v>195</v>
      </c>
      <c r="M1" t="s">
        <v>166</v>
      </c>
      <c r="N1" t="s">
        <v>167</v>
      </c>
      <c r="O1" t="s">
        <v>168</v>
      </c>
    </row>
    <row r="2" spans="1:15">
      <c r="A2">
        <v>101</v>
      </c>
      <c r="B2" t="s">
        <v>84</v>
      </c>
      <c r="C2" t="s">
        <v>7</v>
      </c>
      <c r="D2" t="s">
        <v>85</v>
      </c>
      <c r="E2">
        <v>8.4</v>
      </c>
      <c r="F2" t="s">
        <v>86</v>
      </c>
      <c r="G2" t="s">
        <v>161</v>
      </c>
      <c r="H2">
        <v>1</v>
      </c>
      <c r="I2">
        <v>12.5</v>
      </c>
      <c r="J2" t="s">
        <v>78</v>
      </c>
      <c r="K2" t="s">
        <v>79</v>
      </c>
      <c r="L2" s="14">
        <v>44665</v>
      </c>
      <c r="M2" t="str" cm="1">
        <f t="array" ref="M2">_xlfn.IFS( Movie_financials[[#This Row],[revenue]]&lt;500,"Average", Movie_financials[[#This Row],[revenue]]&lt;=1000,"Hit", TRUE,"Blockbuster")</f>
        <v>Average</v>
      </c>
      <c r="N2" t="str" cm="1">
        <f t="array" ref="N2">_xlfn.IFS(Movie_financials[[#This Row],[imdb_rating]]&lt;7,"Average",Movie_financials[[#This Row],[imdb_rating]]&lt;=8.5,"Good",TRUE,"Excellent")</f>
        <v>Good</v>
      </c>
      <c r="O2" t="str" cm="1">
        <f t="array" ref="O2">_xlfn.IFS(Movie_financials[[#This Row],[budget]]&lt;50,"Low budget",Movie_financials[[#This Row],[budget]]&lt;=150,"Medium budget",TRUE,"High budget")</f>
        <v>Low budget</v>
      </c>
    </row>
    <row r="3" spans="1:15">
      <c r="A3">
        <v>102</v>
      </c>
      <c r="B3" t="s">
        <v>87</v>
      </c>
      <c r="C3" t="s">
        <v>10</v>
      </c>
      <c r="D3" t="s">
        <v>85</v>
      </c>
      <c r="E3">
        <v>7</v>
      </c>
      <c r="F3" t="s">
        <v>11</v>
      </c>
      <c r="G3" t="s">
        <v>162</v>
      </c>
      <c r="H3">
        <v>200</v>
      </c>
      <c r="I3">
        <v>954.8</v>
      </c>
      <c r="J3" t="s">
        <v>80</v>
      </c>
      <c r="K3" t="s">
        <v>81</v>
      </c>
      <c r="L3" s="14">
        <v>44687</v>
      </c>
      <c r="M3" t="str" cm="1">
        <f t="array" ref="M3">_xlfn.IFS( Movie_financials[[#This Row],[revenue]]&lt;500,"Average", Movie_financials[[#This Row],[revenue]]&lt;=1000,"Hit", TRUE,"Blockbuster")</f>
        <v>Hit</v>
      </c>
      <c r="N3" t="str" cm="1">
        <f t="array" ref="N3">_xlfn.IFS(Movie_financials[[#This Row],[imdb_rating]]&lt;7,"Average",Movie_financials[[#This Row],[imdb_rating]]&lt;=8.5,"Good",TRUE,"Excellent")</f>
        <v>Good</v>
      </c>
      <c r="O3" t="str" cm="1">
        <f t="array" ref="O3">_xlfn.IFS(Movie_financials[[#This Row],[budget]]&lt;50,"Low budget",Movie_financials[[#This Row],[budget]]&lt;=150,"Medium budget",TRUE,"High budget")</f>
        <v>High budget</v>
      </c>
    </row>
    <row r="4" spans="1:15">
      <c r="A4">
        <v>103</v>
      </c>
      <c r="B4" t="s">
        <v>88</v>
      </c>
      <c r="C4" t="s">
        <v>10</v>
      </c>
      <c r="D4" t="s">
        <v>89</v>
      </c>
      <c r="E4">
        <v>6.8</v>
      </c>
      <c r="F4" t="s">
        <v>11</v>
      </c>
      <c r="G4" t="s">
        <v>162</v>
      </c>
      <c r="H4">
        <v>165</v>
      </c>
      <c r="I4">
        <v>644.79999999999995</v>
      </c>
      <c r="J4" t="s">
        <v>80</v>
      </c>
      <c r="K4" t="s">
        <v>81</v>
      </c>
      <c r="L4" s="14">
        <v>41586</v>
      </c>
      <c r="M4" t="str" cm="1">
        <f t="array" ref="M4">_xlfn.IFS( Movie_financials[[#This Row],[revenue]]&lt;500,"Average", Movie_financials[[#This Row],[revenue]]&lt;=1000,"Hit", TRUE,"Blockbuster")</f>
        <v>Hit</v>
      </c>
      <c r="N4" t="str" cm="1">
        <f t="array" ref="N4">_xlfn.IFS(Movie_financials[[#This Row],[imdb_rating]]&lt;7,"Average",Movie_financials[[#This Row],[imdb_rating]]&lt;=8.5,"Good",TRUE,"Excellent")</f>
        <v>Average</v>
      </c>
      <c r="O4" t="str" cm="1">
        <f t="array" ref="O4">_xlfn.IFS(Movie_financials[[#This Row],[budget]]&lt;50,"Low budget",Movie_financials[[#This Row],[budget]]&lt;=150,"Medium budget",TRUE,"High budget")</f>
        <v>High budget</v>
      </c>
    </row>
    <row r="5" spans="1:15">
      <c r="A5">
        <v>104</v>
      </c>
      <c r="B5" t="s">
        <v>90</v>
      </c>
      <c r="C5" t="s">
        <v>10</v>
      </c>
      <c r="D5" t="s">
        <v>91</v>
      </c>
      <c r="E5">
        <v>7.9</v>
      </c>
      <c r="F5" t="s">
        <v>11</v>
      </c>
      <c r="G5" t="s">
        <v>162</v>
      </c>
      <c r="H5">
        <v>180</v>
      </c>
      <c r="I5">
        <v>854</v>
      </c>
      <c r="J5" t="s">
        <v>80</v>
      </c>
      <c r="K5" t="s">
        <v>81</v>
      </c>
      <c r="L5" s="14">
        <v>43042</v>
      </c>
      <c r="M5" t="str" cm="1">
        <f t="array" ref="M5">_xlfn.IFS( Movie_financials[[#This Row],[revenue]]&lt;500,"Average", Movie_financials[[#This Row],[revenue]]&lt;=1000,"Hit", TRUE,"Blockbuster")</f>
        <v>Hit</v>
      </c>
      <c r="N5" t="str" cm="1">
        <f t="array" ref="N5">_xlfn.IFS(Movie_financials[[#This Row],[imdb_rating]]&lt;7,"Average",Movie_financials[[#This Row],[imdb_rating]]&lt;=8.5,"Good",TRUE,"Excellent")</f>
        <v>Good</v>
      </c>
      <c r="O5" t="str" cm="1">
        <f t="array" ref="O5">_xlfn.IFS(Movie_financials[[#This Row],[budget]]&lt;50,"Low budget",Movie_financials[[#This Row],[budget]]&lt;=150,"Medium budget",TRUE,"High budget")</f>
        <v>High budget</v>
      </c>
    </row>
    <row r="6" spans="1:15">
      <c r="A6">
        <v>105</v>
      </c>
      <c r="B6" t="s">
        <v>92</v>
      </c>
      <c r="C6" t="s">
        <v>10</v>
      </c>
      <c r="D6" t="s">
        <v>85</v>
      </c>
      <c r="E6">
        <v>6.8</v>
      </c>
      <c r="F6" t="s">
        <v>11</v>
      </c>
      <c r="G6" t="s">
        <v>162</v>
      </c>
      <c r="H6">
        <v>250</v>
      </c>
      <c r="I6">
        <v>670</v>
      </c>
      <c r="J6" t="s">
        <v>80</v>
      </c>
      <c r="K6" t="s">
        <v>81</v>
      </c>
      <c r="L6" s="14">
        <v>44750</v>
      </c>
      <c r="M6" t="str" cm="1">
        <f t="array" ref="M6">_xlfn.IFS( Movie_financials[[#This Row],[revenue]]&lt;500,"Average", Movie_financials[[#This Row],[revenue]]&lt;=1000,"Hit", TRUE,"Blockbuster")</f>
        <v>Hit</v>
      </c>
      <c r="N6" t="str" cm="1">
        <f t="array" ref="N6">_xlfn.IFS(Movie_financials[[#This Row],[imdb_rating]]&lt;7,"Average",Movie_financials[[#This Row],[imdb_rating]]&lt;=8.5,"Good",TRUE,"Excellent")</f>
        <v>Average</v>
      </c>
      <c r="O6" t="str" cm="1">
        <f t="array" ref="O6">_xlfn.IFS(Movie_financials[[#This Row],[budget]]&lt;50,"Low budget",Movie_financials[[#This Row],[budget]]&lt;=150,"Medium budget",TRUE,"High budget")</f>
        <v>High budget</v>
      </c>
    </row>
    <row r="7" spans="1:15">
      <c r="A7">
        <v>106</v>
      </c>
      <c r="B7" t="s">
        <v>93</v>
      </c>
      <c r="C7" t="s">
        <v>7</v>
      </c>
      <c r="D7" t="s">
        <v>94</v>
      </c>
      <c r="E7">
        <v>8.1</v>
      </c>
      <c r="F7" t="s">
        <v>17</v>
      </c>
      <c r="G7" t="s">
        <v>163</v>
      </c>
      <c r="L7" s="14">
        <v>27621</v>
      </c>
      <c r="M7" t="str" cm="1">
        <f t="array" ref="M7">_xlfn.IFS( Movie_financials[[#This Row],[revenue]]&lt;500,"Average", Movie_financials[[#This Row],[revenue]]&lt;=1000,"Hit", TRUE,"Blockbuster")</f>
        <v>Average</v>
      </c>
      <c r="N7" t="str" cm="1">
        <f t="array" ref="N7">_xlfn.IFS(Movie_financials[[#This Row],[imdb_rating]]&lt;7,"Average",Movie_financials[[#This Row],[imdb_rating]]&lt;=8.5,"Good",TRUE,"Excellent")</f>
        <v>Good</v>
      </c>
      <c r="O7" t="str" cm="1">
        <f t="array" ref="O7">_xlfn.IFS(Movie_financials[[#This Row],[budget]]&lt;50,"Low budget",Movie_financials[[#This Row],[budget]]&lt;=150,"Medium budget",TRUE,"High budget")</f>
        <v>Low budget</v>
      </c>
    </row>
    <row r="8" spans="1:15">
      <c r="A8">
        <v>107</v>
      </c>
      <c r="B8" t="s">
        <v>95</v>
      </c>
      <c r="C8" t="s">
        <v>7</v>
      </c>
      <c r="D8" t="s">
        <v>96</v>
      </c>
      <c r="E8">
        <v>8</v>
      </c>
      <c r="F8" t="s">
        <v>19</v>
      </c>
      <c r="G8" t="s">
        <v>163</v>
      </c>
      <c r="H8">
        <v>400</v>
      </c>
      <c r="I8">
        <v>2000</v>
      </c>
      <c r="J8" t="s">
        <v>80</v>
      </c>
      <c r="K8" t="s">
        <v>79</v>
      </c>
      <c r="L8" s="14">
        <v>34992</v>
      </c>
      <c r="M8" t="str" cm="1">
        <f t="array" ref="M8">_xlfn.IFS( Movie_financials[[#This Row],[revenue]]&lt;500,"Average", Movie_financials[[#This Row],[revenue]]&lt;=1000,"Hit", TRUE,"Blockbuster")</f>
        <v>Blockbuster</v>
      </c>
      <c r="N8" t="str" cm="1">
        <f t="array" ref="N8">_xlfn.IFS(Movie_financials[[#This Row],[imdb_rating]]&lt;7,"Average",Movie_financials[[#This Row],[imdb_rating]]&lt;=8.5,"Good",TRUE,"Excellent")</f>
        <v>Good</v>
      </c>
      <c r="O8" t="str" cm="1">
        <f t="array" ref="O8">_xlfn.IFS(Movie_financials[[#This Row],[budget]]&lt;50,"Low budget",Movie_financials[[#This Row],[budget]]&lt;=150,"Medium budget",TRUE,"High budget")</f>
        <v>High budget</v>
      </c>
    </row>
    <row r="9" spans="1:15">
      <c r="A9">
        <v>108</v>
      </c>
      <c r="B9" t="s">
        <v>97</v>
      </c>
      <c r="C9" t="s">
        <v>7</v>
      </c>
      <c r="D9" t="s">
        <v>98</v>
      </c>
      <c r="E9">
        <v>8.4</v>
      </c>
      <c r="F9" t="s">
        <v>56</v>
      </c>
      <c r="G9" t="s">
        <v>163</v>
      </c>
      <c r="H9">
        <v>550</v>
      </c>
      <c r="I9">
        <v>4000</v>
      </c>
      <c r="J9" t="s">
        <v>80</v>
      </c>
      <c r="K9" t="s">
        <v>79</v>
      </c>
      <c r="L9" s="14">
        <v>40172</v>
      </c>
      <c r="M9" t="str" cm="1">
        <f t="array" ref="M9">_xlfn.IFS( Movie_financials[[#This Row],[revenue]]&lt;500,"Average", Movie_financials[[#This Row],[revenue]]&lt;=1000,"Hit", TRUE,"Blockbuster")</f>
        <v>Blockbuster</v>
      </c>
      <c r="N9" t="str" cm="1">
        <f t="array" ref="N9">_xlfn.IFS(Movie_financials[[#This Row],[imdb_rating]]&lt;7,"Average",Movie_financials[[#This Row],[imdb_rating]]&lt;=8.5,"Good",TRUE,"Excellent")</f>
        <v>Good</v>
      </c>
      <c r="O9" t="str" cm="1">
        <f t="array" ref="O9">_xlfn.IFS(Movie_financials[[#This Row],[budget]]&lt;50,"Low budget",Movie_financials[[#This Row],[budget]]&lt;=150,"Medium budget",TRUE,"High budget")</f>
        <v>High budget</v>
      </c>
    </row>
    <row r="10" spans="1:15">
      <c r="A10">
        <v>109</v>
      </c>
      <c r="B10" t="s">
        <v>99</v>
      </c>
      <c r="C10" t="s">
        <v>7</v>
      </c>
      <c r="D10" t="s">
        <v>100</v>
      </c>
      <c r="E10">
        <v>7.4</v>
      </c>
      <c r="F10" t="s">
        <v>23</v>
      </c>
      <c r="G10" t="s">
        <v>163</v>
      </c>
      <c r="H10">
        <v>390</v>
      </c>
      <c r="I10">
        <v>1360</v>
      </c>
      <c r="J10" t="s">
        <v>80</v>
      </c>
      <c r="K10" t="s">
        <v>79</v>
      </c>
      <c r="L10" s="14">
        <v>37239</v>
      </c>
      <c r="M10" t="str" cm="1">
        <f t="array" ref="M10">_xlfn.IFS( Movie_financials[[#This Row],[revenue]]&lt;500,"Average", Movie_financials[[#This Row],[revenue]]&lt;=1000,"Hit", TRUE,"Blockbuster")</f>
        <v>Blockbuster</v>
      </c>
      <c r="N10" t="str" cm="1">
        <f t="array" ref="N10">_xlfn.IFS(Movie_financials[[#This Row],[imdb_rating]]&lt;7,"Average",Movie_financials[[#This Row],[imdb_rating]]&lt;=8.5,"Good",TRUE,"Excellent")</f>
        <v>Good</v>
      </c>
      <c r="O10" t="str" cm="1">
        <f t="array" ref="O10">_xlfn.IFS(Movie_financials[[#This Row],[budget]]&lt;50,"Low budget",Movie_financials[[#This Row],[budget]]&lt;=150,"Medium budget",TRUE,"High budget")</f>
        <v>High budget</v>
      </c>
    </row>
    <row r="11" spans="1:15">
      <c r="A11">
        <v>110</v>
      </c>
      <c r="B11" t="s">
        <v>101</v>
      </c>
      <c r="C11" t="s">
        <v>7</v>
      </c>
      <c r="D11" t="s">
        <v>102</v>
      </c>
      <c r="E11">
        <v>7.2</v>
      </c>
      <c r="F11" t="s">
        <v>103</v>
      </c>
      <c r="G11" t="s">
        <v>163</v>
      </c>
      <c r="H11">
        <v>1</v>
      </c>
      <c r="I11">
        <v>3.5</v>
      </c>
      <c r="J11" t="s">
        <v>78</v>
      </c>
      <c r="K11" t="s">
        <v>79</v>
      </c>
      <c r="L11" s="14">
        <v>42356</v>
      </c>
      <c r="M11" t="str" cm="1">
        <f t="array" ref="M11">_xlfn.IFS( Movie_financials[[#This Row],[revenue]]&lt;500,"Average", Movie_financials[[#This Row],[revenue]]&lt;=1000,"Hit", TRUE,"Blockbuster")</f>
        <v>Average</v>
      </c>
      <c r="N11" t="str" cm="1">
        <f t="array" ref="N11">_xlfn.IFS(Movie_financials[[#This Row],[imdb_rating]]&lt;7,"Average",Movie_financials[[#This Row],[imdb_rating]]&lt;=8.5,"Good",TRUE,"Excellent")</f>
        <v>Good</v>
      </c>
      <c r="O11" t="str" cm="1">
        <f t="array" ref="O11">_xlfn.IFS(Movie_financials[[#This Row],[budget]]&lt;50,"Low budget",Movie_financials[[#This Row],[budget]]&lt;=150,"Medium budget",TRUE,"High budget")</f>
        <v>Low budget</v>
      </c>
    </row>
    <row r="12" spans="1:15">
      <c r="A12">
        <v>111</v>
      </c>
      <c r="B12" t="s">
        <v>104</v>
      </c>
      <c r="C12" t="s">
        <v>10</v>
      </c>
      <c r="D12" t="s">
        <v>105</v>
      </c>
      <c r="E12">
        <v>9.3000000000000007</v>
      </c>
      <c r="F12" t="s">
        <v>26</v>
      </c>
      <c r="G12" t="s">
        <v>162</v>
      </c>
      <c r="H12">
        <v>25</v>
      </c>
      <c r="I12">
        <v>73.3</v>
      </c>
      <c r="J12" t="s">
        <v>80</v>
      </c>
      <c r="K12" t="s">
        <v>81</v>
      </c>
      <c r="L12" s="14">
        <v>34600</v>
      </c>
      <c r="M12" t="str" cm="1">
        <f t="array" ref="M12">_xlfn.IFS( Movie_financials[[#This Row],[revenue]]&lt;500,"Average", Movie_financials[[#This Row],[revenue]]&lt;=1000,"Hit", TRUE,"Blockbuster")</f>
        <v>Average</v>
      </c>
      <c r="N12" t="str" cm="1">
        <f t="array" ref="N12">_xlfn.IFS(Movie_financials[[#This Row],[imdb_rating]]&lt;7,"Average",Movie_financials[[#This Row],[imdb_rating]]&lt;=8.5,"Good",TRUE,"Excellent")</f>
        <v>Excellent</v>
      </c>
      <c r="O12" t="str" cm="1">
        <f t="array" ref="O12">_xlfn.IFS(Movie_financials[[#This Row],[budget]]&lt;50,"Low budget",Movie_financials[[#This Row],[budget]]&lt;=150,"Medium budget",TRUE,"High budget")</f>
        <v>Low budget</v>
      </c>
    </row>
    <row r="13" spans="1:15">
      <c r="A13">
        <v>113</v>
      </c>
      <c r="B13" t="s">
        <v>108</v>
      </c>
      <c r="C13" t="s">
        <v>10</v>
      </c>
      <c r="D13" t="s">
        <v>109</v>
      </c>
      <c r="E13">
        <v>8.6</v>
      </c>
      <c r="F13" t="s">
        <v>28</v>
      </c>
      <c r="G13" t="s">
        <v>162</v>
      </c>
      <c r="H13">
        <v>165</v>
      </c>
      <c r="I13">
        <v>701.8</v>
      </c>
      <c r="J13" t="s">
        <v>80</v>
      </c>
      <c r="K13" t="s">
        <v>81</v>
      </c>
      <c r="L13" s="14">
        <v>41836</v>
      </c>
      <c r="M13" t="str" cm="1">
        <f t="array" ref="M13">_xlfn.IFS( Movie_financials[[#This Row],[revenue]]&lt;500,"Average", Movie_financials[[#This Row],[revenue]]&lt;=1000,"Hit", TRUE,"Blockbuster")</f>
        <v>Hit</v>
      </c>
      <c r="N13" t="str" cm="1">
        <f t="array" ref="N13">_xlfn.IFS(Movie_financials[[#This Row],[imdb_rating]]&lt;7,"Average",Movie_financials[[#This Row],[imdb_rating]]&lt;=8.5,"Good",TRUE,"Excellent")</f>
        <v>Excellent</v>
      </c>
      <c r="O13" t="str" cm="1">
        <f t="array" ref="O13">_xlfn.IFS(Movie_financials[[#This Row],[budget]]&lt;50,"Low budget",Movie_financials[[#This Row],[budget]]&lt;=150,"Medium budget",TRUE,"High budget")</f>
        <v>High budget</v>
      </c>
    </row>
    <row r="14" spans="1:15">
      <c r="A14">
        <v>112</v>
      </c>
      <c r="B14" t="s">
        <v>106</v>
      </c>
      <c r="C14" t="s">
        <v>10</v>
      </c>
      <c r="D14" t="s">
        <v>107</v>
      </c>
      <c r="E14">
        <v>8.8000000000000007</v>
      </c>
      <c r="F14" t="s">
        <v>28</v>
      </c>
      <c r="G14" t="s">
        <v>162</v>
      </c>
      <c r="L14" s="14">
        <v>40489</v>
      </c>
      <c r="M14" t="str" cm="1">
        <f t="array" ref="M14">_xlfn.IFS( Movie_financials[[#This Row],[revenue]]&lt;500,"Average", Movie_financials[[#This Row],[revenue]]&lt;=1000,"Hit", TRUE,"Blockbuster")</f>
        <v>Average</v>
      </c>
      <c r="N14" t="str" cm="1">
        <f t="array" ref="N14">_xlfn.IFS(Movie_financials[[#This Row],[imdb_rating]]&lt;7,"Average",Movie_financials[[#This Row],[imdb_rating]]&lt;=8.5,"Good",TRUE,"Excellent")</f>
        <v>Excellent</v>
      </c>
      <c r="O14" t="str" cm="1">
        <f t="array" ref="O14">_xlfn.IFS(Movie_financials[[#This Row],[budget]]&lt;50,"Low budget",Movie_financials[[#This Row],[budget]]&lt;=150,"Medium budget",TRUE,"High budget")</f>
        <v>Low budget</v>
      </c>
    </row>
    <row r="15" spans="1:15">
      <c r="A15">
        <v>115</v>
      </c>
      <c r="B15" t="s">
        <v>110</v>
      </c>
      <c r="C15" t="s">
        <v>10</v>
      </c>
      <c r="D15" t="s">
        <v>111</v>
      </c>
      <c r="E15">
        <v>8</v>
      </c>
      <c r="F15" t="s">
        <v>31</v>
      </c>
      <c r="G15" t="s">
        <v>162</v>
      </c>
      <c r="H15">
        <v>55</v>
      </c>
      <c r="I15">
        <v>307.10000000000002</v>
      </c>
      <c r="J15" t="s">
        <v>80</v>
      </c>
      <c r="K15" t="s">
        <v>81</v>
      </c>
      <c r="L15" s="14">
        <v>39066</v>
      </c>
      <c r="M15" t="str" cm="1">
        <f t="array" ref="M15">_xlfn.IFS( Movie_financials[[#This Row],[revenue]]&lt;500,"Average", Movie_financials[[#This Row],[revenue]]&lt;=1000,"Hit", TRUE,"Blockbuster")</f>
        <v>Average</v>
      </c>
      <c r="N15" t="str" cm="1">
        <f t="array" ref="N15">_xlfn.IFS(Movie_financials[[#This Row],[imdb_rating]]&lt;7,"Average",Movie_financials[[#This Row],[imdb_rating]]&lt;=8.5,"Good",TRUE,"Excellent")</f>
        <v>Good</v>
      </c>
      <c r="O15" t="str" cm="1">
        <f t="array" ref="O15">_xlfn.IFS(Movie_financials[[#This Row],[budget]]&lt;50,"Low budget",Movie_financials[[#This Row],[budget]]&lt;=150,"Medium budget",TRUE,"High budget")</f>
        <v>Medium budget</v>
      </c>
    </row>
    <row r="16" spans="1:15">
      <c r="A16">
        <v>116</v>
      </c>
      <c r="B16" t="s">
        <v>112</v>
      </c>
      <c r="C16" t="s">
        <v>10</v>
      </c>
      <c r="D16" t="s">
        <v>113</v>
      </c>
      <c r="E16">
        <v>8.5</v>
      </c>
      <c r="F16" t="s">
        <v>45</v>
      </c>
      <c r="G16" t="s">
        <v>162</v>
      </c>
      <c r="H16">
        <v>103</v>
      </c>
      <c r="I16">
        <v>460.5</v>
      </c>
      <c r="J16" t="s">
        <v>80</v>
      </c>
      <c r="K16" t="s">
        <v>81</v>
      </c>
      <c r="L16" s="14">
        <v>36651</v>
      </c>
      <c r="M16" t="str" cm="1">
        <f t="array" ref="M16">_xlfn.IFS( Movie_financials[[#This Row],[revenue]]&lt;500,"Average", Movie_financials[[#This Row],[revenue]]&lt;=1000,"Hit", TRUE,"Blockbuster")</f>
        <v>Average</v>
      </c>
      <c r="N16" t="str" cm="1">
        <f t="array" ref="N16">_xlfn.IFS(Movie_financials[[#This Row],[imdb_rating]]&lt;7,"Average",Movie_financials[[#This Row],[imdb_rating]]&lt;=8.5,"Good",TRUE,"Excellent")</f>
        <v>Good</v>
      </c>
      <c r="O16" t="str" cm="1">
        <f t="array" ref="O16">_xlfn.IFS(Movie_financials[[#This Row],[budget]]&lt;50,"Low budget",Movie_financials[[#This Row],[budget]]&lt;=150,"Medium budget",TRUE,"High budget")</f>
        <v>Medium budget</v>
      </c>
    </row>
    <row r="17" spans="1:15">
      <c r="A17">
        <v>117</v>
      </c>
      <c r="B17" t="s">
        <v>114</v>
      </c>
      <c r="C17" t="s">
        <v>10</v>
      </c>
      <c r="D17" t="s">
        <v>115</v>
      </c>
      <c r="E17">
        <v>7.9</v>
      </c>
      <c r="F17" t="s">
        <v>35</v>
      </c>
      <c r="G17" t="s">
        <v>162</v>
      </c>
      <c r="H17">
        <v>200</v>
      </c>
      <c r="I17">
        <v>2202</v>
      </c>
      <c r="J17" t="s">
        <v>80</v>
      </c>
      <c r="K17" t="s">
        <v>81</v>
      </c>
      <c r="L17" s="14">
        <v>35783</v>
      </c>
      <c r="M17" t="str" cm="1">
        <f t="array" ref="M17">_xlfn.IFS( Movie_financials[[#This Row],[revenue]]&lt;500,"Average", Movie_financials[[#This Row],[revenue]]&lt;=1000,"Hit", TRUE,"Blockbuster")</f>
        <v>Blockbuster</v>
      </c>
      <c r="N17" t="str" cm="1">
        <f t="array" ref="N17">_xlfn.IFS(Movie_financials[[#This Row],[imdb_rating]]&lt;7,"Average",Movie_financials[[#This Row],[imdb_rating]]&lt;=8.5,"Good",TRUE,"Excellent")</f>
        <v>Good</v>
      </c>
      <c r="O17" t="str" cm="1">
        <f t="array" ref="O17">_xlfn.IFS(Movie_financials[[#This Row],[budget]]&lt;50,"Low budget",Movie_financials[[#This Row],[budget]]&lt;=150,"Medium budget",TRUE,"High budget")</f>
        <v>High budget</v>
      </c>
    </row>
    <row r="18" spans="1:15">
      <c r="A18">
        <v>118</v>
      </c>
      <c r="B18" t="s">
        <v>116</v>
      </c>
      <c r="C18" t="s">
        <v>10</v>
      </c>
      <c r="D18" t="s">
        <v>117</v>
      </c>
      <c r="E18">
        <v>8.6</v>
      </c>
      <c r="F18" t="s">
        <v>37</v>
      </c>
      <c r="G18" t="s">
        <v>162</v>
      </c>
      <c r="H18">
        <v>3</v>
      </c>
      <c r="I18">
        <v>3.3</v>
      </c>
      <c r="J18" t="s">
        <v>80</v>
      </c>
      <c r="K18" t="s">
        <v>81</v>
      </c>
      <c r="L18" s="14">
        <v>17156</v>
      </c>
      <c r="M18" t="str" cm="1">
        <f t="array" ref="M18">_xlfn.IFS( Movie_financials[[#This Row],[revenue]]&lt;500,"Average", Movie_financials[[#This Row],[revenue]]&lt;=1000,"Hit", TRUE,"Blockbuster")</f>
        <v>Average</v>
      </c>
      <c r="N18" t="str" cm="1">
        <f t="array" ref="N18">_xlfn.IFS(Movie_financials[[#This Row],[imdb_rating]]&lt;7,"Average",Movie_financials[[#This Row],[imdb_rating]]&lt;=8.5,"Good",TRUE,"Excellent")</f>
        <v>Excellent</v>
      </c>
      <c r="O18" t="str" cm="1">
        <f t="array" ref="O18">_xlfn.IFS(Movie_financials[[#This Row],[budget]]&lt;50,"Low budget",Movie_financials[[#This Row],[budget]]&lt;=150,"Medium budget",TRUE,"High budget")</f>
        <v>Low budget</v>
      </c>
    </row>
    <row r="19" spans="1:15">
      <c r="A19">
        <v>119</v>
      </c>
      <c r="B19" t="s">
        <v>118</v>
      </c>
      <c r="C19" t="s">
        <v>10</v>
      </c>
      <c r="D19" t="s">
        <v>98</v>
      </c>
      <c r="E19">
        <v>7.8</v>
      </c>
      <c r="F19" t="s">
        <v>39</v>
      </c>
      <c r="G19" t="s">
        <v>162</v>
      </c>
      <c r="H19">
        <v>237</v>
      </c>
      <c r="I19">
        <v>2847</v>
      </c>
      <c r="J19" t="s">
        <v>80</v>
      </c>
      <c r="K19" t="s">
        <v>81</v>
      </c>
      <c r="L19" s="14">
        <v>40165</v>
      </c>
      <c r="M19" t="str" cm="1">
        <f t="array" ref="M19">_xlfn.IFS( Movie_financials[[#This Row],[revenue]]&lt;500,"Average", Movie_financials[[#This Row],[revenue]]&lt;=1000,"Hit", TRUE,"Blockbuster")</f>
        <v>Blockbuster</v>
      </c>
      <c r="N19" t="str" cm="1">
        <f t="array" ref="N19">_xlfn.IFS(Movie_financials[[#This Row],[imdb_rating]]&lt;7,"Average",Movie_financials[[#This Row],[imdb_rating]]&lt;=8.5,"Good",TRUE,"Excellent")</f>
        <v>Good</v>
      </c>
      <c r="O19" t="str" cm="1">
        <f t="array" ref="O19">_xlfn.IFS(Movie_financials[[#This Row],[budget]]&lt;50,"Low budget",Movie_financials[[#This Row],[budget]]&lt;=150,"Medium budget",TRUE,"High budget")</f>
        <v>High budget</v>
      </c>
    </row>
    <row r="20" spans="1:15">
      <c r="A20">
        <v>120</v>
      </c>
      <c r="B20" t="s">
        <v>119</v>
      </c>
      <c r="C20" t="s">
        <v>10</v>
      </c>
      <c r="D20" t="s">
        <v>120</v>
      </c>
      <c r="E20">
        <v>9.1999999999999993</v>
      </c>
      <c r="F20" t="s">
        <v>35</v>
      </c>
      <c r="G20" t="s">
        <v>162</v>
      </c>
      <c r="H20">
        <v>7</v>
      </c>
      <c r="I20">
        <v>291</v>
      </c>
      <c r="J20" t="s">
        <v>80</v>
      </c>
      <c r="K20" t="s">
        <v>81</v>
      </c>
      <c r="L20" s="14">
        <v>26382</v>
      </c>
      <c r="M20" t="str" cm="1">
        <f t="array" ref="M20">_xlfn.IFS( Movie_financials[[#This Row],[revenue]]&lt;500,"Average", Movie_financials[[#This Row],[revenue]]&lt;=1000,"Hit", TRUE,"Blockbuster")</f>
        <v>Average</v>
      </c>
      <c r="N20" t="str" cm="1">
        <f t="array" ref="N20">_xlfn.IFS(Movie_financials[[#This Row],[imdb_rating]]&lt;7,"Average",Movie_financials[[#This Row],[imdb_rating]]&lt;=8.5,"Good",TRUE,"Excellent")</f>
        <v>Excellent</v>
      </c>
      <c r="O20" t="str" cm="1">
        <f t="array" ref="O20">_xlfn.IFS(Movie_financials[[#This Row],[budget]]&lt;50,"Low budget",Movie_financials[[#This Row],[budget]]&lt;=150,"Medium budget",TRUE,"High budget")</f>
        <v>Low budget</v>
      </c>
    </row>
    <row r="21" spans="1:15">
      <c r="A21">
        <v>121</v>
      </c>
      <c r="B21" t="s">
        <v>121</v>
      </c>
      <c r="C21" t="s">
        <v>10</v>
      </c>
      <c r="D21" t="s">
        <v>122</v>
      </c>
      <c r="E21">
        <v>9</v>
      </c>
      <c r="F21" t="s">
        <v>43</v>
      </c>
      <c r="G21" t="s">
        <v>162</v>
      </c>
      <c r="H21">
        <v>185</v>
      </c>
      <c r="I21">
        <v>1006</v>
      </c>
      <c r="J21" t="s">
        <v>80</v>
      </c>
      <c r="K21" t="s">
        <v>81</v>
      </c>
      <c r="L21" s="14">
        <v>39647</v>
      </c>
      <c r="M21" t="str" cm="1">
        <f t="array" ref="M21">_xlfn.IFS( Movie_financials[[#This Row],[revenue]]&lt;500,"Average", Movie_financials[[#This Row],[revenue]]&lt;=1000,"Hit", TRUE,"Blockbuster")</f>
        <v>Blockbuster</v>
      </c>
      <c r="N21" t="str" cm="1">
        <f t="array" ref="N21">_xlfn.IFS(Movie_financials[[#This Row],[imdb_rating]]&lt;7,"Average",Movie_financials[[#This Row],[imdb_rating]]&lt;=8.5,"Good",TRUE,"Excellent")</f>
        <v>Excellent</v>
      </c>
      <c r="O21" t="str" cm="1">
        <f t="array" ref="O21">_xlfn.IFS(Movie_financials[[#This Row],[budget]]&lt;50,"Low budget",Movie_financials[[#This Row],[budget]]&lt;=150,"Medium budget",TRUE,"High budget")</f>
        <v>High budget</v>
      </c>
    </row>
    <row r="22" spans="1:15">
      <c r="A22">
        <v>122</v>
      </c>
      <c r="B22" t="s">
        <v>123</v>
      </c>
      <c r="C22" t="s">
        <v>10</v>
      </c>
      <c r="D22" t="s">
        <v>124</v>
      </c>
      <c r="E22">
        <v>9</v>
      </c>
      <c r="F22" t="s">
        <v>45</v>
      </c>
      <c r="G22" t="s">
        <v>162</v>
      </c>
      <c r="H22">
        <v>22</v>
      </c>
      <c r="I22">
        <v>322.2</v>
      </c>
      <c r="J22" t="s">
        <v>80</v>
      </c>
      <c r="K22" t="s">
        <v>81</v>
      </c>
      <c r="L22" s="14">
        <v>34004</v>
      </c>
      <c r="M22" t="str" cm="1">
        <f t="array" ref="M22">_xlfn.IFS( Movie_financials[[#This Row],[revenue]]&lt;500,"Average", Movie_financials[[#This Row],[revenue]]&lt;=1000,"Hit", TRUE,"Blockbuster")</f>
        <v>Average</v>
      </c>
      <c r="N22" t="str" cm="1">
        <f t="array" ref="N22">_xlfn.IFS(Movie_financials[[#This Row],[imdb_rating]]&lt;7,"Average",Movie_financials[[#This Row],[imdb_rating]]&lt;=8.5,"Good",TRUE,"Excellent")</f>
        <v>Excellent</v>
      </c>
      <c r="O22" t="str" cm="1">
        <f t="array" ref="O22">_xlfn.IFS(Movie_financials[[#This Row],[budget]]&lt;50,"Low budget",Movie_financials[[#This Row],[budget]]&lt;=150,"Medium budget",TRUE,"High budget")</f>
        <v>Low budget</v>
      </c>
    </row>
    <row r="23" spans="1:15">
      <c r="A23">
        <v>123</v>
      </c>
      <c r="B23" t="s">
        <v>125</v>
      </c>
      <c r="C23" t="s">
        <v>10</v>
      </c>
      <c r="D23" t="s">
        <v>124</v>
      </c>
      <c r="E23">
        <v>8.1999999999999993</v>
      </c>
      <c r="F23" t="s">
        <v>45</v>
      </c>
      <c r="G23" t="s">
        <v>162</v>
      </c>
      <c r="H23">
        <v>63</v>
      </c>
      <c r="I23">
        <v>1046</v>
      </c>
      <c r="J23" t="s">
        <v>80</v>
      </c>
      <c r="K23" t="s">
        <v>81</v>
      </c>
      <c r="L23" s="14">
        <v>34131</v>
      </c>
      <c r="M23" t="str" cm="1">
        <f t="array" ref="M23">_xlfn.IFS( Movie_financials[[#This Row],[revenue]]&lt;500,"Average", Movie_financials[[#This Row],[revenue]]&lt;=1000,"Hit", TRUE,"Blockbuster")</f>
        <v>Blockbuster</v>
      </c>
      <c r="N23" t="str" cm="1">
        <f t="array" ref="N23">_xlfn.IFS(Movie_financials[[#This Row],[imdb_rating]]&lt;7,"Average",Movie_financials[[#This Row],[imdb_rating]]&lt;=8.5,"Good",TRUE,"Excellent")</f>
        <v>Good</v>
      </c>
      <c r="O23" t="str" cm="1">
        <f t="array" ref="O23">_xlfn.IFS(Movie_financials[[#This Row],[budget]]&lt;50,"Low budget",Movie_financials[[#This Row],[budget]]&lt;=150,"Medium budget",TRUE,"High budget")</f>
        <v>Medium budget</v>
      </c>
    </row>
    <row r="24" spans="1:15">
      <c r="A24">
        <v>124</v>
      </c>
      <c r="B24" t="s">
        <v>126</v>
      </c>
      <c r="C24" t="s">
        <v>10</v>
      </c>
      <c r="D24" t="s">
        <v>127</v>
      </c>
      <c r="E24">
        <v>8.5</v>
      </c>
      <c r="F24" t="s">
        <v>103</v>
      </c>
      <c r="G24" t="s">
        <v>162</v>
      </c>
      <c r="H24">
        <v>16</v>
      </c>
      <c r="I24">
        <v>263.10000000000002</v>
      </c>
      <c r="J24" t="s">
        <v>80</v>
      </c>
      <c r="K24" t="s">
        <v>81</v>
      </c>
      <c r="L24" s="14">
        <v>43615</v>
      </c>
      <c r="M24" t="str" cm="1">
        <f t="array" ref="M24">_xlfn.IFS( Movie_financials[[#This Row],[revenue]]&lt;500,"Average", Movie_financials[[#This Row],[revenue]]&lt;=1000,"Hit", TRUE,"Blockbuster")</f>
        <v>Average</v>
      </c>
      <c r="N24" t="str" cm="1">
        <f t="array" ref="N24">_xlfn.IFS(Movie_financials[[#This Row],[imdb_rating]]&lt;7,"Average",Movie_financials[[#This Row],[imdb_rating]]&lt;=8.5,"Good",TRUE,"Excellent")</f>
        <v>Good</v>
      </c>
      <c r="O24" t="str" cm="1">
        <f t="array" ref="O24">_xlfn.IFS(Movie_financials[[#This Row],[budget]]&lt;50,"Low budget",Movie_financials[[#This Row],[budget]]&lt;=150,"Medium budget",TRUE,"High budget")</f>
        <v>Low budget</v>
      </c>
    </row>
    <row r="25" spans="1:15">
      <c r="A25">
        <v>125</v>
      </c>
      <c r="B25" t="s">
        <v>128</v>
      </c>
      <c r="C25" t="s">
        <v>10</v>
      </c>
      <c r="D25" t="s">
        <v>127</v>
      </c>
      <c r="E25">
        <v>8.4</v>
      </c>
      <c r="F25" t="s">
        <v>11</v>
      </c>
      <c r="G25" t="s">
        <v>162</v>
      </c>
      <c r="H25">
        <v>400</v>
      </c>
      <c r="I25">
        <v>2798</v>
      </c>
      <c r="J25" t="s">
        <v>80</v>
      </c>
      <c r="K25" t="s">
        <v>81</v>
      </c>
      <c r="L25" s="14">
        <v>43584</v>
      </c>
      <c r="M25" t="str" cm="1">
        <f t="array" ref="M25">_xlfn.IFS( Movie_financials[[#This Row],[revenue]]&lt;500,"Average", Movie_financials[[#This Row],[revenue]]&lt;=1000,"Hit", TRUE,"Blockbuster")</f>
        <v>Blockbuster</v>
      </c>
      <c r="N25" t="str" cm="1">
        <f t="array" ref="N25">_xlfn.IFS(Movie_financials[[#This Row],[imdb_rating]]&lt;7,"Average",Movie_financials[[#This Row],[imdb_rating]]&lt;=8.5,"Good",TRUE,"Excellent")</f>
        <v>Good</v>
      </c>
      <c r="O25" t="str" cm="1">
        <f t="array" ref="O25">_xlfn.IFS(Movie_financials[[#This Row],[budget]]&lt;50,"Low budget",Movie_financials[[#This Row],[budget]]&lt;=150,"Medium budget",TRUE,"High budget")</f>
        <v>High budget</v>
      </c>
    </row>
    <row r="26" spans="1:15">
      <c r="A26">
        <v>126</v>
      </c>
      <c r="B26" t="s">
        <v>129</v>
      </c>
      <c r="C26" t="s">
        <v>10</v>
      </c>
      <c r="D26" t="s">
        <v>130</v>
      </c>
      <c r="E26">
        <v>8.4</v>
      </c>
      <c r="F26" t="s">
        <v>11</v>
      </c>
      <c r="G26" t="s">
        <v>162</v>
      </c>
      <c r="H26">
        <v>400</v>
      </c>
      <c r="I26">
        <v>2048</v>
      </c>
      <c r="J26" t="s">
        <v>80</v>
      </c>
      <c r="K26" t="s">
        <v>81</v>
      </c>
      <c r="L26" s="14">
        <v>43217</v>
      </c>
      <c r="M26" t="str" cm="1">
        <f t="array" ref="M26">_xlfn.IFS( Movie_financials[[#This Row],[revenue]]&lt;500,"Average", Movie_financials[[#This Row],[revenue]]&lt;=1000,"Hit", TRUE,"Blockbuster")</f>
        <v>Blockbuster</v>
      </c>
      <c r="N26" t="str" cm="1">
        <f t="array" ref="N26">_xlfn.IFS(Movie_financials[[#This Row],[imdb_rating]]&lt;7,"Average",Movie_financials[[#This Row],[imdb_rating]]&lt;=8.5,"Good",TRUE,"Excellent")</f>
        <v>Good</v>
      </c>
      <c r="O26" t="str" cm="1">
        <f t="array" ref="O26">_xlfn.IFS(Movie_financials[[#This Row],[budget]]&lt;50,"Low budget",Movie_financials[[#This Row],[budget]]&lt;=150,"Medium budget",TRUE,"High budget")</f>
        <v>High budget</v>
      </c>
    </row>
    <row r="27" spans="1:15">
      <c r="A27">
        <v>127</v>
      </c>
      <c r="B27" t="s">
        <v>131</v>
      </c>
      <c r="C27" t="s">
        <v>7</v>
      </c>
      <c r="D27" t="s">
        <v>132</v>
      </c>
      <c r="E27">
        <v>8.3000000000000007</v>
      </c>
      <c r="F27" t="s">
        <v>133</v>
      </c>
      <c r="G27" t="s">
        <v>164</v>
      </c>
      <c r="H27">
        <v>70</v>
      </c>
      <c r="I27">
        <v>100</v>
      </c>
      <c r="J27" t="s">
        <v>80</v>
      </c>
      <c r="K27" t="s">
        <v>79</v>
      </c>
      <c r="L27" s="14">
        <v>20327</v>
      </c>
      <c r="M27" t="str" cm="1">
        <f t="array" ref="M27">_xlfn.IFS( Movie_financials[[#This Row],[revenue]]&lt;500,"Average", Movie_financials[[#This Row],[revenue]]&lt;=1000,"Hit", TRUE,"Blockbuster")</f>
        <v>Average</v>
      </c>
      <c r="N27" t="str" cm="1">
        <f t="array" ref="N27">_xlfn.IFS(Movie_financials[[#This Row],[imdb_rating]]&lt;7,"Average",Movie_financials[[#This Row],[imdb_rating]]&lt;=8.5,"Good",TRUE,"Excellent")</f>
        <v>Good</v>
      </c>
      <c r="O27" t="str" cm="1">
        <f t="array" ref="O27">_xlfn.IFS(Movie_financials[[#This Row],[budget]]&lt;50,"Low budget",Movie_financials[[#This Row],[budget]]&lt;=150,"Medium budget",TRUE,"High budget")</f>
        <v>Medium budget</v>
      </c>
    </row>
    <row r="28" spans="1:15">
      <c r="A28">
        <v>128</v>
      </c>
      <c r="B28" t="s">
        <v>134</v>
      </c>
      <c r="C28" t="s">
        <v>7</v>
      </c>
      <c r="D28" t="s">
        <v>135</v>
      </c>
      <c r="E28">
        <v>8.3000000000000007</v>
      </c>
      <c r="F28" t="s">
        <v>103</v>
      </c>
      <c r="G28" t="s">
        <v>163</v>
      </c>
      <c r="H28">
        <v>120</v>
      </c>
      <c r="I28">
        <v>1350</v>
      </c>
      <c r="J28" t="s">
        <v>80</v>
      </c>
      <c r="K28" t="s">
        <v>79</v>
      </c>
      <c r="L28" s="14">
        <v>39437</v>
      </c>
      <c r="M28" t="str" cm="1">
        <f t="array" ref="M28">_xlfn.IFS( Movie_financials[[#This Row],[revenue]]&lt;500,"Average", Movie_financials[[#This Row],[revenue]]&lt;=1000,"Hit", TRUE,"Blockbuster")</f>
        <v>Blockbuster</v>
      </c>
      <c r="N28" t="str" cm="1">
        <f t="array" ref="N28">_xlfn.IFS(Movie_financials[[#This Row],[imdb_rating]]&lt;7,"Average",Movie_financials[[#This Row],[imdb_rating]]&lt;=8.5,"Good",TRUE,"Excellent")</f>
        <v>Good</v>
      </c>
      <c r="O28" t="str" cm="1">
        <f t="array" ref="O28">_xlfn.IFS(Movie_financials[[#This Row],[budget]]&lt;50,"Low budget",Movie_financials[[#This Row],[budget]]&lt;=150,"Medium budget",TRUE,"High budget")</f>
        <v>Medium budget</v>
      </c>
    </row>
    <row r="29" spans="1:15">
      <c r="A29">
        <v>129</v>
      </c>
      <c r="B29" t="s">
        <v>136</v>
      </c>
      <c r="C29" t="s">
        <v>7</v>
      </c>
      <c r="D29" t="s">
        <v>137</v>
      </c>
      <c r="E29">
        <v>8.1</v>
      </c>
      <c r="F29" t="s">
        <v>54</v>
      </c>
      <c r="G29" t="s">
        <v>163</v>
      </c>
      <c r="H29">
        <v>100</v>
      </c>
      <c r="I29">
        <v>410</v>
      </c>
      <c r="J29" t="s">
        <v>80</v>
      </c>
      <c r="K29" t="s">
        <v>79</v>
      </c>
      <c r="L29" s="14">
        <v>37974</v>
      </c>
      <c r="M29" t="str" cm="1">
        <f t="array" ref="M29">_xlfn.IFS( Movie_financials[[#This Row],[revenue]]&lt;500,"Average", Movie_financials[[#This Row],[revenue]]&lt;=1000,"Hit", TRUE,"Blockbuster")</f>
        <v>Average</v>
      </c>
      <c r="N29" t="str" cm="1">
        <f t="array" ref="N29">_xlfn.IFS(Movie_financials[[#This Row],[imdb_rating]]&lt;7,"Average",Movie_financials[[#This Row],[imdb_rating]]&lt;=8.5,"Good",TRUE,"Excellent")</f>
        <v>Good</v>
      </c>
      <c r="O29" t="str" cm="1">
        <f t="array" ref="O29">_xlfn.IFS(Movie_financials[[#This Row],[budget]]&lt;50,"Low budget",Movie_financials[[#This Row],[budget]]&lt;=150,"Medium budget",TRUE,"High budget")</f>
        <v>Medium budget</v>
      </c>
    </row>
    <row r="30" spans="1:15">
      <c r="A30">
        <v>130</v>
      </c>
      <c r="B30" t="s">
        <v>138</v>
      </c>
      <c r="C30" t="s">
        <v>7</v>
      </c>
      <c r="D30" t="s">
        <v>109</v>
      </c>
      <c r="E30">
        <v>8.1</v>
      </c>
      <c r="F30" t="s">
        <v>56</v>
      </c>
      <c r="G30" t="s">
        <v>163</v>
      </c>
      <c r="H30">
        <v>850</v>
      </c>
      <c r="I30">
        <v>8540</v>
      </c>
      <c r="J30" t="s">
        <v>80</v>
      </c>
      <c r="K30" t="s">
        <v>79</v>
      </c>
      <c r="L30" s="14">
        <v>41992</v>
      </c>
      <c r="M30" t="str" cm="1">
        <f t="array" ref="M30">_xlfn.IFS( Movie_financials[[#This Row],[revenue]]&lt;500,"Average", Movie_financials[[#This Row],[revenue]]&lt;=1000,"Hit", TRUE,"Blockbuster")</f>
        <v>Blockbuster</v>
      </c>
      <c r="N30" t="str" cm="1">
        <f t="array" ref="N30">_xlfn.IFS(Movie_financials[[#This Row],[imdb_rating]]&lt;7,"Average",Movie_financials[[#This Row],[imdb_rating]]&lt;=8.5,"Good",TRUE,"Excellent")</f>
        <v>Good</v>
      </c>
      <c r="O30" t="str" cm="1">
        <f t="array" ref="O30">_xlfn.IFS(Movie_financials[[#This Row],[budget]]&lt;50,"Low budget",Movie_financials[[#This Row],[budget]]&lt;=150,"Medium budget",TRUE,"High budget")</f>
        <v>High budget</v>
      </c>
    </row>
    <row r="31" spans="1:15">
      <c r="A31">
        <v>131</v>
      </c>
      <c r="B31" t="s">
        <v>139</v>
      </c>
      <c r="C31" t="s">
        <v>7</v>
      </c>
      <c r="D31" t="s">
        <v>130</v>
      </c>
      <c r="E31">
        <v>0</v>
      </c>
      <c r="F31" t="s">
        <v>56</v>
      </c>
      <c r="G31" t="s">
        <v>163</v>
      </c>
      <c r="H31">
        <v>1</v>
      </c>
      <c r="I31">
        <v>5.9</v>
      </c>
      <c r="J31" t="s">
        <v>78</v>
      </c>
      <c r="K31" t="s">
        <v>79</v>
      </c>
      <c r="L31" s="14">
        <v>43280</v>
      </c>
      <c r="M31" t="str" cm="1">
        <f t="array" ref="M31">_xlfn.IFS( Movie_financials[[#This Row],[revenue]]&lt;500,"Average", Movie_financials[[#This Row],[revenue]]&lt;=1000,"Hit", TRUE,"Blockbuster")</f>
        <v>Average</v>
      </c>
      <c r="N31" t="str" cm="1">
        <f t="array" ref="N31">_xlfn.IFS(Movie_financials[[#This Row],[imdb_rating]]&lt;7,"Average",Movie_financials[[#This Row],[imdb_rating]]&lt;=8.5,"Good",TRUE,"Excellent")</f>
        <v>Average</v>
      </c>
      <c r="O31" t="str" cm="1">
        <f t="array" ref="O31">_xlfn.IFS(Movie_financials[[#This Row],[budget]]&lt;50,"Low budget",Movie_financials[[#This Row],[budget]]&lt;=150,"Medium budget",TRUE,"High budget")</f>
        <v>Low budget</v>
      </c>
    </row>
    <row r="32" spans="1:15">
      <c r="A32">
        <v>132</v>
      </c>
      <c r="B32" t="s">
        <v>140</v>
      </c>
      <c r="C32" t="s">
        <v>7</v>
      </c>
      <c r="D32" t="s">
        <v>141</v>
      </c>
      <c r="E32">
        <v>7.6</v>
      </c>
      <c r="F32" t="s">
        <v>60</v>
      </c>
      <c r="G32" t="s">
        <v>165</v>
      </c>
      <c r="H32">
        <v>2</v>
      </c>
      <c r="I32">
        <v>3.6</v>
      </c>
      <c r="J32" t="s">
        <v>78</v>
      </c>
      <c r="K32" t="s">
        <v>79</v>
      </c>
      <c r="L32" s="14">
        <v>44547</v>
      </c>
      <c r="M32" t="str" cm="1">
        <f t="array" ref="M32">_xlfn.IFS( Movie_financials[[#This Row],[revenue]]&lt;500,"Average", Movie_financials[[#This Row],[revenue]]&lt;=1000,"Hit", TRUE,"Blockbuster")</f>
        <v>Average</v>
      </c>
      <c r="N32" t="str" cm="1">
        <f t="array" ref="N32">_xlfn.IFS(Movie_financials[[#This Row],[imdb_rating]]&lt;7,"Average",Movie_financials[[#This Row],[imdb_rating]]&lt;=8.5,"Good",TRUE,"Excellent")</f>
        <v>Good</v>
      </c>
      <c r="O32" t="str" cm="1">
        <f t="array" ref="O32">_xlfn.IFS(Movie_financials[[#This Row],[budget]]&lt;50,"Low budget",Movie_financials[[#This Row],[budget]]&lt;=150,"Medium budget",TRUE,"High budget")</f>
        <v>Low budget</v>
      </c>
    </row>
    <row r="33" spans="1:15">
      <c r="A33">
        <v>133</v>
      </c>
      <c r="B33" t="s">
        <v>142</v>
      </c>
      <c r="C33" t="s">
        <v>7</v>
      </c>
      <c r="D33" t="s">
        <v>85</v>
      </c>
      <c r="E33">
        <v>8</v>
      </c>
      <c r="F33" t="s">
        <v>62</v>
      </c>
      <c r="G33" t="s">
        <v>165</v>
      </c>
      <c r="H33">
        <v>6</v>
      </c>
      <c r="I33">
        <v>12</v>
      </c>
      <c r="J33" t="s">
        <v>78</v>
      </c>
      <c r="K33" t="s">
        <v>79</v>
      </c>
      <c r="L33" s="14">
        <v>44645</v>
      </c>
      <c r="M33" t="str" cm="1">
        <f t="array" ref="M33">_xlfn.IFS( Movie_financials[[#This Row],[revenue]]&lt;500,"Average", Movie_financials[[#This Row],[revenue]]&lt;=1000,"Hit", TRUE,"Blockbuster")</f>
        <v>Average</v>
      </c>
      <c r="N33" t="str" cm="1">
        <f t="array" ref="N33">_xlfn.IFS(Movie_financials[[#This Row],[imdb_rating]]&lt;7,"Average",Movie_financials[[#This Row],[imdb_rating]]&lt;=8.5,"Good",TRUE,"Excellent")</f>
        <v>Good</v>
      </c>
      <c r="O33" t="str" cm="1">
        <f t="array" ref="O33">_xlfn.IFS(Movie_financials[[#This Row],[budget]]&lt;50,"Low budget",Movie_financials[[#This Row],[budget]]&lt;=150,"Medium budget",TRUE,"High budget")</f>
        <v>Low budget</v>
      </c>
    </row>
    <row r="34" spans="1:15">
      <c r="A34">
        <v>134</v>
      </c>
      <c r="B34" t="s">
        <v>143</v>
      </c>
      <c r="C34" t="s">
        <v>7</v>
      </c>
      <c r="D34" t="s">
        <v>102</v>
      </c>
      <c r="E34">
        <v>8</v>
      </c>
      <c r="F34" t="s">
        <v>64</v>
      </c>
      <c r="G34" t="s">
        <v>165</v>
      </c>
      <c r="H34">
        <v>2</v>
      </c>
      <c r="I34">
        <v>6.5</v>
      </c>
      <c r="J34" t="s">
        <v>78</v>
      </c>
      <c r="K34" t="s">
        <v>79</v>
      </c>
      <c r="L34" s="14">
        <v>42195</v>
      </c>
      <c r="M34" t="str" cm="1">
        <f t="array" ref="M34">_xlfn.IFS( Movie_financials[[#This Row],[revenue]]&lt;500,"Average", Movie_financials[[#This Row],[revenue]]&lt;=1000,"Hit", TRUE,"Blockbuster")</f>
        <v>Average</v>
      </c>
      <c r="N34" t="str" cm="1">
        <f t="array" ref="N34">_xlfn.IFS(Movie_financials[[#This Row],[imdb_rating]]&lt;7,"Average",Movie_financials[[#This Row],[imdb_rating]]&lt;=8.5,"Good",TRUE,"Excellent")</f>
        <v>Good</v>
      </c>
      <c r="O34" t="str" cm="1">
        <f t="array" ref="O34">_xlfn.IFS(Movie_financials[[#This Row],[budget]]&lt;50,"Low budget",Movie_financials[[#This Row],[budget]]&lt;=150,"Medium budget",TRUE,"High budget")</f>
        <v>Low budget</v>
      </c>
    </row>
    <row r="35" spans="1:15">
      <c r="A35">
        <v>135</v>
      </c>
      <c r="B35" t="s">
        <v>144</v>
      </c>
      <c r="C35" t="s">
        <v>7</v>
      </c>
      <c r="D35" t="s">
        <v>85</v>
      </c>
      <c r="E35">
        <v>8.3000000000000007</v>
      </c>
      <c r="F35" t="s">
        <v>66</v>
      </c>
      <c r="G35" t="s">
        <v>163</v>
      </c>
      <c r="H35">
        <v>250</v>
      </c>
      <c r="I35">
        <v>3409</v>
      </c>
      <c r="J35" t="s">
        <v>80</v>
      </c>
      <c r="K35" t="s">
        <v>79</v>
      </c>
      <c r="L35" s="14">
        <v>44631</v>
      </c>
      <c r="M35" t="str" cm="1">
        <f t="array" ref="M35">_xlfn.IFS( Movie_financials[[#This Row],[revenue]]&lt;500,"Average", Movie_financials[[#This Row],[revenue]]&lt;=1000,"Hit", TRUE,"Blockbuster")</f>
        <v>Blockbuster</v>
      </c>
      <c r="N35" t="str" cm="1">
        <f t="array" ref="N35">_xlfn.IFS(Movie_financials[[#This Row],[imdb_rating]]&lt;7,"Average",Movie_financials[[#This Row],[imdb_rating]]&lt;=8.5,"Good",TRUE,"Excellent")</f>
        <v>Good</v>
      </c>
      <c r="O35" t="str" cm="1">
        <f t="array" ref="O35">_xlfn.IFS(Movie_financials[[#This Row],[budget]]&lt;50,"Low budget",Movie_financials[[#This Row],[budget]]&lt;=150,"Medium budget",TRUE,"High budget")</f>
        <v>High budget</v>
      </c>
    </row>
    <row r="36" spans="1:15">
      <c r="A36">
        <v>136</v>
      </c>
      <c r="B36" t="s">
        <v>145</v>
      </c>
      <c r="C36" t="s">
        <v>7</v>
      </c>
      <c r="D36" t="s">
        <v>102</v>
      </c>
      <c r="E36">
        <v>8.1</v>
      </c>
      <c r="F36" t="s">
        <v>68</v>
      </c>
      <c r="G36" t="s">
        <v>163</v>
      </c>
      <c r="H36">
        <v>900</v>
      </c>
      <c r="I36">
        <v>11690</v>
      </c>
      <c r="J36" t="s">
        <v>80</v>
      </c>
      <c r="K36" t="s">
        <v>79</v>
      </c>
      <c r="L36" s="14">
        <v>42202</v>
      </c>
      <c r="M36" t="str" cm="1">
        <f t="array" ref="M36">_xlfn.IFS( Movie_financials[[#This Row],[revenue]]&lt;500,"Average", Movie_financials[[#This Row],[revenue]]&lt;=1000,"Hit", TRUE,"Blockbuster")</f>
        <v>Blockbuster</v>
      </c>
      <c r="N36" t="str" cm="1">
        <f t="array" ref="N36">_xlfn.IFS(Movie_financials[[#This Row],[imdb_rating]]&lt;7,"Average",Movie_financials[[#This Row],[imdb_rating]]&lt;=8.5,"Good",TRUE,"Excellent")</f>
        <v>Good</v>
      </c>
      <c r="O36" t="str" cm="1">
        <f t="array" ref="O36">_xlfn.IFS(Movie_financials[[#This Row],[budget]]&lt;50,"Low budget",Movie_financials[[#This Row],[budget]]&lt;=150,"Medium budget",TRUE,"High budget")</f>
        <v>High budget</v>
      </c>
    </row>
    <row r="37" spans="1:15">
      <c r="A37">
        <v>137</v>
      </c>
      <c r="B37" t="s">
        <v>146</v>
      </c>
      <c r="C37" t="s">
        <v>10</v>
      </c>
      <c r="D37" t="s">
        <v>147</v>
      </c>
      <c r="E37">
        <v>6.9</v>
      </c>
      <c r="F37" t="s">
        <v>11</v>
      </c>
      <c r="G37" t="s">
        <v>162</v>
      </c>
      <c r="H37">
        <v>217</v>
      </c>
      <c r="I37">
        <v>370.6</v>
      </c>
      <c r="J37" t="s">
        <v>80</v>
      </c>
      <c r="K37" t="s">
        <v>81</v>
      </c>
      <c r="L37" s="14">
        <v>40746</v>
      </c>
      <c r="M37" t="str" cm="1">
        <f t="array" ref="M37">_xlfn.IFS( Movie_financials[[#This Row],[revenue]]&lt;500,"Average", Movie_financials[[#This Row],[revenue]]&lt;=1000,"Hit", TRUE,"Blockbuster")</f>
        <v>Average</v>
      </c>
      <c r="N37" t="str" cm="1">
        <f t="array" ref="N37">_xlfn.IFS(Movie_financials[[#This Row],[imdb_rating]]&lt;7,"Average",Movie_financials[[#This Row],[imdb_rating]]&lt;=8.5,"Good",TRUE,"Excellent")</f>
        <v>Average</v>
      </c>
      <c r="O37" t="str" cm="1">
        <f t="array" ref="O37">_xlfn.IFS(Movie_financials[[#This Row],[budget]]&lt;50,"Low budget",Movie_financials[[#This Row],[budget]]&lt;=150,"Medium budget",TRUE,"High budget")</f>
        <v>High budget</v>
      </c>
    </row>
    <row r="38" spans="1:15">
      <c r="A38">
        <v>138</v>
      </c>
      <c r="B38" t="s">
        <v>148</v>
      </c>
      <c r="C38" t="s">
        <v>10</v>
      </c>
      <c r="D38" t="s">
        <v>109</v>
      </c>
      <c r="E38">
        <v>7.8</v>
      </c>
      <c r="F38" t="s">
        <v>11</v>
      </c>
      <c r="G38" t="s">
        <v>162</v>
      </c>
      <c r="H38">
        <v>177</v>
      </c>
      <c r="I38">
        <v>714.4</v>
      </c>
      <c r="J38" t="s">
        <v>80</v>
      </c>
      <c r="K38" t="s">
        <v>81</v>
      </c>
      <c r="L38" s="14">
        <v>41733</v>
      </c>
      <c r="M38" t="str" cm="1">
        <f t="array" ref="M38">_xlfn.IFS( Movie_financials[[#This Row],[revenue]]&lt;500,"Average", Movie_financials[[#This Row],[revenue]]&lt;=1000,"Hit", TRUE,"Blockbuster")</f>
        <v>Hit</v>
      </c>
      <c r="N38" t="str" cm="1">
        <f t="array" ref="N38">_xlfn.IFS(Movie_financials[[#This Row],[imdb_rating]]&lt;7,"Average",Movie_financials[[#This Row],[imdb_rating]]&lt;=8.5,"Good",TRUE,"Excellent")</f>
        <v>Good</v>
      </c>
      <c r="O38" t="str" cm="1">
        <f t="array" ref="O38">_xlfn.IFS(Movie_financials[[#This Row],[budget]]&lt;50,"Low budget",Movie_financials[[#This Row],[budget]]&lt;=150,"Medium budget",TRUE,"High budget")</f>
        <v>High budget</v>
      </c>
    </row>
    <row r="39" spans="1:15">
      <c r="A39">
        <v>139</v>
      </c>
      <c r="B39" t="s">
        <v>149</v>
      </c>
      <c r="C39" t="s">
        <v>7</v>
      </c>
      <c r="D39" t="s">
        <v>130</v>
      </c>
      <c r="E39">
        <v>1.9</v>
      </c>
      <c r="F39" t="s">
        <v>68</v>
      </c>
      <c r="G39" t="s">
        <v>163</v>
      </c>
      <c r="H39">
        <v>2</v>
      </c>
      <c r="I39">
        <v>3.1</v>
      </c>
      <c r="J39" t="s">
        <v>78</v>
      </c>
      <c r="K39" t="s">
        <v>79</v>
      </c>
      <c r="L39" s="14">
        <v>43266</v>
      </c>
      <c r="M39" t="str" cm="1">
        <f t="array" ref="M39">_xlfn.IFS( Movie_financials[[#This Row],[revenue]]&lt;500,"Average", Movie_financials[[#This Row],[revenue]]&lt;=1000,"Hit", TRUE,"Blockbuster")</f>
        <v>Average</v>
      </c>
      <c r="N39" t="str" cm="1">
        <f t="array" ref="N39">_xlfn.IFS(Movie_financials[[#This Row],[imdb_rating]]&lt;7,"Average",Movie_financials[[#This Row],[imdb_rating]]&lt;=8.5,"Good",TRUE,"Excellent")</f>
        <v>Average</v>
      </c>
      <c r="O39" t="str" cm="1">
        <f t="array" ref="O39">_xlfn.IFS(Movie_financials[[#This Row],[budget]]&lt;50,"Low budget",Movie_financials[[#This Row],[budget]]&lt;=150,"Medium budget",TRUE,"High budget")</f>
        <v>Low budget</v>
      </c>
    </row>
    <row r="40" spans="1:15">
      <c r="A40">
        <v>140</v>
      </c>
      <c r="B40" t="s">
        <v>150</v>
      </c>
      <c r="C40" t="s">
        <v>7</v>
      </c>
      <c r="D40" t="s">
        <v>141</v>
      </c>
      <c r="E40">
        <v>8.4</v>
      </c>
      <c r="F40" t="s">
        <v>23</v>
      </c>
      <c r="G40" t="s">
        <v>163</v>
      </c>
      <c r="H40">
        <v>500</v>
      </c>
      <c r="I40">
        <v>950</v>
      </c>
      <c r="J40" t="s">
        <v>80</v>
      </c>
      <c r="K40" t="s">
        <v>79</v>
      </c>
      <c r="L40" s="14">
        <v>44420</v>
      </c>
      <c r="M40" t="str" cm="1">
        <f t="array" ref="M40">_xlfn.IFS( Movie_financials[[#This Row],[revenue]]&lt;500,"Average", Movie_financials[[#This Row],[revenue]]&lt;=1000,"Hit", TRUE,"Blockbuster")</f>
        <v>Hit</v>
      </c>
      <c r="N40" t="str" cm="1">
        <f t="array" ref="N40">_xlfn.IFS(Movie_financials[[#This Row],[imdb_rating]]&lt;7,"Average",Movie_financials[[#This Row],[imdb_rating]]&lt;=8.5,"Good",TRUE,"Excellent")</f>
        <v>Good</v>
      </c>
      <c r="O40" t="str" cm="1">
        <f t="array" ref="O40">_xlfn.IFS(Movie_financials[[#This Row],[budget]]&lt;50,"Low budget",Movie_financials[[#This Row],[budget]]&lt;=150,"Medium budget",TRUE,"High budget")</f>
        <v>High budget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84A2-E12F-4A28-BD67-5E55FBE3406F}">
  <sheetPr codeName="Sheet8"/>
  <dimension ref="A2:D22"/>
  <sheetViews>
    <sheetView zoomScale="110" zoomScaleNormal="110" workbookViewId="0">
      <selection activeCell="B5" sqref="B5"/>
    </sheetView>
  </sheetViews>
  <sheetFormatPr defaultRowHeight="14.5"/>
  <cols>
    <col min="1" max="1" width="15.6328125" customWidth="1"/>
    <col min="2" max="2" width="24.1796875" customWidth="1"/>
    <col min="3" max="3" width="14.81640625" bestFit="1" customWidth="1"/>
    <col min="4" max="4" width="15.7265625" bestFit="1" customWidth="1"/>
  </cols>
  <sheetData>
    <row r="2" spans="1:4" ht="28">
      <c r="A2" s="74" t="s">
        <v>192</v>
      </c>
      <c r="B2" s="74"/>
      <c r="C2" s="74"/>
    </row>
    <row r="4" spans="1:4" ht="22.5" customHeight="1">
      <c r="A4" s="5" t="s">
        <v>172</v>
      </c>
      <c r="B4" t="s">
        <v>185</v>
      </c>
      <c r="C4" t="s">
        <v>193</v>
      </c>
      <c r="D4" t="s">
        <v>194</v>
      </c>
    </row>
    <row r="5" spans="1:4">
      <c r="A5" s="12" t="s">
        <v>187</v>
      </c>
      <c r="B5">
        <f>VALUE(TRIM(RIGHT(Table9[[#This Row],[Studio_number]],LEN(Table9[[#This Row],[Studio_number]])-FIND("-",Table9[[#This Row],[Studio_number]],6))))</f>
        <v>101</v>
      </c>
      <c r="C5">
        <f>LEN(Table9[[#This Row],[Extracted_studio_number]])</f>
        <v>3</v>
      </c>
      <c r="D5" t="b">
        <f>ISNUMBER(Table9[[#This Row],[Extracted_studio_number]])</f>
        <v>1</v>
      </c>
    </row>
    <row r="6" spans="1:4">
      <c r="A6" s="13" t="s">
        <v>186</v>
      </c>
      <c r="B6">
        <f>VALUE(TRIM(RIGHT(Table9[[#This Row],[Studio_number]],LEN(Table9[[#This Row],[Studio_number]])-FIND("-",Table9[[#This Row],[Studio_number]],6))))</f>
        <v>102</v>
      </c>
      <c r="C6">
        <f>LEN(Table9[[#This Row],[Extracted_studio_number]])</f>
        <v>3</v>
      </c>
      <c r="D6" t="b">
        <f>ISNUMBER(Table9[[#This Row],[Extracted_studio_number]])</f>
        <v>1</v>
      </c>
    </row>
    <row r="7" spans="1:4">
      <c r="A7" s="12" t="s">
        <v>173</v>
      </c>
      <c r="B7">
        <f>VALUE(TRIM(RIGHT(Table9[[#This Row],[Studio_number]],LEN(Table9[[#This Row],[Studio_number]])-FIND("-",Table9[[#This Row],[Studio_number]],6))))</f>
        <v>103</v>
      </c>
      <c r="C7">
        <f>LEN(Table9[[#This Row],[Extracted_studio_number]])</f>
        <v>3</v>
      </c>
      <c r="D7" t="b">
        <f>ISNUMBER(Table9[[#This Row],[Extracted_studio_number]])</f>
        <v>1</v>
      </c>
    </row>
    <row r="8" spans="1:4">
      <c r="A8" s="13" t="s">
        <v>174</v>
      </c>
      <c r="B8">
        <f>VALUE(TRIM(RIGHT(Table9[[#This Row],[Studio_number]],LEN(Table9[[#This Row],[Studio_number]])-FIND("-",Table9[[#This Row],[Studio_number]],6))))</f>
        <v>104</v>
      </c>
      <c r="C8">
        <f>LEN(Table9[[#This Row],[Extracted_studio_number]])</f>
        <v>3</v>
      </c>
      <c r="D8" t="b">
        <f>ISNUMBER(Table9[[#This Row],[Extracted_studio_number]])</f>
        <v>1</v>
      </c>
    </row>
    <row r="9" spans="1:4">
      <c r="A9" s="12" t="s">
        <v>175</v>
      </c>
      <c r="B9">
        <f>VALUE(TRIM(RIGHT(Table9[[#This Row],[Studio_number]],LEN(Table9[[#This Row],[Studio_number]])-FIND("-",Table9[[#This Row],[Studio_number]],6))))</f>
        <v>105</v>
      </c>
      <c r="C9">
        <f>LEN(Table9[[#This Row],[Extracted_studio_number]])</f>
        <v>3</v>
      </c>
      <c r="D9" t="b">
        <f>ISNUMBER(Table9[[#This Row],[Extracted_studio_number]])</f>
        <v>1</v>
      </c>
    </row>
    <row r="10" spans="1:4">
      <c r="A10" s="13" t="s">
        <v>176</v>
      </c>
      <c r="B10">
        <f>VALUE(TRIM(RIGHT(Table9[[#This Row],[Studio_number]],LEN(Table9[[#This Row],[Studio_number]])-FIND("-",Table9[[#This Row],[Studio_number]],6))))</f>
        <v>106</v>
      </c>
      <c r="C10">
        <f>LEN(Table9[[#This Row],[Extracted_studio_number]])</f>
        <v>3</v>
      </c>
      <c r="D10" t="b">
        <f>ISNUMBER(Table9[[#This Row],[Extracted_studio_number]])</f>
        <v>1</v>
      </c>
    </row>
    <row r="11" spans="1:4">
      <c r="A11" s="12" t="s">
        <v>177</v>
      </c>
      <c r="B11">
        <f>VALUE(TRIM(RIGHT(Table9[[#This Row],[Studio_number]],LEN(Table9[[#This Row],[Studio_number]])-FIND("-",Table9[[#This Row],[Studio_number]],6))))</f>
        <v>107</v>
      </c>
      <c r="C11">
        <f>LEN(Table9[[#This Row],[Extracted_studio_number]])</f>
        <v>3</v>
      </c>
      <c r="D11" t="b">
        <f>ISNUMBER(Table9[[#This Row],[Extracted_studio_number]])</f>
        <v>1</v>
      </c>
    </row>
    <row r="12" spans="1:4">
      <c r="A12" s="13" t="s">
        <v>178</v>
      </c>
      <c r="B12">
        <f>VALUE(TRIM(RIGHT(Table9[[#This Row],[Studio_number]],LEN(Table9[[#This Row],[Studio_number]])-FIND("-",Table9[[#This Row],[Studio_number]],6))))</f>
        <v>108</v>
      </c>
      <c r="C12">
        <f>LEN(Table9[[#This Row],[Extracted_studio_number]])</f>
        <v>3</v>
      </c>
      <c r="D12" t="b">
        <f>ISNUMBER(Table9[[#This Row],[Extracted_studio_number]])</f>
        <v>1</v>
      </c>
    </row>
    <row r="13" spans="1:4">
      <c r="A13" s="12" t="s">
        <v>179</v>
      </c>
      <c r="B13">
        <f>VALUE(TRIM(RIGHT(Table9[[#This Row],[Studio_number]],LEN(Table9[[#This Row],[Studio_number]])-FIND("-",Table9[[#This Row],[Studio_number]],6))))</f>
        <v>109</v>
      </c>
      <c r="C13">
        <f>LEN(Table9[[#This Row],[Extracted_studio_number]])</f>
        <v>3</v>
      </c>
      <c r="D13" t="b">
        <f>ISNUMBER(Table9[[#This Row],[Extracted_studio_number]])</f>
        <v>1</v>
      </c>
    </row>
    <row r="14" spans="1:4">
      <c r="A14" s="13" t="s">
        <v>180</v>
      </c>
      <c r="B14">
        <f>VALUE(TRIM(RIGHT(Table9[[#This Row],[Studio_number]],LEN(Table9[[#This Row],[Studio_number]])-FIND("-",Table9[[#This Row],[Studio_number]],6))))</f>
        <v>110</v>
      </c>
      <c r="C14">
        <f>LEN(Table9[[#This Row],[Extracted_studio_number]])</f>
        <v>3</v>
      </c>
      <c r="D14" t="b">
        <f>ISNUMBER(Table9[[#This Row],[Extracted_studio_number]])</f>
        <v>1</v>
      </c>
    </row>
    <row r="15" spans="1:4">
      <c r="A15" s="12" t="s">
        <v>188</v>
      </c>
      <c r="B15">
        <f>VALUE(TRIM(RIGHT(Table9[[#This Row],[Studio_number]],LEN(Table9[[#This Row],[Studio_number]])-FIND("-",Table9[[#This Row],[Studio_number]],6))))</f>
        <v>1111</v>
      </c>
      <c r="C15">
        <f>LEN(Table9[[#This Row],[Extracted_studio_number]])</f>
        <v>4</v>
      </c>
      <c r="D15" t="b">
        <f>ISNUMBER(Table9[[#This Row],[Extracted_studio_number]])</f>
        <v>1</v>
      </c>
    </row>
    <row r="16" spans="1:4">
      <c r="A16" s="13" t="s">
        <v>189</v>
      </c>
      <c r="B16">
        <f>VALUE(TRIM(RIGHT(Table9[[#This Row],[Studio_number]],LEN(Table9[[#This Row],[Studio_number]])-FIND("-",Table9[[#This Row],[Studio_number]],6))))</f>
        <v>1112</v>
      </c>
      <c r="C16">
        <f>LEN(Table9[[#This Row],[Extracted_studio_number]])</f>
        <v>4</v>
      </c>
      <c r="D16" t="b">
        <f>ISNUMBER(Table9[[#This Row],[Extracted_studio_number]])</f>
        <v>1</v>
      </c>
    </row>
    <row r="17" spans="1:4">
      <c r="A17" s="12" t="s">
        <v>190</v>
      </c>
      <c r="B17">
        <f>VALUE(TRIM(RIGHT(Table9[[#This Row],[Studio_number]],LEN(Table9[[#This Row],[Studio_number]])-FIND("-",Table9[[#This Row],[Studio_number]],6))))</f>
        <v>13</v>
      </c>
      <c r="C17">
        <f>LEN(Table9[[#This Row],[Extracted_studio_number]])</f>
        <v>2</v>
      </c>
      <c r="D17" t="b">
        <f>ISNUMBER(Table9[[#This Row],[Extracted_studio_number]])</f>
        <v>1</v>
      </c>
    </row>
    <row r="18" spans="1:4">
      <c r="A18" s="13" t="s">
        <v>191</v>
      </c>
      <c r="B18">
        <f>VALUE(TRIM(RIGHT(Table9[[#This Row],[Studio_number]],LEN(Table9[[#This Row],[Studio_number]])-FIND("-",Table9[[#This Row],[Studio_number]],6))))</f>
        <v>14</v>
      </c>
      <c r="C18">
        <f>LEN(Table9[[#This Row],[Extracted_studio_number]])</f>
        <v>2</v>
      </c>
      <c r="D18" t="b">
        <f>ISNUMBER(Table9[[#This Row],[Extracted_studio_number]])</f>
        <v>1</v>
      </c>
    </row>
    <row r="19" spans="1:4">
      <c r="A19" s="12" t="s">
        <v>181</v>
      </c>
      <c r="B19">
        <f>VALUE(TRIM(RIGHT(Table9[[#This Row],[Studio_number]],LEN(Table9[[#This Row],[Studio_number]])-FIND("-",Table9[[#This Row],[Studio_number]],6))))</f>
        <v>115</v>
      </c>
      <c r="C19">
        <f>LEN(Table9[[#This Row],[Extracted_studio_number]])</f>
        <v>3</v>
      </c>
      <c r="D19" t="b">
        <f>ISNUMBER(Table9[[#This Row],[Extracted_studio_number]])</f>
        <v>1</v>
      </c>
    </row>
    <row r="20" spans="1:4">
      <c r="A20" s="13" t="s">
        <v>182</v>
      </c>
      <c r="B20">
        <f>VALUE(TRIM(RIGHT(Table9[[#This Row],[Studio_number]],LEN(Table9[[#This Row],[Studio_number]])-FIND("-",Table9[[#This Row],[Studio_number]],6))))</f>
        <v>116</v>
      </c>
      <c r="C20">
        <f>LEN(Table9[[#This Row],[Extracted_studio_number]])</f>
        <v>3</v>
      </c>
      <c r="D20" t="b">
        <f>ISNUMBER(Table9[[#This Row],[Extracted_studio_number]])</f>
        <v>1</v>
      </c>
    </row>
    <row r="21" spans="1:4">
      <c r="A21" s="12" t="s">
        <v>183</v>
      </c>
      <c r="B21">
        <f>VALUE(TRIM(RIGHT(Table9[[#This Row],[Studio_number]],LEN(Table9[[#This Row],[Studio_number]])-FIND("-",Table9[[#This Row],[Studio_number]],6))))</f>
        <v>117</v>
      </c>
      <c r="C21">
        <f>LEN(Table9[[#This Row],[Extracted_studio_number]])</f>
        <v>3</v>
      </c>
      <c r="D21" t="b">
        <f>ISNUMBER(Table9[[#This Row],[Extracted_studio_number]])</f>
        <v>1</v>
      </c>
    </row>
    <row r="22" spans="1:4">
      <c r="A22" s="13" t="s">
        <v>184</v>
      </c>
      <c r="B22">
        <f>VALUE(TRIM(RIGHT(Table9[[#This Row],[Studio_number]],LEN(Table9[[#This Row],[Studio_number]])-FIND("-",Table9[[#This Row],[Studio_number]],6))))</f>
        <v>118</v>
      </c>
      <c r="C22">
        <f>LEN(Table9[[#This Row],[Extracted_studio_number]])</f>
        <v>3</v>
      </c>
      <c r="D22" t="b">
        <f>ISNUMBER(Table9[[#This Row],[Extracted_studio_number]])</f>
        <v>1</v>
      </c>
    </row>
  </sheetData>
  <mergeCells count="1">
    <mergeCell ref="A2:C2"/>
  </mergeCells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D576-9193-4377-B431-EE1F621A4DFC}">
  <sheetPr codeName="Sheet9"/>
  <dimension ref="A1:V40"/>
  <sheetViews>
    <sheetView zoomScale="108" zoomScaleNormal="108" workbookViewId="0">
      <selection activeCell="I9" sqref="I9"/>
    </sheetView>
  </sheetViews>
  <sheetFormatPr defaultRowHeight="14.5"/>
  <cols>
    <col min="1" max="1" width="10.453125" bestFit="1" customWidth="1"/>
    <col min="2" max="2" width="36.54296875" bestFit="1" customWidth="1"/>
    <col min="3" max="3" width="10" bestFit="1" customWidth="1"/>
    <col min="4" max="4" width="13.54296875" bestFit="1" customWidth="1"/>
    <col min="5" max="5" width="13.08984375" bestFit="1" customWidth="1"/>
    <col min="6" max="6" width="23.36328125" bestFit="1" customWidth="1"/>
    <col min="7" max="7" width="13.08984375" bestFit="1" customWidth="1"/>
    <col min="8" max="8" width="8.90625" bestFit="1" customWidth="1"/>
    <col min="9" max="9" width="9.81640625" bestFit="1" customWidth="1"/>
    <col min="10" max="10" width="7" bestFit="1" customWidth="1"/>
    <col min="11" max="11" width="10.453125" bestFit="1" customWidth="1"/>
    <col min="12" max="12" width="13.7265625" bestFit="1" customWidth="1"/>
    <col min="13" max="13" width="19.7265625" bestFit="1" customWidth="1"/>
    <col min="14" max="14" width="16.453125" bestFit="1" customWidth="1"/>
    <col min="15" max="15" width="16.90625" bestFit="1" customWidth="1"/>
    <col min="16" max="16" width="15.453125" bestFit="1" customWidth="1"/>
    <col min="17" max="17" width="17.54296875" bestFit="1" customWidth="1"/>
    <col min="18" max="18" width="13.36328125" bestFit="1" customWidth="1"/>
    <col min="19" max="19" width="15.6328125" bestFit="1" customWidth="1"/>
    <col min="20" max="20" width="12.90625" bestFit="1" customWidth="1"/>
    <col min="21" max="21" width="17.81640625" bestFit="1" customWidth="1"/>
    <col min="22" max="22" width="8.453125" bestFit="1" customWidth="1"/>
  </cols>
  <sheetData>
    <row r="1" spans="1:22">
      <c r="A1" t="s">
        <v>82</v>
      </c>
      <c r="B1" t="s">
        <v>83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74</v>
      </c>
      <c r="I1" t="s">
        <v>75</v>
      </c>
      <c r="J1" t="s">
        <v>76</v>
      </c>
      <c r="K1" t="s">
        <v>77</v>
      </c>
      <c r="L1" t="s">
        <v>195</v>
      </c>
      <c r="M1" t="s">
        <v>166</v>
      </c>
      <c r="N1" t="s">
        <v>167</v>
      </c>
      <c r="O1" t="s">
        <v>168</v>
      </c>
      <c r="P1" t="s">
        <v>196</v>
      </c>
      <c r="Q1" t="s">
        <v>198</v>
      </c>
      <c r="R1" t="s">
        <v>197</v>
      </c>
      <c r="S1" t="s">
        <v>205</v>
      </c>
      <c r="T1" t="s">
        <v>206</v>
      </c>
      <c r="U1" t="s">
        <v>207</v>
      </c>
      <c r="V1" t="s">
        <v>223</v>
      </c>
    </row>
    <row r="2" spans="1:22">
      <c r="A2">
        <v>101</v>
      </c>
      <c r="B2" t="s">
        <v>84</v>
      </c>
      <c r="C2" t="s">
        <v>7</v>
      </c>
      <c r="D2" t="s">
        <v>85</v>
      </c>
      <c r="E2">
        <v>8.4</v>
      </c>
      <c r="F2" t="s">
        <v>86</v>
      </c>
      <c r="G2" t="s">
        <v>161</v>
      </c>
      <c r="H2">
        <v>1</v>
      </c>
      <c r="I2">
        <v>12.5</v>
      </c>
      <c r="J2" t="s">
        <v>78</v>
      </c>
      <c r="K2" t="s">
        <v>79</v>
      </c>
      <c r="L2" s="14">
        <v>44665</v>
      </c>
      <c r="M2" t="str" cm="1">
        <f t="array" ref="M2">_xlfn.IFS( Movie_financials__with_release_date[[#This Row],[revenue]]&lt;500,"Average", Movie_financials__with_release_date[[#This Row],[revenue]]&lt;=1000,"Hit", TRUE,"Blockbuster")</f>
        <v>Average</v>
      </c>
      <c r="N2" t="str" cm="1">
        <f t="array" ref="N2">_xlfn.IFS(Movie_financials__with_release_date[[#This Row],[imdb_rating]]&lt;7,"Average",Movie_financials__with_release_date[[#This Row],[imdb_rating]]&lt;=8.5,"Good",TRUE,"Excellent")</f>
        <v>Good</v>
      </c>
      <c r="O2" t="str" cm="1">
        <f t="array" ref="O2">_xlfn.IFS(Movie_financials__with_release_date[[#This Row],[budget]]&lt;50,"Low budget",Movie_financials__with_release_date[[#This Row],[budget]]&lt;=150,"Medium budget",TRUE,"High budget")</f>
        <v>Low budget</v>
      </c>
      <c r="P2" t="str">
        <f ca="1">DATEDIF(Movie_financials__with_release_date[[#This Row],[release_date]],TODAY(),"Y")&amp; "years"&amp; DATEDIF(Movie_financials__with_release_date[[#This Row],[release_date]],TODAY(),"YM")&amp; "months"</f>
        <v>4years3months</v>
      </c>
      <c r="Q2">
        <f ca="1">DATEDIF(Movie_financials__with_release_date[[#This Row],[release_date]],TODAY(),"Y")</f>
        <v>4</v>
      </c>
      <c r="R2" t="str" cm="1">
        <f t="array" aca="1" ref="R2" ca="1">_xlfn.IFS(Movie_financials__with_release_date[[#This Row],[Movie_age(years)]]&lt;5,"New Release",Movie_financials__with_release_date[[#This Row],[Movie_age(years)]]&lt;=15,"Modern Classic",
TRUE,"Classic"
)</f>
        <v>New Release</v>
      </c>
      <c r="S2" t="str" cm="1">
        <f t="array" ref="S2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" t="str" cm="1">
        <f t="array" ref="T2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" t="str" cm="1">
        <f t="array" ref="U2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2" t="str">
        <f>IF(AND(Movie_financials__with_release_date[[#This Row],[budget]]&gt;=200,Movie_financials__with_release_date[[#This Row],[profit_category]]="Low Profit"),"⚠ Review","OK")</f>
        <v>OK</v>
      </c>
    </row>
    <row r="3" spans="1:22">
      <c r="A3">
        <v>102</v>
      </c>
      <c r="B3" t="s">
        <v>87</v>
      </c>
      <c r="C3" t="s">
        <v>10</v>
      </c>
      <c r="D3" t="s">
        <v>85</v>
      </c>
      <c r="E3">
        <v>7</v>
      </c>
      <c r="F3" t="s">
        <v>11</v>
      </c>
      <c r="G3" t="s">
        <v>162</v>
      </c>
      <c r="H3">
        <v>200</v>
      </c>
      <c r="I3">
        <v>954.8</v>
      </c>
      <c r="J3" t="s">
        <v>80</v>
      </c>
      <c r="K3" t="s">
        <v>81</v>
      </c>
      <c r="L3" s="14">
        <v>44687</v>
      </c>
      <c r="M3" t="str" cm="1">
        <f t="array" ref="M3">_xlfn.IFS( Movie_financials__with_release_date[[#This Row],[revenue]]&lt;500,"Average", Movie_financials__with_release_date[[#This Row],[revenue]]&lt;=1000,"Hit", TRUE,"Blockbuster")</f>
        <v>Hit</v>
      </c>
      <c r="N3" t="str" cm="1">
        <f t="array" ref="N3">_xlfn.IFS(Movie_financials__with_release_date[[#This Row],[imdb_rating]]&lt;7,"Average",Movie_financials__with_release_date[[#This Row],[imdb_rating]]&lt;=8.5,"Good",TRUE,"Excellent")</f>
        <v>Good</v>
      </c>
      <c r="O3" t="str" cm="1">
        <f t="array" ref="O3">_xlfn.IFS(Movie_financials__with_release_date[[#This Row],[budget]]&lt;50,"Low budget",Movie_financials__with_release_date[[#This Row],[budget]]&lt;=150,"Medium budget",TRUE,"High budget")</f>
        <v>High budget</v>
      </c>
      <c r="P3" t="str">
        <f ca="1">DATEDIF(Movie_financials__with_release_date[[#This Row],[release_date]],TODAY(),"Y")&amp; "years"&amp; DATEDIF(Movie_financials__with_release_date[[#This Row],[release_date]],TODAY(),"YM")&amp; "months"</f>
        <v>4years2months</v>
      </c>
      <c r="Q3">
        <f ca="1">DATEDIF(Movie_financials__with_release_date[[#This Row],[release_date]],TODAY(),"Y")</f>
        <v>4</v>
      </c>
      <c r="R3" t="str" cm="1">
        <f t="array" aca="1" ref="R3" ca="1">_xlfn.IFS(Movie_financials__with_release_date[[#This Row],[Movie_age(years)]]&lt;5,"New Release",Movie_financials__with_release_date[[#This Row],[Movie_age(years)]]&lt;=15,"Modern Classic",
TRUE,"Classic"
)</f>
        <v>New Release</v>
      </c>
      <c r="S3" t="str" cm="1">
        <f t="array" ref="S3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" t="str" cm="1">
        <f t="array" ref="T3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3" t="str" cm="1">
        <f t="array" ref="U3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3" t="str">
        <f>IF(AND(Movie_financials__with_release_date[[#This Row],[budget]]&gt;=200,Movie_financials__with_release_date[[#This Row],[profit_category]]="Low Profit"),"⚠ Review","OK")</f>
        <v>OK</v>
      </c>
    </row>
    <row r="4" spans="1:22">
      <c r="A4">
        <v>103</v>
      </c>
      <c r="B4" t="s">
        <v>88</v>
      </c>
      <c r="C4" t="s">
        <v>10</v>
      </c>
      <c r="D4" t="s">
        <v>89</v>
      </c>
      <c r="E4">
        <v>6.8</v>
      </c>
      <c r="F4" t="s">
        <v>11</v>
      </c>
      <c r="G4" t="s">
        <v>162</v>
      </c>
      <c r="H4">
        <v>165</v>
      </c>
      <c r="I4">
        <v>644.79999999999995</v>
      </c>
      <c r="J4" t="s">
        <v>80</v>
      </c>
      <c r="K4" t="s">
        <v>81</v>
      </c>
      <c r="L4" s="14">
        <v>41586</v>
      </c>
      <c r="M4" t="str" cm="1">
        <f t="array" ref="M4">_xlfn.IFS( Movie_financials__with_release_date[[#This Row],[revenue]]&lt;500,"Average", Movie_financials__with_release_date[[#This Row],[revenue]]&lt;=1000,"Hit", TRUE,"Blockbuster")</f>
        <v>Hit</v>
      </c>
      <c r="N4" t="str" cm="1">
        <f t="array" ref="N4">_xlfn.IFS(Movie_financials__with_release_date[[#This Row],[imdb_rating]]&lt;7,"Average",Movie_financials__with_release_date[[#This Row],[imdb_rating]]&lt;=8.5,"Good",TRUE,"Excellent")</f>
        <v>Average</v>
      </c>
      <c r="O4" t="str" cm="1">
        <f t="array" ref="O4">_xlfn.IFS(Movie_financials__with_release_date[[#This Row],[budget]]&lt;50,"Low budget",Movie_financials__with_release_date[[#This Row],[budget]]&lt;=150,"Medium budget",TRUE,"High budget")</f>
        <v>High budget</v>
      </c>
      <c r="P4" t="str">
        <f ca="1">DATEDIF(Movie_financials__with_release_date[[#This Row],[release_date]],TODAY(),"Y")&amp; "years"&amp; DATEDIF(Movie_financials__with_release_date[[#This Row],[release_date]],TODAY(),"YM")&amp; "months"</f>
        <v>12years8months</v>
      </c>
      <c r="Q4">
        <f ca="1">DATEDIF(Movie_financials__with_release_date[[#This Row],[release_date]],TODAY(),"Y")</f>
        <v>12</v>
      </c>
      <c r="R4" t="str" cm="1">
        <f t="array" aca="1" ref="R4" ca="1">_xlfn.IFS(Movie_financials__with_release_date[[#This Row],[Movie_age(years)]]&lt;5,"New Release",Movie_financials__with_release_date[[#This Row],[Movie_age(years)]]&lt;=15,"Modern Classic",
TRUE,"Classic"
)</f>
        <v>Modern Classic</v>
      </c>
      <c r="S4" t="str" cm="1">
        <f t="array" ref="S4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4" t="str" cm="1">
        <f t="array" ref="T4">_xlfn.IFS(Movie_financials__with_release_date[[#This Row],[imdb_rating]]&gt;=9,"A+",
Movie_financials__with_release_date[[#This Row],[imdb_rating]]&gt;=8,"A",
Movie_financials__with_release_date[[#This Row],[imdb_rating]]&gt;=7,"B",
TRUE,"C")</f>
        <v>C</v>
      </c>
      <c r="U4" t="str" cm="1">
        <f t="array" ref="U4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4" t="str">
        <f>IF(AND(Movie_financials__with_release_date[[#This Row],[budget]]&gt;=200,Movie_financials__with_release_date[[#This Row],[profit_category]]="Low Profit"),"⚠ Review","OK")</f>
        <v>OK</v>
      </c>
    </row>
    <row r="5" spans="1:22">
      <c r="A5">
        <v>104</v>
      </c>
      <c r="B5" t="s">
        <v>90</v>
      </c>
      <c r="C5" t="s">
        <v>10</v>
      </c>
      <c r="D5" t="s">
        <v>91</v>
      </c>
      <c r="E5">
        <v>7.9</v>
      </c>
      <c r="F5" t="s">
        <v>11</v>
      </c>
      <c r="G5" t="s">
        <v>162</v>
      </c>
      <c r="H5">
        <v>180</v>
      </c>
      <c r="I5">
        <v>854</v>
      </c>
      <c r="J5" t="s">
        <v>80</v>
      </c>
      <c r="K5" t="s">
        <v>81</v>
      </c>
      <c r="L5" s="14">
        <v>43042</v>
      </c>
      <c r="M5" t="str" cm="1">
        <f t="array" ref="M5">_xlfn.IFS( Movie_financials__with_release_date[[#This Row],[revenue]]&lt;500,"Average", Movie_financials__with_release_date[[#This Row],[revenue]]&lt;=1000,"Hit", TRUE,"Blockbuster")</f>
        <v>Hit</v>
      </c>
      <c r="N5" t="str" cm="1">
        <f t="array" ref="N5">_xlfn.IFS(Movie_financials__with_release_date[[#This Row],[imdb_rating]]&lt;7,"Average",Movie_financials__with_release_date[[#This Row],[imdb_rating]]&lt;=8.5,"Good",TRUE,"Excellent")</f>
        <v>Good</v>
      </c>
      <c r="O5" t="str" cm="1">
        <f t="array" ref="O5">_xlfn.IFS(Movie_financials__with_release_date[[#This Row],[budget]]&lt;50,"Low budget",Movie_financials__with_release_date[[#This Row],[budget]]&lt;=150,"Medium budget",TRUE,"High budget")</f>
        <v>High budget</v>
      </c>
      <c r="P5" t="str">
        <f ca="1">DATEDIF(Movie_financials__with_release_date[[#This Row],[release_date]],TODAY(),"Y")&amp; "years"&amp; DATEDIF(Movie_financials__with_release_date[[#This Row],[release_date]],TODAY(),"YM")&amp; "months"</f>
        <v>8years8months</v>
      </c>
      <c r="Q5">
        <f ca="1">DATEDIF(Movie_financials__with_release_date[[#This Row],[release_date]],TODAY(),"Y")</f>
        <v>8</v>
      </c>
      <c r="R5" t="str" cm="1">
        <f t="array" aca="1" ref="R5" ca="1">_xlfn.IFS(Movie_financials__with_release_date[[#This Row],[Movie_age(years)]]&lt;5,"New Release",Movie_financials__with_release_date[[#This Row],[Movie_age(years)]]&lt;=15,"Modern Classic",
TRUE,"Classic"
)</f>
        <v>Modern Classic</v>
      </c>
      <c r="S5" t="str" cm="1">
        <f t="array" ref="S5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5" t="str" cm="1">
        <f t="array" ref="T5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5" t="str" cm="1">
        <f t="array" ref="U5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5" t="str">
        <f>IF(AND(Movie_financials__with_release_date[[#This Row],[budget]]&gt;=200,Movie_financials__with_release_date[[#This Row],[profit_category]]="Low Profit"),"⚠ Review","OK")</f>
        <v>OK</v>
      </c>
    </row>
    <row r="6" spans="1:22">
      <c r="A6">
        <v>105</v>
      </c>
      <c r="B6" t="s">
        <v>92</v>
      </c>
      <c r="C6" t="s">
        <v>10</v>
      </c>
      <c r="D6" t="s">
        <v>85</v>
      </c>
      <c r="E6">
        <v>6.8</v>
      </c>
      <c r="F6" t="s">
        <v>11</v>
      </c>
      <c r="G6" t="s">
        <v>162</v>
      </c>
      <c r="H6">
        <v>250</v>
      </c>
      <c r="I6">
        <v>670</v>
      </c>
      <c r="J6" t="s">
        <v>80</v>
      </c>
      <c r="K6" t="s">
        <v>81</v>
      </c>
      <c r="L6" s="14">
        <v>44750</v>
      </c>
      <c r="M6" t="str" cm="1">
        <f t="array" ref="M6">_xlfn.IFS( Movie_financials__with_release_date[[#This Row],[revenue]]&lt;500,"Average", Movie_financials__with_release_date[[#This Row],[revenue]]&lt;=1000,"Hit", TRUE,"Blockbuster")</f>
        <v>Hit</v>
      </c>
      <c r="N6" t="str" cm="1">
        <f t="array" ref="N6">_xlfn.IFS(Movie_financials__with_release_date[[#This Row],[imdb_rating]]&lt;7,"Average",Movie_financials__with_release_date[[#This Row],[imdb_rating]]&lt;=8.5,"Good",TRUE,"Excellent")</f>
        <v>Average</v>
      </c>
      <c r="O6" t="str" cm="1">
        <f t="array" ref="O6">_xlfn.IFS(Movie_financials__with_release_date[[#This Row],[budget]]&lt;50,"Low budget",Movie_financials__with_release_date[[#This Row],[budget]]&lt;=150,"Medium budget",TRUE,"High budget")</f>
        <v>High budget</v>
      </c>
      <c r="P6" t="str">
        <f ca="1">DATEDIF(Movie_financials__with_release_date[[#This Row],[release_date]],TODAY(),"Y")&amp; "years"&amp; DATEDIF(Movie_financials__with_release_date[[#This Row],[release_date]],TODAY(),"YM")&amp; "months"</f>
        <v>4years0months</v>
      </c>
      <c r="Q6">
        <f ca="1">DATEDIF(Movie_financials__with_release_date[[#This Row],[release_date]],TODAY(),"Y")</f>
        <v>4</v>
      </c>
      <c r="R6" t="str" cm="1">
        <f t="array" aca="1" ref="R6" ca="1">_xlfn.IFS(Movie_financials__with_release_date[[#This Row],[Movie_age(years)]]&lt;5,"New Release",Movie_financials__with_release_date[[#This Row],[Movie_age(years)]]&lt;=15,"Modern Classic",
TRUE,"Classic"
)</f>
        <v>New Release</v>
      </c>
      <c r="S6" t="str" cm="1">
        <f t="array" ref="S6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6" t="str" cm="1">
        <f t="array" ref="T6">_xlfn.IFS(Movie_financials__with_release_date[[#This Row],[imdb_rating]]&gt;=9,"A+",
Movie_financials__with_release_date[[#This Row],[imdb_rating]]&gt;=8,"A",
Movie_financials__with_release_date[[#This Row],[imdb_rating]]&gt;=7,"B",
TRUE,"C")</f>
        <v>C</v>
      </c>
      <c r="U6" t="str" cm="1">
        <f t="array" ref="U6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6" t="str">
        <f>IF(AND(Movie_financials__with_release_date[[#This Row],[budget]]&gt;=200,Movie_financials__with_release_date[[#This Row],[profit_category]]="Low Profit"),"⚠ Review","OK")</f>
        <v>OK</v>
      </c>
    </row>
    <row r="7" spans="1:22">
      <c r="A7">
        <v>106</v>
      </c>
      <c r="B7" t="s">
        <v>93</v>
      </c>
      <c r="C7" t="s">
        <v>7</v>
      </c>
      <c r="D7" t="s">
        <v>94</v>
      </c>
      <c r="E7">
        <v>8.1</v>
      </c>
      <c r="F7" t="s">
        <v>17</v>
      </c>
      <c r="G7" t="s">
        <v>163</v>
      </c>
      <c r="L7" s="14">
        <v>27621</v>
      </c>
      <c r="M7" t="str" cm="1">
        <f t="array" ref="M7">_xlfn.IFS( Movie_financials__with_release_date[[#This Row],[revenue]]&lt;500,"Average", Movie_financials__with_release_date[[#This Row],[revenue]]&lt;=1000,"Hit", TRUE,"Blockbuster")</f>
        <v>Average</v>
      </c>
      <c r="N7" t="str" cm="1">
        <f t="array" ref="N7">_xlfn.IFS(Movie_financials__with_release_date[[#This Row],[imdb_rating]]&lt;7,"Average",Movie_financials__with_release_date[[#This Row],[imdb_rating]]&lt;=8.5,"Good",TRUE,"Excellent")</f>
        <v>Good</v>
      </c>
      <c r="O7" t="str" cm="1">
        <f t="array" ref="O7">_xlfn.IFS(Movie_financials__with_release_date[[#This Row],[budget]]&lt;50,"Low budget",Movie_financials__with_release_date[[#This Row],[budget]]&lt;=150,"Medium budget",TRUE,"High budget")</f>
        <v>Low budget</v>
      </c>
      <c r="P7" t="str">
        <f ca="1">DATEDIF(Movie_financials__with_release_date[[#This Row],[release_date]],TODAY(),"Y")&amp; "years"&amp; DATEDIF(Movie_financials__with_release_date[[#This Row],[release_date]],TODAY(),"YM")&amp; "months"</f>
        <v>50years11months</v>
      </c>
      <c r="Q7">
        <f ca="1">DATEDIF(Movie_financials__with_release_date[[#This Row],[release_date]],TODAY(),"Y")</f>
        <v>50</v>
      </c>
      <c r="R7" t="str" cm="1">
        <f t="array" aca="1" ref="R7" ca="1">_xlfn.IFS(Movie_financials__with_release_date[[#This Row],[Movie_age(years)]]&lt;5,"New Release",Movie_financials__with_release_date[[#This Row],[Movie_age(years)]]&lt;=15,"Modern Classic",
TRUE,"Classic"
)</f>
        <v>Classic</v>
      </c>
      <c r="S7" t="str" cm="1">
        <f t="array" ref="S7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Low Profit</v>
      </c>
      <c r="T7" t="str" cm="1">
        <f t="array" ref="T7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7" t="str" cm="1">
        <f t="array" ref="U7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7" t="str">
        <f>IF(AND(Movie_financials__with_release_date[[#This Row],[budget]]&gt;=200,Movie_financials__with_release_date[[#This Row],[profit_category]]="Low Profit"),"⚠ Review","OK")</f>
        <v>OK</v>
      </c>
    </row>
    <row r="8" spans="1:22">
      <c r="A8">
        <v>107</v>
      </c>
      <c r="B8" t="s">
        <v>95</v>
      </c>
      <c r="C8" t="s">
        <v>7</v>
      </c>
      <c r="D8" t="s">
        <v>96</v>
      </c>
      <c r="E8">
        <v>8</v>
      </c>
      <c r="F8" t="s">
        <v>19</v>
      </c>
      <c r="G8" t="s">
        <v>163</v>
      </c>
      <c r="H8">
        <v>400</v>
      </c>
      <c r="I8">
        <v>2000</v>
      </c>
      <c r="J8" t="s">
        <v>80</v>
      </c>
      <c r="K8" t="s">
        <v>79</v>
      </c>
      <c r="L8" s="14">
        <v>34992</v>
      </c>
      <c r="M8" t="str" cm="1">
        <f t="array" ref="M8">_xlfn.IFS( Movie_financials__with_release_date[[#This Row],[revenue]]&lt;500,"Average", Movie_financials__with_release_date[[#This Row],[revenue]]&lt;=1000,"Hit", TRUE,"Blockbuster")</f>
        <v>Blockbuster</v>
      </c>
      <c r="N8" t="str" cm="1">
        <f t="array" ref="N8">_xlfn.IFS(Movie_financials__with_release_date[[#This Row],[imdb_rating]]&lt;7,"Average",Movie_financials__with_release_date[[#This Row],[imdb_rating]]&lt;=8.5,"Good",TRUE,"Excellent")</f>
        <v>Good</v>
      </c>
      <c r="O8" t="str" cm="1">
        <f t="array" ref="O8">_xlfn.IFS(Movie_financials__with_release_date[[#This Row],[budget]]&lt;50,"Low budget",Movie_financials__with_release_date[[#This Row],[budget]]&lt;=150,"Medium budget",TRUE,"High budget")</f>
        <v>High budget</v>
      </c>
      <c r="P8" t="str">
        <f ca="1">DATEDIF(Movie_financials__with_release_date[[#This Row],[release_date]],TODAY(),"Y")&amp; "years"&amp; DATEDIF(Movie_financials__with_release_date[[#This Row],[release_date]],TODAY(),"YM")&amp; "months"</f>
        <v>30years9months</v>
      </c>
      <c r="Q8">
        <f ca="1">DATEDIF(Movie_financials__with_release_date[[#This Row],[release_date]],TODAY(),"Y")</f>
        <v>30</v>
      </c>
      <c r="R8" t="str" cm="1">
        <f t="array" aca="1" ref="R8" ca="1">_xlfn.IFS(Movie_financials__with_release_date[[#This Row],[Movie_age(years)]]&lt;5,"New Release",Movie_financials__with_release_date[[#This Row],[Movie_age(years)]]&lt;=15,"Modern Classic",
TRUE,"Classic"
)</f>
        <v>Classic</v>
      </c>
      <c r="S8" t="str" cm="1">
        <f t="array" ref="S8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8" t="str" cm="1">
        <f t="array" ref="T8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8" t="str" cm="1">
        <f t="array" ref="U8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8" t="str">
        <f>IF(AND(Movie_financials__with_release_date[[#This Row],[budget]]&gt;=200,Movie_financials__with_release_date[[#This Row],[profit_category]]="Low Profit"),"⚠ Review","OK")</f>
        <v>OK</v>
      </c>
    </row>
    <row r="9" spans="1:22">
      <c r="A9">
        <v>108</v>
      </c>
      <c r="B9" t="s">
        <v>97</v>
      </c>
      <c r="C9" t="s">
        <v>7</v>
      </c>
      <c r="D9" t="s">
        <v>98</v>
      </c>
      <c r="E9">
        <v>8.4</v>
      </c>
      <c r="F9" t="s">
        <v>56</v>
      </c>
      <c r="G9" t="s">
        <v>163</v>
      </c>
      <c r="H9">
        <v>550</v>
      </c>
      <c r="I9">
        <v>4000</v>
      </c>
      <c r="J9" t="s">
        <v>80</v>
      </c>
      <c r="K9" t="s">
        <v>79</v>
      </c>
      <c r="L9" s="14">
        <v>40172</v>
      </c>
      <c r="M9" t="str" cm="1">
        <f t="array" ref="M9">_xlfn.IFS( Movie_financials__with_release_date[[#This Row],[revenue]]&lt;500,"Average", Movie_financials__with_release_date[[#This Row],[revenue]]&lt;=1000,"Hit", TRUE,"Blockbuster")</f>
        <v>Blockbuster</v>
      </c>
      <c r="N9" t="str" cm="1">
        <f t="array" ref="N9">_xlfn.IFS(Movie_financials__with_release_date[[#This Row],[imdb_rating]]&lt;7,"Average",Movie_financials__with_release_date[[#This Row],[imdb_rating]]&lt;=8.5,"Good",TRUE,"Excellent")</f>
        <v>Good</v>
      </c>
      <c r="O9" t="str" cm="1">
        <f t="array" ref="O9">_xlfn.IFS(Movie_financials__with_release_date[[#This Row],[budget]]&lt;50,"Low budget",Movie_financials__with_release_date[[#This Row],[budget]]&lt;=150,"Medium budget",TRUE,"High budget")</f>
        <v>High budget</v>
      </c>
      <c r="P9" t="str">
        <f ca="1">DATEDIF(Movie_financials__with_release_date[[#This Row],[release_date]],TODAY(),"Y")&amp; "years"&amp; DATEDIF(Movie_financials__with_release_date[[#This Row],[release_date]],TODAY(),"YM")&amp; "months"</f>
        <v>16years6months</v>
      </c>
      <c r="Q9">
        <f ca="1">DATEDIF(Movie_financials__with_release_date[[#This Row],[release_date]],TODAY(),"Y")</f>
        <v>16</v>
      </c>
      <c r="R9" t="str" cm="1">
        <f t="array" aca="1" ref="R9" ca="1">_xlfn.IFS(Movie_financials__with_release_date[[#This Row],[Movie_age(years)]]&lt;5,"New Release",Movie_financials__with_release_date[[#This Row],[Movie_age(years)]]&lt;=15,"Modern Classic",
TRUE,"Classic"
)</f>
        <v>Classic</v>
      </c>
      <c r="S9" t="str" cm="1">
        <f t="array" ref="S9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9" t="str" cm="1">
        <f t="array" ref="T9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9" t="str" cm="1">
        <f t="array" ref="U9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9" t="str">
        <f>IF(AND(Movie_financials__with_release_date[[#This Row],[budget]]&gt;=200,Movie_financials__with_release_date[[#This Row],[profit_category]]="Low Profit"),"⚠ Review","OK")</f>
        <v>OK</v>
      </c>
    </row>
    <row r="10" spans="1:22">
      <c r="A10">
        <v>109</v>
      </c>
      <c r="B10" t="s">
        <v>99</v>
      </c>
      <c r="C10" t="s">
        <v>7</v>
      </c>
      <c r="D10" t="s">
        <v>100</v>
      </c>
      <c r="E10">
        <v>7.4</v>
      </c>
      <c r="F10" t="s">
        <v>23</v>
      </c>
      <c r="G10" t="s">
        <v>163</v>
      </c>
      <c r="H10">
        <v>390</v>
      </c>
      <c r="I10">
        <v>1360</v>
      </c>
      <c r="J10" t="s">
        <v>80</v>
      </c>
      <c r="K10" t="s">
        <v>79</v>
      </c>
      <c r="L10" s="14">
        <v>37239</v>
      </c>
      <c r="M10" t="str" cm="1">
        <f t="array" ref="M10">_xlfn.IFS( Movie_financials__with_release_date[[#This Row],[revenue]]&lt;500,"Average", Movie_financials__with_release_date[[#This Row],[revenue]]&lt;=1000,"Hit", TRUE,"Blockbuster")</f>
        <v>Blockbuster</v>
      </c>
      <c r="N10" t="str" cm="1">
        <f t="array" ref="N10">_xlfn.IFS(Movie_financials__with_release_date[[#This Row],[imdb_rating]]&lt;7,"Average",Movie_financials__with_release_date[[#This Row],[imdb_rating]]&lt;=8.5,"Good",TRUE,"Excellent")</f>
        <v>Good</v>
      </c>
      <c r="O10" t="str" cm="1">
        <f t="array" ref="O10">_xlfn.IFS(Movie_financials__with_release_date[[#This Row],[budget]]&lt;50,"Low budget",Movie_financials__with_release_date[[#This Row],[budget]]&lt;=150,"Medium budget",TRUE,"High budget")</f>
        <v>High budget</v>
      </c>
      <c r="P10" t="str">
        <f ca="1">DATEDIF(Movie_financials__with_release_date[[#This Row],[release_date]],TODAY(),"Y")&amp; "years"&amp; DATEDIF(Movie_financials__with_release_date[[#This Row],[release_date]],TODAY(),"YM")&amp; "months"</f>
        <v>24years7months</v>
      </c>
      <c r="Q10">
        <f ca="1">DATEDIF(Movie_financials__with_release_date[[#This Row],[release_date]],TODAY(),"Y")</f>
        <v>24</v>
      </c>
      <c r="R10" t="str" cm="1">
        <f t="array" aca="1" ref="R10" ca="1">_xlfn.IFS(Movie_financials__with_release_date[[#This Row],[Movie_age(years)]]&lt;5,"New Release",Movie_financials__with_release_date[[#This Row],[Movie_age(years)]]&lt;=15,"Modern Classic",
TRUE,"Classic"
)</f>
        <v>Classic</v>
      </c>
      <c r="S10" t="str" cm="1">
        <f t="array" ref="S10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0" t="str" cm="1">
        <f t="array" ref="T10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10" t="str" cm="1">
        <f t="array" ref="U10">_xlfn.IFS(Movie_financials__with_release_date[[#This Row],[revenue]]&gt;=2000,"Mega Hit",
Movie_financials__with_release_date[[#This Row],[revenue]]&gt;=1000,"Super Hit",
Movie_financials__with_release_date[[#This Row],[revenue]]&gt;=500,"Hit",
TRUE,"Average")</f>
        <v>Super Hit</v>
      </c>
      <c r="V10" t="str">
        <f>IF(AND(Movie_financials__with_release_date[[#This Row],[budget]]&gt;=200,Movie_financials__with_release_date[[#This Row],[profit_category]]="Low Profit"),"⚠ Review","OK")</f>
        <v>OK</v>
      </c>
    </row>
    <row r="11" spans="1:22">
      <c r="A11">
        <v>110</v>
      </c>
      <c r="B11" t="s">
        <v>101</v>
      </c>
      <c r="C11" t="s">
        <v>7</v>
      </c>
      <c r="D11" t="s">
        <v>102</v>
      </c>
      <c r="E11">
        <v>7.2</v>
      </c>
      <c r="F11" t="s">
        <v>103</v>
      </c>
      <c r="G11" t="s">
        <v>163</v>
      </c>
      <c r="H11">
        <v>1</v>
      </c>
      <c r="I11">
        <v>3.5</v>
      </c>
      <c r="J11" t="s">
        <v>78</v>
      </c>
      <c r="K11" t="s">
        <v>79</v>
      </c>
      <c r="L11" s="14">
        <v>42356</v>
      </c>
      <c r="M11" t="str" cm="1">
        <f t="array" ref="M11">_xlfn.IFS( Movie_financials__with_release_date[[#This Row],[revenue]]&lt;500,"Average", Movie_financials__with_release_date[[#This Row],[revenue]]&lt;=1000,"Hit", TRUE,"Blockbuster")</f>
        <v>Average</v>
      </c>
      <c r="N11" t="str" cm="1">
        <f t="array" ref="N11">_xlfn.IFS(Movie_financials__with_release_date[[#This Row],[imdb_rating]]&lt;7,"Average",Movie_financials__with_release_date[[#This Row],[imdb_rating]]&lt;=8.5,"Good",TRUE,"Excellent")</f>
        <v>Good</v>
      </c>
      <c r="O11" t="str" cm="1">
        <f t="array" ref="O11">_xlfn.IFS(Movie_financials__with_release_date[[#This Row],[budget]]&lt;50,"Low budget",Movie_financials__with_release_date[[#This Row],[budget]]&lt;=150,"Medium budget",TRUE,"High budget")</f>
        <v>Low budget</v>
      </c>
      <c r="P11" t="str">
        <f ca="1">DATEDIF(Movie_financials__with_release_date[[#This Row],[release_date]],TODAY(),"Y")&amp; "years"&amp; DATEDIF(Movie_financials__with_release_date[[#This Row],[release_date]],TODAY(),"YM")&amp; "months"</f>
        <v>10years7months</v>
      </c>
      <c r="Q11">
        <f ca="1">DATEDIF(Movie_financials__with_release_date[[#This Row],[release_date]],TODAY(),"Y")</f>
        <v>10</v>
      </c>
      <c r="R11" t="str" cm="1">
        <f t="array" aca="1" ref="R11" ca="1">_xlfn.IFS(Movie_financials__with_release_date[[#This Row],[Movie_age(years)]]&lt;5,"New Release",Movie_financials__with_release_date[[#This Row],[Movie_age(years)]]&lt;=15,"Modern Classic",
TRUE,"Classic"
)</f>
        <v>Modern Classic</v>
      </c>
      <c r="S11" t="str" cm="1">
        <f t="array" ref="S11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1" t="str" cm="1">
        <f t="array" ref="T11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11" t="str" cm="1">
        <f t="array" ref="U11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11" t="str">
        <f>IF(AND(Movie_financials__with_release_date[[#This Row],[budget]]&gt;=200,Movie_financials__with_release_date[[#This Row],[profit_category]]="Low Profit"),"⚠ Review","OK")</f>
        <v>OK</v>
      </c>
    </row>
    <row r="12" spans="1:22">
      <c r="A12">
        <v>111</v>
      </c>
      <c r="B12" t="s">
        <v>104</v>
      </c>
      <c r="C12" t="s">
        <v>10</v>
      </c>
      <c r="D12" t="s">
        <v>105</v>
      </c>
      <c r="E12">
        <v>9.3000000000000007</v>
      </c>
      <c r="F12" t="s">
        <v>26</v>
      </c>
      <c r="G12" t="s">
        <v>162</v>
      </c>
      <c r="H12">
        <v>25</v>
      </c>
      <c r="I12">
        <v>73.3</v>
      </c>
      <c r="J12" t="s">
        <v>80</v>
      </c>
      <c r="K12" t="s">
        <v>81</v>
      </c>
      <c r="L12" s="14">
        <v>34600</v>
      </c>
      <c r="M12" t="str" cm="1">
        <f t="array" ref="M12">_xlfn.IFS( Movie_financials__with_release_date[[#This Row],[revenue]]&lt;500,"Average", Movie_financials__with_release_date[[#This Row],[revenue]]&lt;=1000,"Hit", TRUE,"Blockbuster")</f>
        <v>Average</v>
      </c>
      <c r="N12" t="str" cm="1">
        <f t="array" ref="N12">_xlfn.IFS(Movie_financials__with_release_date[[#This Row],[imdb_rating]]&lt;7,"Average",Movie_financials__with_release_date[[#This Row],[imdb_rating]]&lt;=8.5,"Good",TRUE,"Excellent")</f>
        <v>Excellent</v>
      </c>
      <c r="O12" t="str" cm="1">
        <f t="array" ref="O12">_xlfn.IFS(Movie_financials__with_release_date[[#This Row],[budget]]&lt;50,"Low budget",Movie_financials__with_release_date[[#This Row],[budget]]&lt;=150,"Medium budget",TRUE,"High budget")</f>
        <v>Low budget</v>
      </c>
      <c r="P12" t="str">
        <f ca="1">DATEDIF(Movie_financials__with_release_date[[#This Row],[release_date]],TODAY(),"Y")&amp; "years"&amp; DATEDIF(Movie_financials__with_release_date[[#This Row],[release_date]],TODAY(),"YM")&amp; "months"</f>
        <v>31years9months</v>
      </c>
      <c r="Q12">
        <f ca="1">DATEDIF(Movie_financials__with_release_date[[#This Row],[release_date]],TODAY(),"Y")</f>
        <v>31</v>
      </c>
      <c r="R12" t="str" cm="1">
        <f t="array" aca="1" ref="R12" ca="1">_xlfn.IFS(Movie_financials__with_release_date[[#This Row],[Movie_age(years)]]&lt;5,"New Release",Movie_financials__with_release_date[[#This Row],[Movie_age(years)]]&lt;=15,"Modern Classic",
TRUE,"Classic"
)</f>
        <v>Classic</v>
      </c>
      <c r="S12" t="str" cm="1">
        <f t="array" ref="S12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12" t="str" cm="1">
        <f t="array" ref="T12">_xlfn.IFS(Movie_financials__with_release_date[[#This Row],[imdb_rating]]&gt;=9,"A+",
Movie_financials__with_release_date[[#This Row],[imdb_rating]]&gt;=8,"A",
Movie_financials__with_release_date[[#This Row],[imdb_rating]]&gt;=7,"B",
TRUE,"C")</f>
        <v>A+</v>
      </c>
      <c r="U12" t="str" cm="1">
        <f t="array" ref="U12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12" t="str">
        <f>IF(AND(Movie_financials__with_release_date[[#This Row],[budget]]&gt;=200,Movie_financials__with_release_date[[#This Row],[profit_category]]="Low Profit"),"⚠ Review","OK")</f>
        <v>OK</v>
      </c>
    </row>
    <row r="13" spans="1:22">
      <c r="A13">
        <v>113</v>
      </c>
      <c r="B13" t="s">
        <v>108</v>
      </c>
      <c r="C13" t="s">
        <v>10</v>
      </c>
      <c r="D13" t="s">
        <v>109</v>
      </c>
      <c r="E13">
        <v>8.6</v>
      </c>
      <c r="F13" t="s">
        <v>28</v>
      </c>
      <c r="G13" t="s">
        <v>162</v>
      </c>
      <c r="H13">
        <v>165</v>
      </c>
      <c r="I13">
        <v>701.8</v>
      </c>
      <c r="J13" t="s">
        <v>80</v>
      </c>
      <c r="K13" t="s">
        <v>81</v>
      </c>
      <c r="L13" s="14">
        <v>41836</v>
      </c>
      <c r="M13" t="str" cm="1">
        <f t="array" ref="M13">_xlfn.IFS( Movie_financials__with_release_date[[#This Row],[revenue]]&lt;500,"Average", Movie_financials__with_release_date[[#This Row],[revenue]]&lt;=1000,"Hit", TRUE,"Blockbuster")</f>
        <v>Hit</v>
      </c>
      <c r="N13" t="str" cm="1">
        <f t="array" ref="N13">_xlfn.IFS(Movie_financials__with_release_date[[#This Row],[imdb_rating]]&lt;7,"Average",Movie_financials__with_release_date[[#This Row],[imdb_rating]]&lt;=8.5,"Good",TRUE,"Excellent")</f>
        <v>Excellent</v>
      </c>
      <c r="O13" t="str" cm="1">
        <f t="array" ref="O13">_xlfn.IFS(Movie_financials__with_release_date[[#This Row],[budget]]&lt;50,"Low budget",Movie_financials__with_release_date[[#This Row],[budget]]&lt;=150,"Medium budget",TRUE,"High budget")</f>
        <v>High budget</v>
      </c>
      <c r="P13" t="str">
        <f ca="1">DATEDIF(Movie_financials__with_release_date[[#This Row],[release_date]],TODAY(),"Y")&amp; "years"&amp; DATEDIF(Movie_financials__with_release_date[[#This Row],[release_date]],TODAY(),"YM")&amp; "months"</f>
        <v>12years0months</v>
      </c>
      <c r="Q13">
        <f ca="1">DATEDIF(Movie_financials__with_release_date[[#This Row],[release_date]],TODAY(),"Y")</f>
        <v>12</v>
      </c>
      <c r="R13" t="str" cm="1">
        <f t="array" aca="1" ref="R13" ca="1">_xlfn.IFS(Movie_financials__with_release_date[[#This Row],[Movie_age(years)]]&lt;5,"New Release",Movie_financials__with_release_date[[#This Row],[Movie_age(years)]]&lt;=15,"Modern Classic",
TRUE,"Classic"
)</f>
        <v>Modern Classic</v>
      </c>
      <c r="S13" t="str" cm="1">
        <f t="array" ref="S13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3" t="str" cm="1">
        <f t="array" ref="T13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13" t="str" cm="1">
        <f t="array" ref="U13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13" t="str">
        <f>IF(AND(Movie_financials__with_release_date[[#This Row],[budget]]&gt;=200,Movie_financials__with_release_date[[#This Row],[profit_category]]="Low Profit"),"⚠ Review","OK")</f>
        <v>OK</v>
      </c>
    </row>
    <row r="14" spans="1:22">
      <c r="A14">
        <v>112</v>
      </c>
      <c r="B14" t="s">
        <v>106</v>
      </c>
      <c r="C14" t="s">
        <v>10</v>
      </c>
      <c r="D14" t="s">
        <v>107</v>
      </c>
      <c r="E14">
        <v>8.8000000000000007</v>
      </c>
      <c r="F14" t="s">
        <v>28</v>
      </c>
      <c r="G14" t="s">
        <v>162</v>
      </c>
      <c r="L14" s="14">
        <v>40489</v>
      </c>
      <c r="M14" t="str" cm="1">
        <f t="array" ref="M14">_xlfn.IFS( Movie_financials__with_release_date[[#This Row],[revenue]]&lt;500,"Average", Movie_financials__with_release_date[[#This Row],[revenue]]&lt;=1000,"Hit", TRUE,"Blockbuster")</f>
        <v>Average</v>
      </c>
      <c r="N14" t="str" cm="1">
        <f t="array" ref="N14">_xlfn.IFS(Movie_financials__with_release_date[[#This Row],[imdb_rating]]&lt;7,"Average",Movie_financials__with_release_date[[#This Row],[imdb_rating]]&lt;=8.5,"Good",TRUE,"Excellent")</f>
        <v>Excellent</v>
      </c>
      <c r="O14" t="str" cm="1">
        <f t="array" ref="O14">_xlfn.IFS(Movie_financials__with_release_date[[#This Row],[budget]]&lt;50,"Low budget",Movie_financials__with_release_date[[#This Row],[budget]]&lt;=150,"Medium budget",TRUE,"High budget")</f>
        <v>Low budget</v>
      </c>
      <c r="P14" t="str">
        <f ca="1">DATEDIF(Movie_financials__with_release_date[[#This Row],[release_date]],TODAY(),"Y")&amp; "years"&amp; DATEDIF(Movie_financials__with_release_date[[#This Row],[release_date]],TODAY(),"YM")&amp; "months"</f>
        <v>15years8months</v>
      </c>
      <c r="Q14">
        <f ca="1">DATEDIF(Movie_financials__with_release_date[[#This Row],[release_date]],TODAY(),"Y")</f>
        <v>15</v>
      </c>
      <c r="R14" t="str" cm="1">
        <f t="array" aca="1" ref="R14" ca="1">_xlfn.IFS(Movie_financials__with_release_date[[#This Row],[Movie_age(years)]]&lt;5,"New Release",Movie_financials__with_release_date[[#This Row],[Movie_age(years)]]&lt;=15,"Modern Classic",
TRUE,"Classic"
)</f>
        <v>Modern Classic</v>
      </c>
      <c r="S14" t="str" cm="1">
        <f t="array" ref="S14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Low Profit</v>
      </c>
      <c r="T14" t="str" cm="1">
        <f t="array" ref="T14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14" t="str" cm="1">
        <f t="array" ref="U14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14" t="str">
        <f>IF(AND(Movie_financials__with_release_date[[#This Row],[budget]]&gt;=200,Movie_financials__with_release_date[[#This Row],[profit_category]]="Low Profit"),"⚠ Review","OK")</f>
        <v>OK</v>
      </c>
    </row>
    <row r="15" spans="1:22">
      <c r="A15">
        <v>115</v>
      </c>
      <c r="B15" t="s">
        <v>110</v>
      </c>
      <c r="C15" t="s">
        <v>10</v>
      </c>
      <c r="D15" t="s">
        <v>111</v>
      </c>
      <c r="E15">
        <v>8</v>
      </c>
      <c r="F15" t="s">
        <v>31</v>
      </c>
      <c r="G15" t="s">
        <v>162</v>
      </c>
      <c r="H15">
        <v>55</v>
      </c>
      <c r="I15">
        <v>307.10000000000002</v>
      </c>
      <c r="J15" t="s">
        <v>80</v>
      </c>
      <c r="K15" t="s">
        <v>81</v>
      </c>
      <c r="L15" s="14">
        <v>39066</v>
      </c>
      <c r="M15" t="str" cm="1">
        <f t="array" ref="M15">_xlfn.IFS( Movie_financials__with_release_date[[#This Row],[revenue]]&lt;500,"Average", Movie_financials__with_release_date[[#This Row],[revenue]]&lt;=1000,"Hit", TRUE,"Blockbuster")</f>
        <v>Average</v>
      </c>
      <c r="N15" t="str" cm="1">
        <f t="array" ref="N15">_xlfn.IFS(Movie_financials__with_release_date[[#This Row],[imdb_rating]]&lt;7,"Average",Movie_financials__with_release_date[[#This Row],[imdb_rating]]&lt;=8.5,"Good",TRUE,"Excellent")</f>
        <v>Good</v>
      </c>
      <c r="O15" t="str" cm="1">
        <f t="array" ref="O15">_xlfn.IFS(Movie_financials__with_release_date[[#This Row],[budget]]&lt;50,"Low budget",Movie_financials__with_release_date[[#This Row],[budget]]&lt;=150,"Medium budget",TRUE,"High budget")</f>
        <v>Medium budget</v>
      </c>
      <c r="P15" t="str">
        <f ca="1">DATEDIF(Movie_financials__with_release_date[[#This Row],[release_date]],TODAY(),"Y")&amp; "years"&amp; DATEDIF(Movie_financials__with_release_date[[#This Row],[release_date]],TODAY(),"YM")&amp; "months"</f>
        <v>19years7months</v>
      </c>
      <c r="Q15">
        <f ca="1">DATEDIF(Movie_financials__with_release_date[[#This Row],[release_date]],TODAY(),"Y")</f>
        <v>19</v>
      </c>
      <c r="R15" t="str" cm="1">
        <f t="array" aca="1" ref="R15" ca="1">_xlfn.IFS(Movie_financials__with_release_date[[#This Row],[Movie_age(years)]]&lt;5,"New Release",Movie_financials__with_release_date[[#This Row],[Movie_age(years)]]&lt;=15,"Modern Classic",
TRUE,"Classic"
)</f>
        <v>Classic</v>
      </c>
      <c r="S15" t="str" cm="1">
        <f t="array" ref="S15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5" t="str" cm="1">
        <f t="array" ref="T15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15" t="str" cm="1">
        <f t="array" ref="U15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15" t="str">
        <f>IF(AND(Movie_financials__with_release_date[[#This Row],[budget]]&gt;=200,Movie_financials__with_release_date[[#This Row],[profit_category]]="Low Profit"),"⚠ Review","OK")</f>
        <v>OK</v>
      </c>
    </row>
    <row r="16" spans="1:22">
      <c r="A16">
        <v>116</v>
      </c>
      <c r="B16" t="s">
        <v>112</v>
      </c>
      <c r="C16" t="s">
        <v>10</v>
      </c>
      <c r="D16" t="s">
        <v>113</v>
      </c>
      <c r="E16">
        <v>8.5</v>
      </c>
      <c r="F16" t="s">
        <v>45</v>
      </c>
      <c r="G16" t="s">
        <v>162</v>
      </c>
      <c r="H16">
        <v>103</v>
      </c>
      <c r="I16">
        <v>460.5</v>
      </c>
      <c r="J16" t="s">
        <v>80</v>
      </c>
      <c r="K16" t="s">
        <v>81</v>
      </c>
      <c r="L16" s="14">
        <v>36651</v>
      </c>
      <c r="M16" t="str" cm="1">
        <f t="array" ref="M16">_xlfn.IFS( Movie_financials__with_release_date[[#This Row],[revenue]]&lt;500,"Average", Movie_financials__with_release_date[[#This Row],[revenue]]&lt;=1000,"Hit", TRUE,"Blockbuster")</f>
        <v>Average</v>
      </c>
      <c r="N16" t="str" cm="1">
        <f t="array" ref="N16">_xlfn.IFS(Movie_financials__with_release_date[[#This Row],[imdb_rating]]&lt;7,"Average",Movie_financials__with_release_date[[#This Row],[imdb_rating]]&lt;=8.5,"Good",TRUE,"Excellent")</f>
        <v>Good</v>
      </c>
      <c r="O16" t="str" cm="1">
        <f t="array" ref="O16">_xlfn.IFS(Movie_financials__with_release_date[[#This Row],[budget]]&lt;50,"Low budget",Movie_financials__with_release_date[[#This Row],[budget]]&lt;=150,"Medium budget",TRUE,"High budget")</f>
        <v>Medium budget</v>
      </c>
      <c r="P16" t="str">
        <f ca="1">DATEDIF(Movie_financials__with_release_date[[#This Row],[release_date]],TODAY(),"Y")&amp; "years"&amp; DATEDIF(Movie_financials__with_release_date[[#This Row],[release_date]],TODAY(),"YM")&amp; "months"</f>
        <v>26years2months</v>
      </c>
      <c r="Q16">
        <f ca="1">DATEDIF(Movie_financials__with_release_date[[#This Row],[release_date]],TODAY(),"Y")</f>
        <v>26</v>
      </c>
      <c r="R16" t="str" cm="1">
        <f t="array" aca="1" ref="R16" ca="1">_xlfn.IFS(Movie_financials__with_release_date[[#This Row],[Movie_age(years)]]&lt;5,"New Release",Movie_financials__with_release_date[[#This Row],[Movie_age(years)]]&lt;=15,"Modern Classic",
TRUE,"Classic"
)</f>
        <v>Classic</v>
      </c>
      <c r="S16" t="str" cm="1">
        <f t="array" ref="S16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6" t="str" cm="1">
        <f t="array" ref="T16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16" t="str" cm="1">
        <f t="array" ref="U16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16" t="str">
        <f>IF(AND(Movie_financials__with_release_date[[#This Row],[budget]]&gt;=200,Movie_financials__with_release_date[[#This Row],[profit_category]]="Low Profit"),"⚠ Review","OK")</f>
        <v>OK</v>
      </c>
    </row>
    <row r="17" spans="1:22">
      <c r="A17">
        <v>117</v>
      </c>
      <c r="B17" t="s">
        <v>114</v>
      </c>
      <c r="C17" t="s">
        <v>10</v>
      </c>
      <c r="D17" t="s">
        <v>115</v>
      </c>
      <c r="E17">
        <v>7.9</v>
      </c>
      <c r="F17" t="s">
        <v>35</v>
      </c>
      <c r="G17" t="s">
        <v>162</v>
      </c>
      <c r="H17">
        <v>200</v>
      </c>
      <c r="I17">
        <v>2202</v>
      </c>
      <c r="J17" t="s">
        <v>80</v>
      </c>
      <c r="K17" t="s">
        <v>81</v>
      </c>
      <c r="L17" s="14">
        <v>35783</v>
      </c>
      <c r="M17" t="str" cm="1">
        <f t="array" ref="M17">_xlfn.IFS( Movie_financials__with_release_date[[#This Row],[revenue]]&lt;500,"Average", Movie_financials__with_release_date[[#This Row],[revenue]]&lt;=1000,"Hit", TRUE,"Blockbuster")</f>
        <v>Blockbuster</v>
      </c>
      <c r="N17" t="str" cm="1">
        <f t="array" ref="N17">_xlfn.IFS(Movie_financials__with_release_date[[#This Row],[imdb_rating]]&lt;7,"Average",Movie_financials__with_release_date[[#This Row],[imdb_rating]]&lt;=8.5,"Good",TRUE,"Excellent")</f>
        <v>Good</v>
      </c>
      <c r="O17" t="str" cm="1">
        <f t="array" ref="O17">_xlfn.IFS(Movie_financials__with_release_date[[#This Row],[budget]]&lt;50,"Low budget",Movie_financials__with_release_date[[#This Row],[budget]]&lt;=150,"Medium budget",TRUE,"High budget")</f>
        <v>High budget</v>
      </c>
      <c r="P17" t="str">
        <f ca="1">DATEDIF(Movie_financials__with_release_date[[#This Row],[release_date]],TODAY(),"Y")&amp; "years"&amp; DATEDIF(Movie_financials__with_release_date[[#This Row],[release_date]],TODAY(),"YM")&amp; "months"</f>
        <v>28years7months</v>
      </c>
      <c r="Q17">
        <f ca="1">DATEDIF(Movie_financials__with_release_date[[#This Row],[release_date]],TODAY(),"Y")</f>
        <v>28</v>
      </c>
      <c r="R17" t="str" cm="1">
        <f t="array" aca="1" ref="R17" ca="1">_xlfn.IFS(Movie_financials__with_release_date[[#This Row],[Movie_age(years)]]&lt;5,"New Release",Movie_financials__with_release_date[[#This Row],[Movie_age(years)]]&lt;=15,"Modern Classic",
TRUE,"Classic"
)</f>
        <v>Classic</v>
      </c>
      <c r="S17" t="str" cm="1">
        <f t="array" ref="S17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7" t="str" cm="1">
        <f t="array" ref="T17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17" t="str" cm="1">
        <f t="array" ref="U17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17" t="str">
        <f>IF(AND(Movie_financials__with_release_date[[#This Row],[budget]]&gt;=200,Movie_financials__with_release_date[[#This Row],[profit_category]]="Low Profit"),"⚠ Review","OK")</f>
        <v>OK</v>
      </c>
    </row>
    <row r="18" spans="1:22">
      <c r="A18">
        <v>118</v>
      </c>
      <c r="B18" t="s">
        <v>116</v>
      </c>
      <c r="C18" t="s">
        <v>10</v>
      </c>
      <c r="D18" t="s">
        <v>117</v>
      </c>
      <c r="E18">
        <v>8.6</v>
      </c>
      <c r="F18" t="s">
        <v>37</v>
      </c>
      <c r="G18" t="s">
        <v>162</v>
      </c>
      <c r="H18">
        <v>3</v>
      </c>
      <c r="I18">
        <v>3.3</v>
      </c>
      <c r="J18" t="s">
        <v>80</v>
      </c>
      <c r="K18" t="s">
        <v>81</v>
      </c>
      <c r="L18" s="14">
        <v>17156</v>
      </c>
      <c r="M18" t="str" cm="1">
        <f t="array" ref="M18">_xlfn.IFS( Movie_financials__with_release_date[[#This Row],[revenue]]&lt;500,"Average", Movie_financials__with_release_date[[#This Row],[revenue]]&lt;=1000,"Hit", TRUE,"Blockbuster")</f>
        <v>Average</v>
      </c>
      <c r="N18" t="str" cm="1">
        <f t="array" ref="N18">_xlfn.IFS(Movie_financials__with_release_date[[#This Row],[imdb_rating]]&lt;7,"Average",Movie_financials__with_release_date[[#This Row],[imdb_rating]]&lt;=8.5,"Good",TRUE,"Excellent")</f>
        <v>Excellent</v>
      </c>
      <c r="O18" t="str" cm="1">
        <f t="array" ref="O18">_xlfn.IFS(Movie_financials__with_release_date[[#This Row],[budget]]&lt;50,"Low budget",Movie_financials__with_release_date[[#This Row],[budget]]&lt;=150,"Medium budget",TRUE,"High budget")</f>
        <v>Low budget</v>
      </c>
      <c r="P18" t="str">
        <f ca="1">DATEDIF(Movie_financials__with_release_date[[#This Row],[release_date]],TODAY(),"Y")&amp; "years"&amp; DATEDIF(Movie_financials__with_release_date[[#This Row],[release_date]],TODAY(),"YM")&amp; "months"</f>
        <v>79years7months</v>
      </c>
      <c r="Q18">
        <f ca="1">DATEDIF(Movie_financials__with_release_date[[#This Row],[release_date]],TODAY(),"Y")</f>
        <v>79</v>
      </c>
      <c r="R18" t="str" cm="1">
        <f t="array" aca="1" ref="R18" ca="1">_xlfn.IFS(Movie_financials__with_release_date[[#This Row],[Movie_age(years)]]&lt;5,"New Release",Movie_financials__with_release_date[[#This Row],[Movie_age(years)]]&lt;=15,"Modern Classic",
TRUE,"Classic"
)</f>
        <v>Classic</v>
      </c>
      <c r="S18" t="str" cm="1">
        <f t="array" ref="S18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18" t="str" cm="1">
        <f t="array" ref="T18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18" t="str" cm="1">
        <f t="array" ref="U18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18" t="str">
        <f>IF(AND(Movie_financials__with_release_date[[#This Row],[budget]]&gt;=200,Movie_financials__with_release_date[[#This Row],[profit_category]]="Low Profit"),"⚠ Review","OK")</f>
        <v>OK</v>
      </c>
    </row>
    <row r="19" spans="1:22">
      <c r="A19">
        <v>119</v>
      </c>
      <c r="B19" t="s">
        <v>118</v>
      </c>
      <c r="C19" t="s">
        <v>10</v>
      </c>
      <c r="D19" t="s">
        <v>98</v>
      </c>
      <c r="E19">
        <v>7.8</v>
      </c>
      <c r="F19" t="s">
        <v>39</v>
      </c>
      <c r="G19" t="s">
        <v>162</v>
      </c>
      <c r="H19">
        <v>237</v>
      </c>
      <c r="I19">
        <v>2847</v>
      </c>
      <c r="J19" t="s">
        <v>80</v>
      </c>
      <c r="K19" t="s">
        <v>81</v>
      </c>
      <c r="L19" s="14">
        <v>40165</v>
      </c>
      <c r="M19" t="str" cm="1">
        <f t="array" ref="M19">_xlfn.IFS( Movie_financials__with_release_date[[#This Row],[revenue]]&lt;500,"Average", Movie_financials__with_release_date[[#This Row],[revenue]]&lt;=1000,"Hit", TRUE,"Blockbuster")</f>
        <v>Blockbuster</v>
      </c>
      <c r="N19" t="str" cm="1">
        <f t="array" ref="N19">_xlfn.IFS(Movie_financials__with_release_date[[#This Row],[imdb_rating]]&lt;7,"Average",Movie_financials__with_release_date[[#This Row],[imdb_rating]]&lt;=8.5,"Good",TRUE,"Excellent")</f>
        <v>Good</v>
      </c>
      <c r="O19" t="str" cm="1">
        <f t="array" ref="O19">_xlfn.IFS(Movie_financials__with_release_date[[#This Row],[budget]]&lt;50,"Low budget",Movie_financials__with_release_date[[#This Row],[budget]]&lt;=150,"Medium budget",TRUE,"High budget")</f>
        <v>High budget</v>
      </c>
      <c r="P19" t="str">
        <f ca="1">DATEDIF(Movie_financials__with_release_date[[#This Row],[release_date]],TODAY(),"Y")&amp; "years"&amp; DATEDIF(Movie_financials__with_release_date[[#This Row],[release_date]],TODAY(),"YM")&amp; "months"</f>
        <v>16years7months</v>
      </c>
      <c r="Q19">
        <f ca="1">DATEDIF(Movie_financials__with_release_date[[#This Row],[release_date]],TODAY(),"Y")</f>
        <v>16</v>
      </c>
      <c r="R19" t="str" cm="1">
        <f t="array" aca="1" ref="R19" ca="1">_xlfn.IFS(Movie_financials__with_release_date[[#This Row],[Movie_age(years)]]&lt;5,"New Release",Movie_financials__with_release_date[[#This Row],[Movie_age(years)]]&lt;=15,"Modern Classic",
TRUE,"Classic"
)</f>
        <v>Classic</v>
      </c>
      <c r="S19" t="str" cm="1">
        <f t="array" ref="S19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19" t="str" cm="1">
        <f t="array" ref="T19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19" t="str" cm="1">
        <f t="array" ref="U19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19" t="str">
        <f>IF(AND(Movie_financials__with_release_date[[#This Row],[budget]]&gt;=200,Movie_financials__with_release_date[[#This Row],[profit_category]]="Low Profit"),"⚠ Review","OK")</f>
        <v>OK</v>
      </c>
    </row>
    <row r="20" spans="1:22">
      <c r="A20">
        <v>120</v>
      </c>
      <c r="B20" t="s">
        <v>119</v>
      </c>
      <c r="C20" t="s">
        <v>10</v>
      </c>
      <c r="D20" t="s">
        <v>120</v>
      </c>
      <c r="E20">
        <v>9.1999999999999993</v>
      </c>
      <c r="F20" t="s">
        <v>35</v>
      </c>
      <c r="G20" t="s">
        <v>162</v>
      </c>
      <c r="H20">
        <v>7</v>
      </c>
      <c r="I20">
        <v>291</v>
      </c>
      <c r="J20" t="s">
        <v>80</v>
      </c>
      <c r="K20" t="s">
        <v>81</v>
      </c>
      <c r="L20" s="14">
        <v>26382</v>
      </c>
      <c r="M20" t="str" cm="1">
        <f t="array" ref="M20">_xlfn.IFS( Movie_financials__with_release_date[[#This Row],[revenue]]&lt;500,"Average", Movie_financials__with_release_date[[#This Row],[revenue]]&lt;=1000,"Hit", TRUE,"Blockbuster")</f>
        <v>Average</v>
      </c>
      <c r="N20" t="str" cm="1">
        <f t="array" ref="N20">_xlfn.IFS(Movie_financials__with_release_date[[#This Row],[imdb_rating]]&lt;7,"Average",Movie_financials__with_release_date[[#This Row],[imdb_rating]]&lt;=8.5,"Good",TRUE,"Excellent")</f>
        <v>Excellent</v>
      </c>
      <c r="O20" t="str" cm="1">
        <f t="array" ref="O20">_xlfn.IFS(Movie_financials__with_release_date[[#This Row],[budget]]&lt;50,"Low budget",Movie_financials__with_release_date[[#This Row],[budget]]&lt;=150,"Medium budget",TRUE,"High budget")</f>
        <v>Low budget</v>
      </c>
      <c r="P20" t="str">
        <f ca="1">DATEDIF(Movie_financials__with_release_date[[#This Row],[release_date]],TODAY(),"Y")&amp; "years"&amp; DATEDIF(Movie_financials__with_release_date[[#This Row],[release_date]],TODAY(),"YM")&amp; "months"</f>
        <v>54years3months</v>
      </c>
      <c r="Q20">
        <f ca="1">DATEDIF(Movie_financials__with_release_date[[#This Row],[release_date]],TODAY(),"Y")</f>
        <v>54</v>
      </c>
      <c r="R20" t="str" cm="1">
        <f t="array" aca="1" ref="R20" ca="1">_xlfn.IFS(Movie_financials__with_release_date[[#This Row],[Movie_age(years)]]&lt;5,"New Release",Movie_financials__with_release_date[[#This Row],[Movie_age(years)]]&lt;=15,"Modern Classic",
TRUE,"Classic"
)</f>
        <v>Classic</v>
      </c>
      <c r="S20" t="str" cm="1">
        <f t="array" ref="S20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0" t="str" cm="1">
        <f t="array" ref="T20">_xlfn.IFS(Movie_financials__with_release_date[[#This Row],[imdb_rating]]&gt;=9,"A+",
Movie_financials__with_release_date[[#This Row],[imdb_rating]]&gt;=8,"A",
Movie_financials__with_release_date[[#This Row],[imdb_rating]]&gt;=7,"B",
TRUE,"C")</f>
        <v>A+</v>
      </c>
      <c r="U20" t="str" cm="1">
        <f t="array" ref="U20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20" t="str">
        <f>IF(AND(Movie_financials__with_release_date[[#This Row],[budget]]&gt;=200,Movie_financials__with_release_date[[#This Row],[profit_category]]="Low Profit"),"⚠ Review","OK")</f>
        <v>OK</v>
      </c>
    </row>
    <row r="21" spans="1:22">
      <c r="A21">
        <v>121</v>
      </c>
      <c r="B21" t="s">
        <v>121</v>
      </c>
      <c r="C21" t="s">
        <v>10</v>
      </c>
      <c r="D21" t="s">
        <v>122</v>
      </c>
      <c r="E21">
        <v>9</v>
      </c>
      <c r="F21" t="s">
        <v>43</v>
      </c>
      <c r="G21" t="s">
        <v>162</v>
      </c>
      <c r="H21">
        <v>185</v>
      </c>
      <c r="I21">
        <v>1006</v>
      </c>
      <c r="J21" t="s">
        <v>80</v>
      </c>
      <c r="K21" t="s">
        <v>81</v>
      </c>
      <c r="L21" s="14">
        <v>39647</v>
      </c>
      <c r="M21" t="str" cm="1">
        <f t="array" ref="M21">_xlfn.IFS( Movie_financials__with_release_date[[#This Row],[revenue]]&lt;500,"Average", Movie_financials__with_release_date[[#This Row],[revenue]]&lt;=1000,"Hit", TRUE,"Blockbuster")</f>
        <v>Blockbuster</v>
      </c>
      <c r="N21" t="str" cm="1">
        <f t="array" ref="N21">_xlfn.IFS(Movie_financials__with_release_date[[#This Row],[imdb_rating]]&lt;7,"Average",Movie_financials__with_release_date[[#This Row],[imdb_rating]]&lt;=8.5,"Good",TRUE,"Excellent")</f>
        <v>Excellent</v>
      </c>
      <c r="O21" t="str" cm="1">
        <f t="array" ref="O21">_xlfn.IFS(Movie_financials__with_release_date[[#This Row],[budget]]&lt;50,"Low budget",Movie_financials__with_release_date[[#This Row],[budget]]&lt;=150,"Medium budget",TRUE,"High budget")</f>
        <v>High budget</v>
      </c>
      <c r="P21" t="str">
        <f ca="1">DATEDIF(Movie_financials__with_release_date[[#This Row],[release_date]],TODAY(),"Y")&amp; "years"&amp; DATEDIF(Movie_financials__with_release_date[[#This Row],[release_date]],TODAY(),"YM")&amp; "months"</f>
        <v>18years0months</v>
      </c>
      <c r="Q21">
        <f ca="1">DATEDIF(Movie_financials__with_release_date[[#This Row],[release_date]],TODAY(),"Y")</f>
        <v>18</v>
      </c>
      <c r="R21" t="str" cm="1">
        <f t="array" aca="1" ref="R21" ca="1">_xlfn.IFS(Movie_financials__with_release_date[[#This Row],[Movie_age(years)]]&lt;5,"New Release",Movie_financials__with_release_date[[#This Row],[Movie_age(years)]]&lt;=15,"Modern Classic",
TRUE,"Classic"
)</f>
        <v>Classic</v>
      </c>
      <c r="S21" t="str" cm="1">
        <f t="array" ref="S21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1" t="str" cm="1">
        <f t="array" ref="T21">_xlfn.IFS(Movie_financials__with_release_date[[#This Row],[imdb_rating]]&gt;=9,"A+",
Movie_financials__with_release_date[[#This Row],[imdb_rating]]&gt;=8,"A",
Movie_financials__with_release_date[[#This Row],[imdb_rating]]&gt;=7,"B",
TRUE,"C")</f>
        <v>A+</v>
      </c>
      <c r="U21" t="str" cm="1">
        <f t="array" ref="U21">_xlfn.IFS(Movie_financials__with_release_date[[#This Row],[revenue]]&gt;=2000,"Mega Hit",
Movie_financials__with_release_date[[#This Row],[revenue]]&gt;=1000,"Super Hit",
Movie_financials__with_release_date[[#This Row],[revenue]]&gt;=500,"Hit",
TRUE,"Average")</f>
        <v>Super Hit</v>
      </c>
      <c r="V21" t="str">
        <f>IF(AND(Movie_financials__with_release_date[[#This Row],[budget]]&gt;=200,Movie_financials__with_release_date[[#This Row],[profit_category]]="Low Profit"),"⚠ Review","OK")</f>
        <v>OK</v>
      </c>
    </row>
    <row r="22" spans="1:22">
      <c r="A22">
        <v>122</v>
      </c>
      <c r="B22" t="s">
        <v>123</v>
      </c>
      <c r="C22" t="s">
        <v>10</v>
      </c>
      <c r="D22" t="s">
        <v>124</v>
      </c>
      <c r="E22">
        <v>9</v>
      </c>
      <c r="F22" t="s">
        <v>45</v>
      </c>
      <c r="G22" t="s">
        <v>162</v>
      </c>
      <c r="H22">
        <v>22</v>
      </c>
      <c r="I22">
        <v>322.2</v>
      </c>
      <c r="J22" t="s">
        <v>80</v>
      </c>
      <c r="K22" t="s">
        <v>81</v>
      </c>
      <c r="L22" s="14">
        <v>34004</v>
      </c>
      <c r="M22" t="str" cm="1">
        <f t="array" ref="M22">_xlfn.IFS( Movie_financials__with_release_date[[#This Row],[revenue]]&lt;500,"Average", Movie_financials__with_release_date[[#This Row],[revenue]]&lt;=1000,"Hit", TRUE,"Blockbuster")</f>
        <v>Average</v>
      </c>
      <c r="N22" t="str" cm="1">
        <f t="array" ref="N22">_xlfn.IFS(Movie_financials__with_release_date[[#This Row],[imdb_rating]]&lt;7,"Average",Movie_financials__with_release_date[[#This Row],[imdb_rating]]&lt;=8.5,"Good",TRUE,"Excellent")</f>
        <v>Excellent</v>
      </c>
      <c r="O22" t="str" cm="1">
        <f t="array" ref="O22">_xlfn.IFS(Movie_financials__with_release_date[[#This Row],[budget]]&lt;50,"Low budget",Movie_financials__with_release_date[[#This Row],[budget]]&lt;=150,"Medium budget",TRUE,"High budget")</f>
        <v>Low budget</v>
      </c>
      <c r="P22" t="str">
        <f ca="1">DATEDIF(Movie_financials__with_release_date[[#This Row],[release_date]],TODAY(),"Y")&amp; "years"&amp; DATEDIF(Movie_financials__with_release_date[[#This Row],[release_date]],TODAY(),"YM")&amp; "months"</f>
        <v>33years5months</v>
      </c>
      <c r="Q22">
        <f ca="1">DATEDIF(Movie_financials__with_release_date[[#This Row],[release_date]],TODAY(),"Y")</f>
        <v>33</v>
      </c>
      <c r="R22" t="str" cm="1">
        <f t="array" aca="1" ref="R22" ca="1">_xlfn.IFS(Movie_financials__with_release_date[[#This Row],[Movie_age(years)]]&lt;5,"New Release",Movie_financials__with_release_date[[#This Row],[Movie_age(years)]]&lt;=15,"Modern Classic",
TRUE,"Classic"
)</f>
        <v>Classic</v>
      </c>
      <c r="S22" t="str" cm="1">
        <f t="array" ref="S22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2" t="str" cm="1">
        <f t="array" ref="T22">_xlfn.IFS(Movie_financials__with_release_date[[#This Row],[imdb_rating]]&gt;=9,"A+",
Movie_financials__with_release_date[[#This Row],[imdb_rating]]&gt;=8,"A",
Movie_financials__with_release_date[[#This Row],[imdb_rating]]&gt;=7,"B",
TRUE,"C")</f>
        <v>A+</v>
      </c>
      <c r="U22" t="str" cm="1">
        <f t="array" ref="U22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22" t="str">
        <f>IF(AND(Movie_financials__with_release_date[[#This Row],[budget]]&gt;=200,Movie_financials__with_release_date[[#This Row],[profit_category]]="Low Profit"),"⚠ Review","OK")</f>
        <v>OK</v>
      </c>
    </row>
    <row r="23" spans="1:22">
      <c r="A23">
        <v>123</v>
      </c>
      <c r="B23" t="s">
        <v>125</v>
      </c>
      <c r="C23" t="s">
        <v>10</v>
      </c>
      <c r="D23" t="s">
        <v>124</v>
      </c>
      <c r="E23">
        <v>8.1999999999999993</v>
      </c>
      <c r="F23" t="s">
        <v>45</v>
      </c>
      <c r="G23" t="s">
        <v>162</v>
      </c>
      <c r="H23">
        <v>63</v>
      </c>
      <c r="I23">
        <v>1046</v>
      </c>
      <c r="J23" t="s">
        <v>80</v>
      </c>
      <c r="K23" t="s">
        <v>81</v>
      </c>
      <c r="L23" s="14">
        <v>34131</v>
      </c>
      <c r="M23" t="str" cm="1">
        <f t="array" ref="M23">_xlfn.IFS( Movie_financials__with_release_date[[#This Row],[revenue]]&lt;500,"Average", Movie_financials__with_release_date[[#This Row],[revenue]]&lt;=1000,"Hit", TRUE,"Blockbuster")</f>
        <v>Blockbuster</v>
      </c>
      <c r="N23" t="str" cm="1">
        <f t="array" ref="N23">_xlfn.IFS(Movie_financials__with_release_date[[#This Row],[imdb_rating]]&lt;7,"Average",Movie_financials__with_release_date[[#This Row],[imdb_rating]]&lt;=8.5,"Good",TRUE,"Excellent")</f>
        <v>Good</v>
      </c>
      <c r="O23" t="str" cm="1">
        <f t="array" ref="O23">_xlfn.IFS(Movie_financials__with_release_date[[#This Row],[budget]]&lt;50,"Low budget",Movie_financials__with_release_date[[#This Row],[budget]]&lt;=150,"Medium budget",TRUE,"High budget")</f>
        <v>Medium budget</v>
      </c>
      <c r="P23" t="str">
        <f ca="1">DATEDIF(Movie_financials__with_release_date[[#This Row],[release_date]],TODAY(),"Y")&amp; "years"&amp; DATEDIF(Movie_financials__with_release_date[[#This Row],[release_date]],TODAY(),"YM")&amp; "months"</f>
        <v>33years1months</v>
      </c>
      <c r="Q23">
        <f ca="1">DATEDIF(Movie_financials__with_release_date[[#This Row],[release_date]],TODAY(),"Y")</f>
        <v>33</v>
      </c>
      <c r="R23" t="str" cm="1">
        <f t="array" aca="1" ref="R23" ca="1">_xlfn.IFS(Movie_financials__with_release_date[[#This Row],[Movie_age(years)]]&lt;5,"New Release",Movie_financials__with_release_date[[#This Row],[Movie_age(years)]]&lt;=15,"Modern Classic",
TRUE,"Classic"
)</f>
        <v>Classic</v>
      </c>
      <c r="S23" t="str" cm="1">
        <f t="array" ref="S23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3" t="str" cm="1">
        <f t="array" ref="T23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3" t="str" cm="1">
        <f t="array" ref="U23">_xlfn.IFS(Movie_financials__with_release_date[[#This Row],[revenue]]&gt;=2000,"Mega Hit",
Movie_financials__with_release_date[[#This Row],[revenue]]&gt;=1000,"Super Hit",
Movie_financials__with_release_date[[#This Row],[revenue]]&gt;=500,"Hit",
TRUE,"Average")</f>
        <v>Super Hit</v>
      </c>
      <c r="V23" t="str">
        <f>IF(AND(Movie_financials__with_release_date[[#This Row],[budget]]&gt;=200,Movie_financials__with_release_date[[#This Row],[profit_category]]="Low Profit"),"⚠ Review","OK")</f>
        <v>OK</v>
      </c>
    </row>
    <row r="24" spans="1:22">
      <c r="A24">
        <v>124</v>
      </c>
      <c r="B24" t="s">
        <v>126</v>
      </c>
      <c r="C24" t="s">
        <v>10</v>
      </c>
      <c r="D24" t="s">
        <v>127</v>
      </c>
      <c r="E24">
        <v>8.5</v>
      </c>
      <c r="F24" t="s">
        <v>103</v>
      </c>
      <c r="G24" t="s">
        <v>162</v>
      </c>
      <c r="H24">
        <v>16</v>
      </c>
      <c r="I24">
        <v>263.10000000000002</v>
      </c>
      <c r="J24" t="s">
        <v>80</v>
      </c>
      <c r="K24" t="s">
        <v>81</v>
      </c>
      <c r="L24" s="14">
        <v>43615</v>
      </c>
      <c r="M24" t="str" cm="1">
        <f t="array" ref="M24">_xlfn.IFS( Movie_financials__with_release_date[[#This Row],[revenue]]&lt;500,"Average", Movie_financials__with_release_date[[#This Row],[revenue]]&lt;=1000,"Hit", TRUE,"Blockbuster")</f>
        <v>Average</v>
      </c>
      <c r="N24" t="str" cm="1">
        <f t="array" ref="N24">_xlfn.IFS(Movie_financials__with_release_date[[#This Row],[imdb_rating]]&lt;7,"Average",Movie_financials__with_release_date[[#This Row],[imdb_rating]]&lt;=8.5,"Good",TRUE,"Excellent")</f>
        <v>Good</v>
      </c>
      <c r="O24" t="str" cm="1">
        <f t="array" ref="O24">_xlfn.IFS(Movie_financials__with_release_date[[#This Row],[budget]]&lt;50,"Low budget",Movie_financials__with_release_date[[#This Row],[budget]]&lt;=150,"Medium budget",TRUE,"High budget")</f>
        <v>Low budget</v>
      </c>
      <c r="P24" t="str">
        <f ca="1">DATEDIF(Movie_financials__with_release_date[[#This Row],[release_date]],TODAY(),"Y")&amp; "years"&amp; DATEDIF(Movie_financials__with_release_date[[#This Row],[release_date]],TODAY(),"YM")&amp; "months"</f>
        <v>7years1months</v>
      </c>
      <c r="Q24">
        <f ca="1">DATEDIF(Movie_financials__with_release_date[[#This Row],[release_date]],TODAY(),"Y")</f>
        <v>7</v>
      </c>
      <c r="R24" t="str" cm="1">
        <f t="array" aca="1" ref="R24" ca="1">_xlfn.IFS(Movie_financials__with_release_date[[#This Row],[Movie_age(years)]]&lt;5,"New Release",Movie_financials__with_release_date[[#This Row],[Movie_age(years)]]&lt;=15,"Modern Classic",
TRUE,"Classic"
)</f>
        <v>Modern Classic</v>
      </c>
      <c r="S24" t="str" cm="1">
        <f t="array" ref="S24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4" t="str" cm="1">
        <f t="array" ref="T24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4" t="str" cm="1">
        <f t="array" ref="U24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24" t="str">
        <f>IF(AND(Movie_financials__with_release_date[[#This Row],[budget]]&gt;=200,Movie_financials__with_release_date[[#This Row],[profit_category]]="Low Profit"),"⚠ Review","OK")</f>
        <v>OK</v>
      </c>
    </row>
    <row r="25" spans="1:22">
      <c r="A25">
        <v>125</v>
      </c>
      <c r="B25" t="s">
        <v>128</v>
      </c>
      <c r="C25" t="s">
        <v>10</v>
      </c>
      <c r="D25" t="s">
        <v>127</v>
      </c>
      <c r="E25">
        <v>8.4</v>
      </c>
      <c r="F25" t="s">
        <v>11</v>
      </c>
      <c r="G25" t="s">
        <v>162</v>
      </c>
      <c r="H25">
        <v>400</v>
      </c>
      <c r="I25">
        <v>2798</v>
      </c>
      <c r="J25" t="s">
        <v>80</v>
      </c>
      <c r="K25" t="s">
        <v>81</v>
      </c>
      <c r="L25" s="14">
        <v>43584</v>
      </c>
      <c r="M25" t="str" cm="1">
        <f t="array" ref="M25">_xlfn.IFS( Movie_financials__with_release_date[[#This Row],[revenue]]&lt;500,"Average", Movie_financials__with_release_date[[#This Row],[revenue]]&lt;=1000,"Hit", TRUE,"Blockbuster")</f>
        <v>Blockbuster</v>
      </c>
      <c r="N25" t="str" cm="1">
        <f t="array" ref="N25">_xlfn.IFS(Movie_financials__with_release_date[[#This Row],[imdb_rating]]&lt;7,"Average",Movie_financials__with_release_date[[#This Row],[imdb_rating]]&lt;=8.5,"Good",TRUE,"Excellent")</f>
        <v>Good</v>
      </c>
      <c r="O25" t="str" cm="1">
        <f t="array" ref="O25">_xlfn.IFS(Movie_financials__with_release_date[[#This Row],[budget]]&lt;50,"Low budget",Movie_financials__with_release_date[[#This Row],[budget]]&lt;=150,"Medium budget",TRUE,"High budget")</f>
        <v>High budget</v>
      </c>
      <c r="P25" t="str">
        <f ca="1">DATEDIF(Movie_financials__with_release_date[[#This Row],[release_date]],TODAY(),"Y")&amp; "years"&amp; DATEDIF(Movie_financials__with_release_date[[#This Row],[release_date]],TODAY(),"YM")&amp; "months"</f>
        <v>7years2months</v>
      </c>
      <c r="Q25">
        <f ca="1">DATEDIF(Movie_financials__with_release_date[[#This Row],[release_date]],TODAY(),"Y")</f>
        <v>7</v>
      </c>
      <c r="R25" t="str" cm="1">
        <f t="array" aca="1" ref="R25" ca="1">_xlfn.IFS(Movie_financials__with_release_date[[#This Row],[Movie_age(years)]]&lt;5,"New Release",Movie_financials__with_release_date[[#This Row],[Movie_age(years)]]&lt;=15,"Modern Classic",
TRUE,"Classic"
)</f>
        <v>Modern Classic</v>
      </c>
      <c r="S25" t="str" cm="1">
        <f t="array" ref="S25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5" t="str" cm="1">
        <f t="array" ref="T25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5" t="str" cm="1">
        <f t="array" ref="U25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25" t="str">
        <f>IF(AND(Movie_financials__with_release_date[[#This Row],[budget]]&gt;=200,Movie_financials__with_release_date[[#This Row],[profit_category]]="Low Profit"),"⚠ Review","OK")</f>
        <v>OK</v>
      </c>
    </row>
    <row r="26" spans="1:22">
      <c r="A26">
        <v>126</v>
      </c>
      <c r="B26" t="s">
        <v>129</v>
      </c>
      <c r="C26" t="s">
        <v>10</v>
      </c>
      <c r="D26" t="s">
        <v>130</v>
      </c>
      <c r="E26">
        <v>8.4</v>
      </c>
      <c r="F26" t="s">
        <v>11</v>
      </c>
      <c r="G26" t="s">
        <v>162</v>
      </c>
      <c r="H26">
        <v>400</v>
      </c>
      <c r="I26">
        <v>2048</v>
      </c>
      <c r="J26" t="s">
        <v>80</v>
      </c>
      <c r="K26" t="s">
        <v>81</v>
      </c>
      <c r="L26" s="14">
        <v>43217</v>
      </c>
      <c r="M26" t="str" cm="1">
        <f t="array" ref="M26">_xlfn.IFS( Movie_financials__with_release_date[[#This Row],[revenue]]&lt;500,"Average", Movie_financials__with_release_date[[#This Row],[revenue]]&lt;=1000,"Hit", TRUE,"Blockbuster")</f>
        <v>Blockbuster</v>
      </c>
      <c r="N26" t="str" cm="1">
        <f t="array" ref="N26">_xlfn.IFS(Movie_financials__with_release_date[[#This Row],[imdb_rating]]&lt;7,"Average",Movie_financials__with_release_date[[#This Row],[imdb_rating]]&lt;=8.5,"Good",TRUE,"Excellent")</f>
        <v>Good</v>
      </c>
      <c r="O26" t="str" cm="1">
        <f t="array" ref="O26">_xlfn.IFS(Movie_financials__with_release_date[[#This Row],[budget]]&lt;50,"Low budget",Movie_financials__with_release_date[[#This Row],[budget]]&lt;=150,"Medium budget",TRUE,"High budget")</f>
        <v>High budget</v>
      </c>
      <c r="P26" t="str">
        <f ca="1">DATEDIF(Movie_financials__with_release_date[[#This Row],[release_date]],TODAY(),"Y")&amp; "years"&amp; DATEDIF(Movie_financials__with_release_date[[#This Row],[release_date]],TODAY(),"YM")&amp; "months"</f>
        <v>8years2months</v>
      </c>
      <c r="Q26">
        <f ca="1">DATEDIF(Movie_financials__with_release_date[[#This Row],[release_date]],TODAY(),"Y")</f>
        <v>8</v>
      </c>
      <c r="R26" t="str" cm="1">
        <f t="array" aca="1" ref="R26" ca="1">_xlfn.IFS(Movie_financials__with_release_date[[#This Row],[Movie_age(years)]]&lt;5,"New Release",Movie_financials__with_release_date[[#This Row],[Movie_age(years)]]&lt;=15,"Modern Classic",
TRUE,"Classic"
)</f>
        <v>Modern Classic</v>
      </c>
      <c r="S26" t="str" cm="1">
        <f t="array" ref="S26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6" t="str" cm="1">
        <f t="array" ref="T26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6" t="str" cm="1">
        <f t="array" ref="U26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26" t="str">
        <f>IF(AND(Movie_financials__with_release_date[[#This Row],[budget]]&gt;=200,Movie_financials__with_release_date[[#This Row],[profit_category]]="Low Profit"),"⚠ Review","OK")</f>
        <v>OK</v>
      </c>
    </row>
    <row r="27" spans="1:22">
      <c r="A27">
        <v>127</v>
      </c>
      <c r="B27" t="s">
        <v>131</v>
      </c>
      <c r="C27" t="s">
        <v>7</v>
      </c>
      <c r="D27" t="s">
        <v>132</v>
      </c>
      <c r="E27">
        <v>8.3000000000000007</v>
      </c>
      <c r="F27" t="s">
        <v>133</v>
      </c>
      <c r="G27" t="s">
        <v>164</v>
      </c>
      <c r="H27">
        <v>70</v>
      </c>
      <c r="I27">
        <v>100</v>
      </c>
      <c r="J27" t="s">
        <v>80</v>
      </c>
      <c r="K27" t="s">
        <v>79</v>
      </c>
      <c r="L27" s="14">
        <v>20327</v>
      </c>
      <c r="M27" t="str" cm="1">
        <f t="array" ref="M27">_xlfn.IFS( Movie_financials__with_release_date[[#This Row],[revenue]]&lt;500,"Average", Movie_financials__with_release_date[[#This Row],[revenue]]&lt;=1000,"Hit", TRUE,"Blockbuster")</f>
        <v>Average</v>
      </c>
      <c r="N27" t="str" cm="1">
        <f t="array" ref="N27">_xlfn.IFS(Movie_financials__with_release_date[[#This Row],[imdb_rating]]&lt;7,"Average",Movie_financials__with_release_date[[#This Row],[imdb_rating]]&lt;=8.5,"Good",TRUE,"Excellent")</f>
        <v>Good</v>
      </c>
      <c r="O27" t="str" cm="1">
        <f t="array" ref="O27">_xlfn.IFS(Movie_financials__with_release_date[[#This Row],[budget]]&lt;50,"Low budget",Movie_financials__with_release_date[[#This Row],[budget]]&lt;=150,"Medium budget",TRUE,"High budget")</f>
        <v>Medium budget</v>
      </c>
      <c r="P27" t="str">
        <f ca="1">DATEDIF(Movie_financials__with_release_date[[#This Row],[release_date]],TODAY(),"Y")&amp; "years"&amp; DATEDIF(Movie_financials__with_release_date[[#This Row],[release_date]],TODAY(),"YM")&amp; "months"</f>
        <v>70years10months</v>
      </c>
      <c r="Q27">
        <f ca="1">DATEDIF(Movie_financials__with_release_date[[#This Row],[release_date]],TODAY(),"Y")</f>
        <v>70</v>
      </c>
      <c r="R27" t="str" cm="1">
        <f t="array" aca="1" ref="R27" ca="1">_xlfn.IFS(Movie_financials__with_release_date[[#This Row],[Movie_age(years)]]&lt;5,"New Release",Movie_financials__with_release_date[[#This Row],[Movie_age(years)]]&lt;=15,"Modern Classic",
TRUE,"Classic"
)</f>
        <v>Classic</v>
      </c>
      <c r="S27" t="str" cm="1">
        <f t="array" ref="S27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27" t="str" cm="1">
        <f t="array" ref="T27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7" t="str" cm="1">
        <f t="array" ref="U27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27" t="str">
        <f>IF(AND(Movie_financials__with_release_date[[#This Row],[budget]]&gt;=200,Movie_financials__with_release_date[[#This Row],[profit_category]]="Low Profit"),"⚠ Review","OK")</f>
        <v>OK</v>
      </c>
    </row>
    <row r="28" spans="1:22">
      <c r="A28">
        <v>128</v>
      </c>
      <c r="B28" t="s">
        <v>134</v>
      </c>
      <c r="C28" t="s">
        <v>7</v>
      </c>
      <c r="D28" t="s">
        <v>135</v>
      </c>
      <c r="E28">
        <v>8.3000000000000007</v>
      </c>
      <c r="F28" t="s">
        <v>103</v>
      </c>
      <c r="G28" t="s">
        <v>163</v>
      </c>
      <c r="H28">
        <v>120</v>
      </c>
      <c r="I28">
        <v>1350</v>
      </c>
      <c r="J28" t="s">
        <v>80</v>
      </c>
      <c r="K28" t="s">
        <v>79</v>
      </c>
      <c r="L28" s="14">
        <v>39437</v>
      </c>
      <c r="M28" t="str" cm="1">
        <f t="array" ref="M28">_xlfn.IFS( Movie_financials__with_release_date[[#This Row],[revenue]]&lt;500,"Average", Movie_financials__with_release_date[[#This Row],[revenue]]&lt;=1000,"Hit", TRUE,"Blockbuster")</f>
        <v>Blockbuster</v>
      </c>
      <c r="N28" t="str" cm="1">
        <f t="array" ref="N28">_xlfn.IFS(Movie_financials__with_release_date[[#This Row],[imdb_rating]]&lt;7,"Average",Movie_financials__with_release_date[[#This Row],[imdb_rating]]&lt;=8.5,"Good",TRUE,"Excellent")</f>
        <v>Good</v>
      </c>
      <c r="O28" t="str" cm="1">
        <f t="array" ref="O28">_xlfn.IFS(Movie_financials__with_release_date[[#This Row],[budget]]&lt;50,"Low budget",Movie_financials__with_release_date[[#This Row],[budget]]&lt;=150,"Medium budget",TRUE,"High budget")</f>
        <v>Medium budget</v>
      </c>
      <c r="P28" t="str">
        <f ca="1">DATEDIF(Movie_financials__with_release_date[[#This Row],[release_date]],TODAY(),"Y")&amp; "years"&amp; DATEDIF(Movie_financials__with_release_date[[#This Row],[release_date]],TODAY(),"YM")&amp; "months"</f>
        <v>18years6months</v>
      </c>
      <c r="Q28">
        <f ca="1">DATEDIF(Movie_financials__with_release_date[[#This Row],[release_date]],TODAY(),"Y")</f>
        <v>18</v>
      </c>
      <c r="R28" t="str" cm="1">
        <f t="array" aca="1" ref="R28" ca="1">_xlfn.IFS(Movie_financials__with_release_date[[#This Row],[Movie_age(years)]]&lt;5,"New Release",Movie_financials__with_release_date[[#This Row],[Movie_age(years)]]&lt;=15,"Modern Classic",
TRUE,"Classic"
)</f>
        <v>Classic</v>
      </c>
      <c r="S28" t="str" cm="1">
        <f t="array" ref="S28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8" t="str" cm="1">
        <f t="array" ref="T28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8" t="str" cm="1">
        <f t="array" ref="U28">_xlfn.IFS(Movie_financials__with_release_date[[#This Row],[revenue]]&gt;=2000,"Mega Hit",
Movie_financials__with_release_date[[#This Row],[revenue]]&gt;=1000,"Super Hit",
Movie_financials__with_release_date[[#This Row],[revenue]]&gt;=500,"Hit",
TRUE,"Average")</f>
        <v>Super Hit</v>
      </c>
      <c r="V28" t="str">
        <f>IF(AND(Movie_financials__with_release_date[[#This Row],[budget]]&gt;=200,Movie_financials__with_release_date[[#This Row],[profit_category]]="Low Profit"),"⚠ Review","OK")</f>
        <v>OK</v>
      </c>
    </row>
    <row r="29" spans="1:22">
      <c r="A29">
        <v>129</v>
      </c>
      <c r="B29" t="s">
        <v>136</v>
      </c>
      <c r="C29" t="s">
        <v>7</v>
      </c>
      <c r="D29" t="s">
        <v>137</v>
      </c>
      <c r="E29">
        <v>8.1</v>
      </c>
      <c r="F29" t="s">
        <v>54</v>
      </c>
      <c r="G29" t="s">
        <v>163</v>
      </c>
      <c r="H29">
        <v>100</v>
      </c>
      <c r="I29">
        <v>410</v>
      </c>
      <c r="J29" t="s">
        <v>80</v>
      </c>
      <c r="K29" t="s">
        <v>79</v>
      </c>
      <c r="L29" s="14">
        <v>37974</v>
      </c>
      <c r="M29" t="str" cm="1">
        <f t="array" ref="M29">_xlfn.IFS( Movie_financials__with_release_date[[#This Row],[revenue]]&lt;500,"Average", Movie_financials__with_release_date[[#This Row],[revenue]]&lt;=1000,"Hit", TRUE,"Blockbuster")</f>
        <v>Average</v>
      </c>
      <c r="N29" t="str" cm="1">
        <f t="array" ref="N29">_xlfn.IFS(Movie_financials__with_release_date[[#This Row],[imdb_rating]]&lt;7,"Average",Movie_financials__with_release_date[[#This Row],[imdb_rating]]&lt;=8.5,"Good",TRUE,"Excellent")</f>
        <v>Good</v>
      </c>
      <c r="O29" t="str" cm="1">
        <f t="array" ref="O29">_xlfn.IFS(Movie_financials__with_release_date[[#This Row],[budget]]&lt;50,"Low budget",Movie_financials__with_release_date[[#This Row],[budget]]&lt;=150,"Medium budget",TRUE,"High budget")</f>
        <v>Medium budget</v>
      </c>
      <c r="P29" t="str">
        <f ca="1">DATEDIF(Movie_financials__with_release_date[[#This Row],[release_date]],TODAY(),"Y")&amp; "years"&amp; DATEDIF(Movie_financials__with_release_date[[#This Row],[release_date]],TODAY(),"YM")&amp; "months"</f>
        <v>22years7months</v>
      </c>
      <c r="Q29">
        <f ca="1">DATEDIF(Movie_financials__with_release_date[[#This Row],[release_date]],TODAY(),"Y")</f>
        <v>22</v>
      </c>
      <c r="R29" t="str" cm="1">
        <f t="array" aca="1" ref="R29" ca="1">_xlfn.IFS(Movie_financials__with_release_date[[#This Row],[Movie_age(years)]]&lt;5,"New Release",Movie_financials__with_release_date[[#This Row],[Movie_age(years)]]&lt;=15,"Modern Classic",
TRUE,"Classic"
)</f>
        <v>Classic</v>
      </c>
      <c r="S29" t="str" cm="1">
        <f t="array" ref="S29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29" t="str" cm="1">
        <f t="array" ref="T29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29" t="str" cm="1">
        <f t="array" ref="U29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29" t="str">
        <f>IF(AND(Movie_financials__with_release_date[[#This Row],[budget]]&gt;=200,Movie_financials__with_release_date[[#This Row],[profit_category]]="Low Profit"),"⚠ Review","OK")</f>
        <v>OK</v>
      </c>
    </row>
    <row r="30" spans="1:22">
      <c r="A30">
        <v>130</v>
      </c>
      <c r="B30" t="s">
        <v>138</v>
      </c>
      <c r="C30" t="s">
        <v>7</v>
      </c>
      <c r="D30" t="s">
        <v>109</v>
      </c>
      <c r="E30">
        <v>8.1</v>
      </c>
      <c r="F30" t="s">
        <v>56</v>
      </c>
      <c r="G30" t="s">
        <v>163</v>
      </c>
      <c r="H30">
        <v>850</v>
      </c>
      <c r="I30">
        <v>8540</v>
      </c>
      <c r="J30" t="s">
        <v>80</v>
      </c>
      <c r="K30" t="s">
        <v>79</v>
      </c>
      <c r="L30" s="14">
        <v>41992</v>
      </c>
      <c r="M30" t="str" cm="1">
        <f t="array" ref="M30">_xlfn.IFS( Movie_financials__with_release_date[[#This Row],[revenue]]&lt;500,"Average", Movie_financials__with_release_date[[#This Row],[revenue]]&lt;=1000,"Hit", TRUE,"Blockbuster")</f>
        <v>Blockbuster</v>
      </c>
      <c r="N30" t="str" cm="1">
        <f t="array" ref="N30">_xlfn.IFS(Movie_financials__with_release_date[[#This Row],[imdb_rating]]&lt;7,"Average",Movie_financials__with_release_date[[#This Row],[imdb_rating]]&lt;=8.5,"Good",TRUE,"Excellent")</f>
        <v>Good</v>
      </c>
      <c r="O30" t="str" cm="1">
        <f t="array" ref="O30">_xlfn.IFS(Movie_financials__with_release_date[[#This Row],[budget]]&lt;50,"Low budget",Movie_financials__with_release_date[[#This Row],[budget]]&lt;=150,"Medium budget",TRUE,"High budget")</f>
        <v>High budget</v>
      </c>
      <c r="P30" t="str">
        <f ca="1">DATEDIF(Movie_financials__with_release_date[[#This Row],[release_date]],TODAY(),"Y")&amp; "years"&amp; DATEDIF(Movie_financials__with_release_date[[#This Row],[release_date]],TODAY(),"YM")&amp; "months"</f>
        <v>11years7months</v>
      </c>
      <c r="Q30">
        <f ca="1">DATEDIF(Movie_financials__with_release_date[[#This Row],[release_date]],TODAY(),"Y")</f>
        <v>11</v>
      </c>
      <c r="R30" t="str" cm="1">
        <f t="array" aca="1" ref="R30" ca="1">_xlfn.IFS(Movie_financials__with_release_date[[#This Row],[Movie_age(years)]]&lt;5,"New Release",Movie_financials__with_release_date[[#This Row],[Movie_age(years)]]&lt;=15,"Modern Classic",
TRUE,"Classic"
)</f>
        <v>Modern Classic</v>
      </c>
      <c r="S30" t="str" cm="1">
        <f t="array" ref="S30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0" t="str" cm="1">
        <f t="array" ref="T30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30" t="str" cm="1">
        <f t="array" ref="U30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30" t="str">
        <f>IF(AND(Movie_financials__with_release_date[[#This Row],[budget]]&gt;=200,Movie_financials__with_release_date[[#This Row],[profit_category]]="Low Profit"),"⚠ Review","OK")</f>
        <v>OK</v>
      </c>
    </row>
    <row r="31" spans="1:22">
      <c r="A31">
        <v>131</v>
      </c>
      <c r="B31" t="s">
        <v>139</v>
      </c>
      <c r="C31" t="s">
        <v>7</v>
      </c>
      <c r="D31" t="s">
        <v>130</v>
      </c>
      <c r="E31">
        <v>0</v>
      </c>
      <c r="F31" t="s">
        <v>56</v>
      </c>
      <c r="G31" t="s">
        <v>163</v>
      </c>
      <c r="H31">
        <v>1</v>
      </c>
      <c r="I31">
        <v>5.9</v>
      </c>
      <c r="J31" t="s">
        <v>78</v>
      </c>
      <c r="K31" t="s">
        <v>79</v>
      </c>
      <c r="L31" s="14">
        <v>43280</v>
      </c>
      <c r="M31" t="str" cm="1">
        <f t="array" ref="M31">_xlfn.IFS( Movie_financials__with_release_date[[#This Row],[revenue]]&lt;500,"Average", Movie_financials__with_release_date[[#This Row],[revenue]]&lt;=1000,"Hit", TRUE,"Blockbuster")</f>
        <v>Average</v>
      </c>
      <c r="N31" t="str" cm="1">
        <f t="array" ref="N31">_xlfn.IFS(Movie_financials__with_release_date[[#This Row],[imdb_rating]]&lt;7,"Average",Movie_financials__with_release_date[[#This Row],[imdb_rating]]&lt;=8.5,"Good",TRUE,"Excellent")</f>
        <v>Average</v>
      </c>
      <c r="O31" t="str" cm="1">
        <f t="array" ref="O31">_xlfn.IFS(Movie_financials__with_release_date[[#This Row],[budget]]&lt;50,"Low budget",Movie_financials__with_release_date[[#This Row],[budget]]&lt;=150,"Medium budget",TRUE,"High budget")</f>
        <v>Low budget</v>
      </c>
      <c r="P31" t="str">
        <f ca="1">DATEDIF(Movie_financials__with_release_date[[#This Row],[release_date]],TODAY(),"Y")&amp; "years"&amp; DATEDIF(Movie_financials__with_release_date[[#This Row],[release_date]],TODAY(),"YM")&amp; "months"</f>
        <v>8years0months</v>
      </c>
      <c r="Q31">
        <f ca="1">DATEDIF(Movie_financials__with_release_date[[#This Row],[release_date]],TODAY(),"Y")</f>
        <v>8</v>
      </c>
      <c r="R31" t="str" cm="1">
        <f t="array" aca="1" ref="R31" ca="1">_xlfn.IFS(Movie_financials__with_release_date[[#This Row],[Movie_age(years)]]&lt;5,"New Release",Movie_financials__with_release_date[[#This Row],[Movie_age(years)]]&lt;=15,"Modern Classic",
TRUE,"Classic"
)</f>
        <v>Modern Classic</v>
      </c>
      <c r="S31" t="str" cm="1">
        <f t="array" ref="S31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1" t="str" cm="1">
        <f t="array" ref="T31">_xlfn.IFS(Movie_financials__with_release_date[[#This Row],[imdb_rating]]&gt;=9,"A+",
Movie_financials__with_release_date[[#This Row],[imdb_rating]]&gt;=8,"A",
Movie_financials__with_release_date[[#This Row],[imdb_rating]]&gt;=7,"B",
TRUE,"C")</f>
        <v>C</v>
      </c>
      <c r="U31" t="str" cm="1">
        <f t="array" ref="U31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31" t="str">
        <f>IF(AND(Movie_financials__with_release_date[[#This Row],[budget]]&gt;=200,Movie_financials__with_release_date[[#This Row],[profit_category]]="Low Profit"),"⚠ Review","OK")</f>
        <v>OK</v>
      </c>
    </row>
    <row r="32" spans="1:22">
      <c r="A32">
        <v>132</v>
      </c>
      <c r="B32" t="s">
        <v>140</v>
      </c>
      <c r="C32" t="s">
        <v>7</v>
      </c>
      <c r="D32" t="s">
        <v>141</v>
      </c>
      <c r="E32">
        <v>7.6</v>
      </c>
      <c r="F32" t="s">
        <v>60</v>
      </c>
      <c r="G32" t="s">
        <v>165</v>
      </c>
      <c r="H32">
        <v>2</v>
      </c>
      <c r="I32">
        <v>3.6</v>
      </c>
      <c r="J32" t="s">
        <v>78</v>
      </c>
      <c r="K32" t="s">
        <v>79</v>
      </c>
      <c r="L32" s="14">
        <v>44547</v>
      </c>
      <c r="M32" t="str" cm="1">
        <f t="array" ref="M32">_xlfn.IFS( Movie_financials__with_release_date[[#This Row],[revenue]]&lt;500,"Average", Movie_financials__with_release_date[[#This Row],[revenue]]&lt;=1000,"Hit", TRUE,"Blockbuster")</f>
        <v>Average</v>
      </c>
      <c r="N32" t="str" cm="1">
        <f t="array" ref="N32">_xlfn.IFS(Movie_financials__with_release_date[[#This Row],[imdb_rating]]&lt;7,"Average",Movie_financials__with_release_date[[#This Row],[imdb_rating]]&lt;=8.5,"Good",TRUE,"Excellent")</f>
        <v>Good</v>
      </c>
      <c r="O32" t="str" cm="1">
        <f t="array" ref="O32">_xlfn.IFS(Movie_financials__with_release_date[[#This Row],[budget]]&lt;50,"Low budget",Movie_financials__with_release_date[[#This Row],[budget]]&lt;=150,"Medium budget",TRUE,"High budget")</f>
        <v>Low budget</v>
      </c>
      <c r="P32" t="str">
        <f ca="1">DATEDIF(Movie_financials__with_release_date[[#This Row],[release_date]],TODAY(),"Y")&amp; "years"&amp; DATEDIF(Movie_financials__with_release_date[[#This Row],[release_date]],TODAY(),"YM")&amp; "months"</f>
        <v>4years7months</v>
      </c>
      <c r="Q32">
        <f ca="1">DATEDIF(Movie_financials__with_release_date[[#This Row],[release_date]],TODAY(),"Y")</f>
        <v>4</v>
      </c>
      <c r="R32" t="str" cm="1">
        <f t="array" aca="1" ref="R32" ca="1">_xlfn.IFS(Movie_financials__with_release_date[[#This Row],[Movie_age(years)]]&lt;5,"New Release",Movie_financials__with_release_date[[#This Row],[Movie_age(years)]]&lt;=15,"Modern Classic",
TRUE,"Classic"
)</f>
        <v>New Release</v>
      </c>
      <c r="S32" t="str" cm="1">
        <f t="array" ref="S32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32" t="str" cm="1">
        <f t="array" ref="T32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32" t="str" cm="1">
        <f t="array" ref="U32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32" t="str">
        <f>IF(AND(Movie_financials__with_release_date[[#This Row],[budget]]&gt;=200,Movie_financials__with_release_date[[#This Row],[profit_category]]="Low Profit"),"⚠ Review","OK")</f>
        <v>OK</v>
      </c>
    </row>
    <row r="33" spans="1:22">
      <c r="A33">
        <v>133</v>
      </c>
      <c r="B33" t="s">
        <v>142</v>
      </c>
      <c r="C33" t="s">
        <v>7</v>
      </c>
      <c r="D33" t="s">
        <v>85</v>
      </c>
      <c r="E33">
        <v>8</v>
      </c>
      <c r="F33" t="s">
        <v>62</v>
      </c>
      <c r="G33" t="s">
        <v>165</v>
      </c>
      <c r="H33">
        <v>6</v>
      </c>
      <c r="I33">
        <v>12</v>
      </c>
      <c r="J33" t="s">
        <v>78</v>
      </c>
      <c r="K33" t="s">
        <v>79</v>
      </c>
      <c r="L33" s="14">
        <v>44645</v>
      </c>
      <c r="M33" t="str" cm="1">
        <f t="array" ref="M33">_xlfn.IFS( Movie_financials__with_release_date[[#This Row],[revenue]]&lt;500,"Average", Movie_financials__with_release_date[[#This Row],[revenue]]&lt;=1000,"Hit", TRUE,"Blockbuster")</f>
        <v>Average</v>
      </c>
      <c r="N33" t="str" cm="1">
        <f t="array" ref="N33">_xlfn.IFS(Movie_financials__with_release_date[[#This Row],[imdb_rating]]&lt;7,"Average",Movie_financials__with_release_date[[#This Row],[imdb_rating]]&lt;=8.5,"Good",TRUE,"Excellent")</f>
        <v>Good</v>
      </c>
      <c r="O33" t="str" cm="1">
        <f t="array" ref="O33">_xlfn.IFS(Movie_financials__with_release_date[[#This Row],[budget]]&lt;50,"Low budget",Movie_financials__with_release_date[[#This Row],[budget]]&lt;=150,"Medium budget",TRUE,"High budget")</f>
        <v>Low budget</v>
      </c>
      <c r="P33" t="str">
        <f ca="1">DATEDIF(Movie_financials__with_release_date[[#This Row],[release_date]],TODAY(),"Y")&amp; "years"&amp; DATEDIF(Movie_financials__with_release_date[[#This Row],[release_date]],TODAY(),"YM")&amp; "months"</f>
        <v>4years3months</v>
      </c>
      <c r="Q33">
        <f ca="1">DATEDIF(Movie_financials__with_release_date[[#This Row],[release_date]],TODAY(),"Y")</f>
        <v>4</v>
      </c>
      <c r="R33" t="str" cm="1">
        <f t="array" aca="1" ref="R33" ca="1">_xlfn.IFS(Movie_financials__with_release_date[[#This Row],[Movie_age(years)]]&lt;5,"New Release",Movie_financials__with_release_date[[#This Row],[Movie_age(years)]]&lt;=15,"Modern Classic",
TRUE,"Classic"
)</f>
        <v>New Release</v>
      </c>
      <c r="S33" t="str" cm="1">
        <f t="array" ref="S33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33" t="str" cm="1">
        <f t="array" ref="T33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33" t="str" cm="1">
        <f t="array" ref="U33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33" t="str">
        <f>IF(AND(Movie_financials__with_release_date[[#This Row],[budget]]&gt;=200,Movie_financials__with_release_date[[#This Row],[profit_category]]="Low Profit"),"⚠ Review","OK")</f>
        <v>OK</v>
      </c>
    </row>
    <row r="34" spans="1:22">
      <c r="A34">
        <v>134</v>
      </c>
      <c r="B34" t="s">
        <v>143</v>
      </c>
      <c r="C34" t="s">
        <v>7</v>
      </c>
      <c r="D34" t="s">
        <v>102</v>
      </c>
      <c r="E34">
        <v>8</v>
      </c>
      <c r="F34" t="s">
        <v>64</v>
      </c>
      <c r="G34" t="s">
        <v>165</v>
      </c>
      <c r="H34">
        <v>2</v>
      </c>
      <c r="I34">
        <v>6.5</v>
      </c>
      <c r="J34" t="s">
        <v>78</v>
      </c>
      <c r="K34" t="s">
        <v>79</v>
      </c>
      <c r="L34" s="14">
        <v>42195</v>
      </c>
      <c r="M34" t="str" cm="1">
        <f t="array" ref="M34">_xlfn.IFS( Movie_financials__with_release_date[[#This Row],[revenue]]&lt;500,"Average", Movie_financials__with_release_date[[#This Row],[revenue]]&lt;=1000,"Hit", TRUE,"Blockbuster")</f>
        <v>Average</v>
      </c>
      <c r="N34" t="str" cm="1">
        <f t="array" ref="N34">_xlfn.IFS(Movie_financials__with_release_date[[#This Row],[imdb_rating]]&lt;7,"Average",Movie_financials__with_release_date[[#This Row],[imdb_rating]]&lt;=8.5,"Good",TRUE,"Excellent")</f>
        <v>Good</v>
      </c>
      <c r="O34" t="str" cm="1">
        <f t="array" ref="O34">_xlfn.IFS(Movie_financials__with_release_date[[#This Row],[budget]]&lt;50,"Low budget",Movie_financials__with_release_date[[#This Row],[budget]]&lt;=150,"Medium budget",TRUE,"High budget")</f>
        <v>Low budget</v>
      </c>
      <c r="P34" t="str">
        <f ca="1">DATEDIF(Movie_financials__with_release_date[[#This Row],[release_date]],TODAY(),"Y")&amp; "years"&amp; DATEDIF(Movie_financials__with_release_date[[#This Row],[release_date]],TODAY(),"YM")&amp; "months"</f>
        <v>11years0months</v>
      </c>
      <c r="Q34">
        <f ca="1">DATEDIF(Movie_financials__with_release_date[[#This Row],[release_date]],TODAY(),"Y")</f>
        <v>11</v>
      </c>
      <c r="R34" t="str" cm="1">
        <f t="array" aca="1" ref="R34" ca="1">_xlfn.IFS(Movie_financials__with_release_date[[#This Row],[Movie_age(years)]]&lt;5,"New Release",Movie_financials__with_release_date[[#This Row],[Movie_age(years)]]&lt;=15,"Modern Classic",
TRUE,"Classic"
)</f>
        <v>Modern Classic</v>
      </c>
      <c r="S34" t="str" cm="1">
        <f t="array" ref="S34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4" t="str" cm="1">
        <f t="array" ref="T34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34" t="str" cm="1">
        <f t="array" ref="U34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34" t="str">
        <f>IF(AND(Movie_financials__with_release_date[[#This Row],[budget]]&gt;=200,Movie_financials__with_release_date[[#This Row],[profit_category]]="Low Profit"),"⚠ Review","OK")</f>
        <v>OK</v>
      </c>
    </row>
    <row r="35" spans="1:22">
      <c r="A35">
        <v>135</v>
      </c>
      <c r="B35" t="s">
        <v>144</v>
      </c>
      <c r="C35" t="s">
        <v>7</v>
      </c>
      <c r="D35" t="s">
        <v>85</v>
      </c>
      <c r="E35">
        <v>8.3000000000000007</v>
      </c>
      <c r="F35" t="s">
        <v>66</v>
      </c>
      <c r="G35" t="s">
        <v>163</v>
      </c>
      <c r="H35">
        <v>250</v>
      </c>
      <c r="I35">
        <v>3409</v>
      </c>
      <c r="J35" t="s">
        <v>80</v>
      </c>
      <c r="K35" t="s">
        <v>79</v>
      </c>
      <c r="L35" s="14">
        <v>44631</v>
      </c>
      <c r="M35" t="str" cm="1">
        <f t="array" ref="M35">_xlfn.IFS( Movie_financials__with_release_date[[#This Row],[revenue]]&lt;500,"Average", Movie_financials__with_release_date[[#This Row],[revenue]]&lt;=1000,"Hit", TRUE,"Blockbuster")</f>
        <v>Blockbuster</v>
      </c>
      <c r="N35" t="str" cm="1">
        <f t="array" ref="N35">_xlfn.IFS(Movie_financials__with_release_date[[#This Row],[imdb_rating]]&lt;7,"Average",Movie_financials__with_release_date[[#This Row],[imdb_rating]]&lt;=8.5,"Good",TRUE,"Excellent")</f>
        <v>Good</v>
      </c>
      <c r="O35" t="str" cm="1">
        <f t="array" ref="O35">_xlfn.IFS(Movie_financials__with_release_date[[#This Row],[budget]]&lt;50,"Low budget",Movie_financials__with_release_date[[#This Row],[budget]]&lt;=150,"Medium budget",TRUE,"High budget")</f>
        <v>High budget</v>
      </c>
      <c r="P35" t="str">
        <f ca="1">DATEDIF(Movie_financials__with_release_date[[#This Row],[release_date]],TODAY(),"Y")&amp; "years"&amp; DATEDIF(Movie_financials__with_release_date[[#This Row],[release_date]],TODAY(),"YM")&amp; "months"</f>
        <v>4years4months</v>
      </c>
      <c r="Q35">
        <f ca="1">DATEDIF(Movie_financials__with_release_date[[#This Row],[release_date]],TODAY(),"Y")</f>
        <v>4</v>
      </c>
      <c r="R35" t="str" cm="1">
        <f t="array" aca="1" ref="R35" ca="1">_xlfn.IFS(Movie_financials__with_release_date[[#This Row],[Movie_age(years)]]&lt;5,"New Release",Movie_financials__with_release_date[[#This Row],[Movie_age(years)]]&lt;=15,"Modern Classic",
TRUE,"Classic"
)</f>
        <v>New Release</v>
      </c>
      <c r="S35" t="str" cm="1">
        <f t="array" ref="S35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5" t="str" cm="1">
        <f t="array" ref="T35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35" t="str" cm="1">
        <f t="array" ref="U35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35" t="str">
        <f>IF(AND(Movie_financials__with_release_date[[#This Row],[budget]]&gt;=200,Movie_financials__with_release_date[[#This Row],[profit_category]]="Low Profit"),"⚠ Review","OK")</f>
        <v>OK</v>
      </c>
    </row>
    <row r="36" spans="1:22">
      <c r="A36">
        <v>136</v>
      </c>
      <c r="B36" t="s">
        <v>145</v>
      </c>
      <c r="C36" t="s">
        <v>7</v>
      </c>
      <c r="D36" t="s">
        <v>102</v>
      </c>
      <c r="E36">
        <v>8.1</v>
      </c>
      <c r="F36" t="s">
        <v>68</v>
      </c>
      <c r="G36" t="s">
        <v>163</v>
      </c>
      <c r="H36">
        <v>900</v>
      </c>
      <c r="I36">
        <v>11690</v>
      </c>
      <c r="J36" t="s">
        <v>80</v>
      </c>
      <c r="K36" t="s">
        <v>79</v>
      </c>
      <c r="L36" s="14">
        <v>42202</v>
      </c>
      <c r="M36" t="str" cm="1">
        <f t="array" ref="M36">_xlfn.IFS( Movie_financials__with_release_date[[#This Row],[revenue]]&lt;500,"Average", Movie_financials__with_release_date[[#This Row],[revenue]]&lt;=1000,"Hit", TRUE,"Blockbuster")</f>
        <v>Blockbuster</v>
      </c>
      <c r="N36" t="str" cm="1">
        <f t="array" ref="N36">_xlfn.IFS(Movie_financials__with_release_date[[#This Row],[imdb_rating]]&lt;7,"Average",Movie_financials__with_release_date[[#This Row],[imdb_rating]]&lt;=8.5,"Good",TRUE,"Excellent")</f>
        <v>Good</v>
      </c>
      <c r="O36" t="str" cm="1">
        <f t="array" ref="O36">_xlfn.IFS(Movie_financials__with_release_date[[#This Row],[budget]]&lt;50,"Low budget",Movie_financials__with_release_date[[#This Row],[budget]]&lt;=150,"Medium budget",TRUE,"High budget")</f>
        <v>High budget</v>
      </c>
      <c r="P36" t="str">
        <f ca="1">DATEDIF(Movie_financials__with_release_date[[#This Row],[release_date]],TODAY(),"Y")&amp; "years"&amp; DATEDIF(Movie_financials__with_release_date[[#This Row],[release_date]],TODAY(),"YM")&amp; "months"</f>
        <v>11years0months</v>
      </c>
      <c r="Q36">
        <f ca="1">DATEDIF(Movie_financials__with_release_date[[#This Row],[release_date]],TODAY(),"Y")</f>
        <v>11</v>
      </c>
      <c r="R36" t="str" cm="1">
        <f t="array" aca="1" ref="R36" ca="1">_xlfn.IFS(Movie_financials__with_release_date[[#This Row],[Movie_age(years)]]&lt;5,"New Release",Movie_financials__with_release_date[[#This Row],[Movie_age(years)]]&lt;=15,"Modern Classic",
TRUE,"Classic"
)</f>
        <v>Modern Classic</v>
      </c>
      <c r="S36" t="str" cm="1">
        <f t="array" ref="S36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6" t="str" cm="1">
        <f t="array" ref="T36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36" t="str" cm="1">
        <f t="array" ref="U36">_xlfn.IFS(Movie_financials__with_release_date[[#This Row],[revenue]]&gt;=2000,"Mega Hit",
Movie_financials__with_release_date[[#This Row],[revenue]]&gt;=1000,"Super Hit",
Movie_financials__with_release_date[[#This Row],[revenue]]&gt;=500,"Hit",
TRUE,"Average")</f>
        <v>Mega Hit</v>
      </c>
      <c r="V36" t="str">
        <f>IF(AND(Movie_financials__with_release_date[[#This Row],[budget]]&gt;=200,Movie_financials__with_release_date[[#This Row],[profit_category]]="Low Profit"),"⚠ Review","OK")</f>
        <v>OK</v>
      </c>
    </row>
    <row r="37" spans="1:22">
      <c r="A37">
        <v>137</v>
      </c>
      <c r="B37" t="s">
        <v>146</v>
      </c>
      <c r="C37" t="s">
        <v>10</v>
      </c>
      <c r="D37" t="s">
        <v>147</v>
      </c>
      <c r="E37">
        <v>6.9</v>
      </c>
      <c r="F37" t="s">
        <v>11</v>
      </c>
      <c r="G37" t="s">
        <v>162</v>
      </c>
      <c r="H37">
        <v>217</v>
      </c>
      <c r="I37">
        <v>370.6</v>
      </c>
      <c r="J37" t="s">
        <v>80</v>
      </c>
      <c r="K37" t="s">
        <v>81</v>
      </c>
      <c r="L37" s="14">
        <v>40746</v>
      </c>
      <c r="M37" t="str" cm="1">
        <f t="array" ref="M37">_xlfn.IFS( Movie_financials__with_release_date[[#This Row],[revenue]]&lt;500,"Average", Movie_financials__with_release_date[[#This Row],[revenue]]&lt;=1000,"Hit", TRUE,"Blockbuster")</f>
        <v>Average</v>
      </c>
      <c r="N37" t="str" cm="1">
        <f t="array" ref="N37">_xlfn.IFS(Movie_financials__with_release_date[[#This Row],[imdb_rating]]&lt;7,"Average",Movie_financials__with_release_date[[#This Row],[imdb_rating]]&lt;=8.5,"Good",TRUE,"Excellent")</f>
        <v>Average</v>
      </c>
      <c r="O37" t="str" cm="1">
        <f t="array" ref="O37">_xlfn.IFS(Movie_financials__with_release_date[[#This Row],[budget]]&lt;50,"Low budget",Movie_financials__with_release_date[[#This Row],[budget]]&lt;=150,"Medium budget",TRUE,"High budget")</f>
        <v>High budget</v>
      </c>
      <c r="P37" t="str">
        <f ca="1">DATEDIF(Movie_financials__with_release_date[[#This Row],[release_date]],TODAY(),"Y")&amp; "years"&amp; DATEDIF(Movie_financials__with_release_date[[#This Row],[release_date]],TODAY(),"YM")&amp; "months"</f>
        <v>14years11months</v>
      </c>
      <c r="Q37">
        <f ca="1">DATEDIF(Movie_financials__with_release_date[[#This Row],[release_date]],TODAY(),"Y")</f>
        <v>14</v>
      </c>
      <c r="R37" t="str" cm="1">
        <f t="array" aca="1" ref="R37" ca="1">_xlfn.IFS(Movie_financials__with_release_date[[#This Row],[Movie_age(years)]]&lt;5,"New Release",Movie_financials__with_release_date[[#This Row],[Movie_age(years)]]&lt;=15,"Modern Classic",
TRUE,"Classic"
)</f>
        <v>Modern Classic</v>
      </c>
      <c r="S37" t="str" cm="1">
        <f t="array" ref="S37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37" t="str" cm="1">
        <f t="array" ref="T37">_xlfn.IFS(Movie_financials__with_release_date[[#This Row],[imdb_rating]]&gt;=9,"A+",
Movie_financials__with_release_date[[#This Row],[imdb_rating]]&gt;=8,"A",
Movie_financials__with_release_date[[#This Row],[imdb_rating]]&gt;=7,"B",
TRUE,"C")</f>
        <v>C</v>
      </c>
      <c r="U37" t="str" cm="1">
        <f t="array" ref="U37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37" t="str">
        <f>IF(AND(Movie_financials__with_release_date[[#This Row],[budget]]&gt;=200,Movie_financials__with_release_date[[#This Row],[profit_category]]="Low Profit"),"⚠ Review","OK")</f>
        <v>OK</v>
      </c>
    </row>
    <row r="38" spans="1:22">
      <c r="A38">
        <v>138</v>
      </c>
      <c r="B38" t="s">
        <v>148</v>
      </c>
      <c r="C38" t="s">
        <v>10</v>
      </c>
      <c r="D38" t="s">
        <v>109</v>
      </c>
      <c r="E38">
        <v>7.8</v>
      </c>
      <c r="F38" t="s">
        <v>11</v>
      </c>
      <c r="G38" t="s">
        <v>162</v>
      </c>
      <c r="H38">
        <v>177</v>
      </c>
      <c r="I38">
        <v>714.4</v>
      </c>
      <c r="J38" t="s">
        <v>80</v>
      </c>
      <c r="K38" t="s">
        <v>81</v>
      </c>
      <c r="L38" s="14">
        <v>41733</v>
      </c>
      <c r="M38" t="str" cm="1">
        <f t="array" ref="M38">_xlfn.IFS( Movie_financials__with_release_date[[#This Row],[revenue]]&lt;500,"Average", Movie_financials__with_release_date[[#This Row],[revenue]]&lt;=1000,"Hit", TRUE,"Blockbuster")</f>
        <v>Hit</v>
      </c>
      <c r="N38" t="str" cm="1">
        <f t="array" ref="N38">_xlfn.IFS(Movie_financials__with_release_date[[#This Row],[imdb_rating]]&lt;7,"Average",Movie_financials__with_release_date[[#This Row],[imdb_rating]]&lt;=8.5,"Good",TRUE,"Excellent")</f>
        <v>Good</v>
      </c>
      <c r="O38" t="str" cm="1">
        <f t="array" ref="O38">_xlfn.IFS(Movie_financials__with_release_date[[#This Row],[budget]]&lt;50,"Low budget",Movie_financials__with_release_date[[#This Row],[budget]]&lt;=150,"Medium budget",TRUE,"High budget")</f>
        <v>High budget</v>
      </c>
      <c r="P38" t="str">
        <f ca="1">DATEDIF(Movie_financials__with_release_date[[#This Row],[release_date]],TODAY(),"Y")&amp; "years"&amp; DATEDIF(Movie_financials__with_release_date[[#This Row],[release_date]],TODAY(),"YM")&amp; "months"</f>
        <v>12years3months</v>
      </c>
      <c r="Q38">
        <f ca="1">DATEDIF(Movie_financials__with_release_date[[#This Row],[release_date]],TODAY(),"Y")</f>
        <v>12</v>
      </c>
      <c r="R38" t="str" cm="1">
        <f t="array" aca="1" ref="R38" ca="1">_xlfn.IFS(Movie_financials__with_release_date[[#This Row],[Movie_age(years)]]&lt;5,"New Release",Movie_financials__with_release_date[[#This Row],[Movie_age(years)]]&lt;=15,"Modern Classic",
TRUE,"Classic"
)</f>
        <v>Modern Classic</v>
      </c>
      <c r="S38" t="str" cm="1">
        <f t="array" ref="S38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Highly Profitable</v>
      </c>
      <c r="T38" t="str" cm="1">
        <f t="array" ref="T38">_xlfn.IFS(Movie_financials__with_release_date[[#This Row],[imdb_rating]]&gt;=9,"A+",
Movie_financials__with_release_date[[#This Row],[imdb_rating]]&gt;=8,"A",
Movie_financials__with_release_date[[#This Row],[imdb_rating]]&gt;=7,"B",
TRUE,"C")</f>
        <v>B</v>
      </c>
      <c r="U38" t="str" cm="1">
        <f t="array" ref="U38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38" t="str">
        <f>IF(AND(Movie_financials__with_release_date[[#This Row],[budget]]&gt;=200,Movie_financials__with_release_date[[#This Row],[profit_category]]="Low Profit"),"⚠ Review","OK")</f>
        <v>OK</v>
      </c>
    </row>
    <row r="39" spans="1:22">
      <c r="A39">
        <v>139</v>
      </c>
      <c r="B39" t="s">
        <v>149</v>
      </c>
      <c r="C39" t="s">
        <v>7</v>
      </c>
      <c r="D39" t="s">
        <v>130</v>
      </c>
      <c r="E39">
        <v>1.9</v>
      </c>
      <c r="F39" t="s">
        <v>68</v>
      </c>
      <c r="G39" t="s">
        <v>163</v>
      </c>
      <c r="H39">
        <v>2</v>
      </c>
      <c r="I39">
        <v>3.1</v>
      </c>
      <c r="J39" t="s">
        <v>78</v>
      </c>
      <c r="K39" t="s">
        <v>79</v>
      </c>
      <c r="L39" s="14">
        <v>43266</v>
      </c>
      <c r="M39" t="str" cm="1">
        <f t="array" ref="M39">_xlfn.IFS( Movie_financials__with_release_date[[#This Row],[revenue]]&lt;500,"Average", Movie_financials__with_release_date[[#This Row],[revenue]]&lt;=1000,"Hit", TRUE,"Blockbuster")</f>
        <v>Average</v>
      </c>
      <c r="N39" t="str" cm="1">
        <f t="array" ref="N39">_xlfn.IFS(Movie_financials__with_release_date[[#This Row],[imdb_rating]]&lt;7,"Average",Movie_financials__with_release_date[[#This Row],[imdb_rating]]&lt;=8.5,"Good",TRUE,"Excellent")</f>
        <v>Average</v>
      </c>
      <c r="O39" t="str" cm="1">
        <f t="array" ref="O39">_xlfn.IFS(Movie_financials__with_release_date[[#This Row],[budget]]&lt;50,"Low budget",Movie_financials__with_release_date[[#This Row],[budget]]&lt;=150,"Medium budget",TRUE,"High budget")</f>
        <v>Low budget</v>
      </c>
      <c r="P39" t="str">
        <f ca="1">DATEDIF(Movie_financials__with_release_date[[#This Row],[release_date]],TODAY(),"Y")&amp; "years"&amp; DATEDIF(Movie_financials__with_release_date[[#This Row],[release_date]],TODAY(),"YM")&amp; "months"</f>
        <v>8years1months</v>
      </c>
      <c r="Q39">
        <f ca="1">DATEDIF(Movie_financials__with_release_date[[#This Row],[release_date]],TODAY(),"Y")</f>
        <v>8</v>
      </c>
      <c r="R39" t="str" cm="1">
        <f t="array" aca="1" ref="R39" ca="1">_xlfn.IFS(Movie_financials__with_release_date[[#This Row],[Movie_age(years)]]&lt;5,"New Release",Movie_financials__with_release_date[[#This Row],[Movie_age(years)]]&lt;=15,"Modern Classic",
TRUE,"Classic"
)</f>
        <v>Modern Classic</v>
      </c>
      <c r="S39" t="str" cm="1">
        <f t="array" ref="S39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39" t="str" cm="1">
        <f t="array" ref="T39">_xlfn.IFS(Movie_financials__with_release_date[[#This Row],[imdb_rating]]&gt;=9,"A+",
Movie_financials__with_release_date[[#This Row],[imdb_rating]]&gt;=8,"A",
Movie_financials__with_release_date[[#This Row],[imdb_rating]]&gt;=7,"B",
TRUE,"C")</f>
        <v>C</v>
      </c>
      <c r="U39" t="str" cm="1">
        <f t="array" ref="U39">_xlfn.IFS(Movie_financials__with_release_date[[#This Row],[revenue]]&gt;=2000,"Mega Hit",
Movie_financials__with_release_date[[#This Row],[revenue]]&gt;=1000,"Super Hit",
Movie_financials__with_release_date[[#This Row],[revenue]]&gt;=500,"Hit",
TRUE,"Average")</f>
        <v>Average</v>
      </c>
      <c r="V39" t="str">
        <f>IF(AND(Movie_financials__with_release_date[[#This Row],[budget]]&gt;=200,Movie_financials__with_release_date[[#This Row],[profit_category]]="Low Profit"),"⚠ Review","OK")</f>
        <v>OK</v>
      </c>
    </row>
    <row r="40" spans="1:22">
      <c r="A40">
        <v>140</v>
      </c>
      <c r="B40" t="s">
        <v>150</v>
      </c>
      <c r="C40" t="s">
        <v>7</v>
      </c>
      <c r="D40" t="s">
        <v>141</v>
      </c>
      <c r="E40">
        <v>8.4</v>
      </c>
      <c r="F40" t="s">
        <v>23</v>
      </c>
      <c r="G40" t="s">
        <v>163</v>
      </c>
      <c r="H40">
        <v>500</v>
      </c>
      <c r="I40">
        <v>950</v>
      </c>
      <c r="J40" t="s">
        <v>80</v>
      </c>
      <c r="K40" t="s">
        <v>79</v>
      </c>
      <c r="L40" s="14">
        <v>44420</v>
      </c>
      <c r="M40" t="str" cm="1">
        <f t="array" ref="M40">_xlfn.IFS( Movie_financials__with_release_date[[#This Row],[revenue]]&lt;500,"Average", Movie_financials__with_release_date[[#This Row],[revenue]]&lt;=1000,"Hit", TRUE,"Blockbuster")</f>
        <v>Hit</v>
      </c>
      <c r="N40" t="str" cm="1">
        <f t="array" ref="N40">_xlfn.IFS(Movie_financials__with_release_date[[#This Row],[imdb_rating]]&lt;7,"Average",Movie_financials__with_release_date[[#This Row],[imdb_rating]]&lt;=8.5,"Good",TRUE,"Excellent")</f>
        <v>Good</v>
      </c>
      <c r="O40" t="str" cm="1">
        <f t="array" ref="O40">_xlfn.IFS(Movie_financials__with_release_date[[#This Row],[budget]]&lt;50,"Low budget",Movie_financials__with_release_date[[#This Row],[budget]]&lt;=150,"Medium budget",TRUE,"High budget")</f>
        <v>High budget</v>
      </c>
      <c r="P40" t="str">
        <f ca="1">DATEDIF(Movie_financials__with_release_date[[#This Row],[release_date]],TODAY(),"Y")&amp; "years"&amp; DATEDIF(Movie_financials__with_release_date[[#This Row],[release_date]],TODAY(),"YM")&amp; "months"</f>
        <v>4years11months</v>
      </c>
      <c r="Q40">
        <f ca="1">DATEDIF(Movie_financials__with_release_date[[#This Row],[release_date]],TODAY(),"Y")</f>
        <v>4</v>
      </c>
      <c r="R40" t="str" cm="1">
        <f t="array" aca="1" ref="R40" ca="1">_xlfn.IFS(Movie_financials__with_release_date[[#This Row],[Movie_age(years)]]&lt;5,"New Release",Movie_financials__with_release_date[[#This Row],[Movie_age(years)]]&lt;=15,"Modern Classic",
TRUE,"Classic"
)</f>
        <v>New Release</v>
      </c>
      <c r="S40" t="str" cm="1">
        <f t="array" ref="S40">_xlfn.IFS(Movie_financials__with_release_date[[#This Row],[revenue]]&gt;Movie_financials__with_release_date[[#This Row],[budget]]*3,"Highly Profitable",
     Movie_financials__with_release_date[[#This Row],[revenue]]&gt;Movie_financials__with_release_date[[#This Row],[budget]],"Profitable",
     TRUE,"Low Profit")</f>
        <v>Profitable</v>
      </c>
      <c r="T40" t="str" cm="1">
        <f t="array" ref="T40">_xlfn.IFS(Movie_financials__with_release_date[[#This Row],[imdb_rating]]&gt;=9,"A+",
Movie_financials__with_release_date[[#This Row],[imdb_rating]]&gt;=8,"A",
Movie_financials__with_release_date[[#This Row],[imdb_rating]]&gt;=7,"B",
TRUE,"C")</f>
        <v>A</v>
      </c>
      <c r="U40" t="str" cm="1">
        <f t="array" ref="U40">_xlfn.IFS(Movie_financials__with_release_date[[#This Row],[revenue]]&gt;=2000,"Mega Hit",
Movie_financials__with_release_date[[#This Row],[revenue]]&gt;=1000,"Super Hit",
Movie_financials__with_release_date[[#This Row],[revenue]]&gt;=500,"Hit",
TRUE,"Average")</f>
        <v>Hit</v>
      </c>
      <c r="V40" t="str">
        <f>IF(AND(Movie_financials__with_release_date[[#This Row],[budget]]&gt;=200,Movie_financials__with_release_date[[#This Row],[profit_category]]="Low Profit"),"⚠ Review","OK")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9A0A-6241-4561-B167-3F2312F42D6A}">
  <sheetPr codeName="Sheet10"/>
  <dimension ref="A3:I11"/>
  <sheetViews>
    <sheetView showGridLines="0" workbookViewId="0">
      <selection activeCell="B14" sqref="B14"/>
    </sheetView>
  </sheetViews>
  <sheetFormatPr defaultRowHeight="14.5"/>
  <cols>
    <col min="1" max="1" width="26.36328125" bestFit="1" customWidth="1"/>
    <col min="2" max="2" width="22.6328125" bestFit="1" customWidth="1"/>
  </cols>
  <sheetData>
    <row r="3" spans="1:9" ht="37">
      <c r="A3" s="75" t="s">
        <v>203</v>
      </c>
      <c r="B3" s="75"/>
      <c r="C3" s="75"/>
      <c r="D3" s="75"/>
      <c r="E3" s="75"/>
      <c r="F3" s="75"/>
      <c r="G3" s="75"/>
      <c r="H3" s="75"/>
      <c r="I3" s="75"/>
    </row>
    <row r="5" spans="1:9" ht="28.5">
      <c r="A5" s="2" t="s">
        <v>4</v>
      </c>
      <c r="B5" s="3" t="s">
        <v>391</v>
      </c>
    </row>
    <row r="7" spans="1:9" ht="28.5">
      <c r="A7" s="2" t="s">
        <v>197</v>
      </c>
      <c r="B7" s="3" t="s">
        <v>202</v>
      </c>
    </row>
    <row r="8" spans="1:9" ht="28.5">
      <c r="A8" s="4" t="s">
        <v>199</v>
      </c>
      <c r="B8" s="121">
        <v>17</v>
      </c>
    </row>
    <row r="9" spans="1:9" ht="28.5">
      <c r="A9" s="4" t="s">
        <v>200</v>
      </c>
      <c r="B9" s="121">
        <v>15</v>
      </c>
    </row>
    <row r="10" spans="1:9" ht="28.5">
      <c r="A10" s="4" t="s">
        <v>201</v>
      </c>
      <c r="B10" s="121">
        <v>7</v>
      </c>
    </row>
    <row r="11" spans="1:9" ht="28.5">
      <c r="A11" s="4" t="s">
        <v>155</v>
      </c>
      <c r="B11" s="121">
        <v>39</v>
      </c>
    </row>
  </sheetData>
  <mergeCells count="1">
    <mergeCell ref="A3:I3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3673-F150-4217-B06D-5DCE8B6EA57F}">
  <sheetPr codeName="Sheet11"/>
  <dimension ref="A3:G11"/>
  <sheetViews>
    <sheetView showGridLines="0" workbookViewId="0">
      <selection activeCell="E16" sqref="E16"/>
    </sheetView>
  </sheetViews>
  <sheetFormatPr defaultRowHeight="14.5"/>
  <cols>
    <col min="1" max="1" width="18.7265625" bestFit="1" customWidth="1"/>
    <col min="2" max="2" width="22.7265625" bestFit="1" customWidth="1"/>
    <col min="3" max="3" width="24.54296875" bestFit="1" customWidth="1"/>
    <col min="4" max="4" width="20.6328125" bestFit="1" customWidth="1"/>
    <col min="5" max="6" width="18.7265625" bestFit="1" customWidth="1"/>
  </cols>
  <sheetData>
    <row r="3" spans="1:7" ht="37">
      <c r="A3" s="75" t="s">
        <v>204</v>
      </c>
      <c r="B3" s="75"/>
      <c r="C3" s="75"/>
      <c r="D3" s="75"/>
      <c r="E3" s="75"/>
      <c r="F3" s="75"/>
      <c r="G3" s="75"/>
    </row>
    <row r="7" spans="1:7" ht="26">
      <c r="A7" s="9" t="s">
        <v>160</v>
      </c>
      <c r="B7" s="9" t="s">
        <v>202</v>
      </c>
      <c r="C7" s="10"/>
      <c r="D7" s="10"/>
      <c r="E7" s="10"/>
    </row>
    <row r="8" spans="1:7" ht="26">
      <c r="A8" s="9" t="s">
        <v>156</v>
      </c>
      <c r="B8" s="10" t="s">
        <v>199</v>
      </c>
      <c r="C8" s="10" t="s">
        <v>200</v>
      </c>
      <c r="D8" s="10" t="s">
        <v>201</v>
      </c>
      <c r="E8" s="10" t="s">
        <v>155</v>
      </c>
    </row>
    <row r="9" spans="1:7" ht="26">
      <c r="A9" s="11" t="s">
        <v>7</v>
      </c>
      <c r="B9" s="10">
        <v>7</v>
      </c>
      <c r="C9" s="10">
        <v>6</v>
      </c>
      <c r="D9" s="10">
        <v>5</v>
      </c>
      <c r="E9" s="10">
        <v>18</v>
      </c>
    </row>
    <row r="10" spans="1:7" ht="26">
      <c r="A10" s="11" t="s">
        <v>10</v>
      </c>
      <c r="B10" s="10">
        <v>10</v>
      </c>
      <c r="C10" s="10">
        <v>9</v>
      </c>
      <c r="D10" s="10">
        <v>2</v>
      </c>
      <c r="E10" s="10">
        <v>21</v>
      </c>
    </row>
    <row r="11" spans="1:7" ht="26">
      <c r="A11" s="11" t="s">
        <v>155</v>
      </c>
      <c r="B11" s="10">
        <v>17</v>
      </c>
      <c r="C11" s="10">
        <v>15</v>
      </c>
      <c r="D11" s="10">
        <v>7</v>
      </c>
      <c r="E11" s="10">
        <v>39</v>
      </c>
    </row>
  </sheetData>
  <mergeCells count="1">
    <mergeCell ref="A3:G3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22FC-27A9-4603-A748-4551F93AB57B}">
  <sheetPr codeName="Sheet12"/>
  <dimension ref="A3:H11"/>
  <sheetViews>
    <sheetView showGridLines="0" zoomScaleNormal="100" workbookViewId="0">
      <selection activeCell="A3" sqref="A3:H3"/>
    </sheetView>
  </sheetViews>
  <sheetFormatPr defaultRowHeight="14.5"/>
  <cols>
    <col min="1" max="1" width="29" bestFit="1" customWidth="1"/>
    <col min="2" max="2" width="22.6328125" bestFit="1" customWidth="1"/>
  </cols>
  <sheetData>
    <row r="3" spans="1:8" ht="37">
      <c r="A3" s="75" t="s">
        <v>217</v>
      </c>
      <c r="B3" s="75"/>
      <c r="C3" s="75"/>
      <c r="D3" s="75"/>
      <c r="E3" s="75"/>
      <c r="F3" s="75"/>
      <c r="G3" s="75"/>
      <c r="H3" s="75"/>
    </row>
    <row r="7" spans="1:8" ht="28.5">
      <c r="A7" s="2" t="s">
        <v>205</v>
      </c>
      <c r="B7" s="3" t="s">
        <v>202</v>
      </c>
    </row>
    <row r="8" spans="1:8" ht="28.5">
      <c r="A8" s="4" t="s">
        <v>208</v>
      </c>
      <c r="B8" s="3">
        <v>28</v>
      </c>
    </row>
    <row r="9" spans="1:8" ht="28.5">
      <c r="A9" s="4" t="s">
        <v>209</v>
      </c>
      <c r="B9" s="3">
        <v>2</v>
      </c>
    </row>
    <row r="10" spans="1:8" ht="28.5">
      <c r="A10" s="4" t="s">
        <v>210</v>
      </c>
      <c r="B10" s="3">
        <v>9</v>
      </c>
    </row>
    <row r="11" spans="1:8" ht="28.5">
      <c r="A11" s="4" t="s">
        <v>155</v>
      </c>
      <c r="B11" s="3">
        <v>39</v>
      </c>
    </row>
  </sheetData>
  <mergeCells count="1">
    <mergeCell ref="A3:H3"/>
  </mergeCells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E6DF-BBB1-4CAF-9DA8-F8AD942476C8}">
  <sheetPr codeName="Sheet13"/>
  <dimension ref="A3:N13"/>
  <sheetViews>
    <sheetView showGridLines="0" topLeftCell="A3" workbookViewId="0">
      <selection activeCell="A3" sqref="A3:N3"/>
    </sheetView>
  </sheetViews>
  <sheetFormatPr defaultRowHeight="14.5"/>
  <cols>
    <col min="1" max="1" width="23.1796875" bestFit="1" customWidth="1"/>
    <col min="2" max="2" width="14.6328125" bestFit="1" customWidth="1"/>
    <col min="3" max="3" width="6.26953125" bestFit="1" customWidth="1"/>
    <col min="4" max="4" width="15.81640625" bestFit="1" customWidth="1"/>
    <col min="5" max="5" width="16.81640625" bestFit="1" customWidth="1"/>
    <col min="6" max="6" width="20.6328125" bestFit="1" customWidth="1"/>
  </cols>
  <sheetData>
    <row r="3" spans="1:14" ht="37">
      <c r="A3" s="75" t="s">
        <v>218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7" spans="1:14" ht="28.5">
      <c r="A7" s="2" t="s">
        <v>160</v>
      </c>
      <c r="B7" s="2" t="s">
        <v>171</v>
      </c>
      <c r="C7" s="3"/>
      <c r="D7" s="3"/>
      <c r="E7" s="3"/>
      <c r="F7" s="3"/>
    </row>
    <row r="8" spans="1:14" ht="28.5">
      <c r="A8" s="2" t="s">
        <v>206</v>
      </c>
      <c r="B8" s="3" t="s">
        <v>169</v>
      </c>
      <c r="C8" s="3" t="s">
        <v>170</v>
      </c>
      <c r="D8" s="3" t="s">
        <v>215</v>
      </c>
      <c r="E8" s="3" t="s">
        <v>216</v>
      </c>
      <c r="F8" s="3" t="s">
        <v>155</v>
      </c>
    </row>
    <row r="9" spans="1:14" ht="28.5">
      <c r="A9" s="4" t="s">
        <v>211</v>
      </c>
      <c r="B9" s="3">
        <v>11</v>
      </c>
      <c r="C9" s="3">
        <v>2</v>
      </c>
      <c r="D9" s="3">
        <v>7</v>
      </c>
      <c r="E9" s="3">
        <v>2</v>
      </c>
      <c r="F9" s="3">
        <v>22</v>
      </c>
    </row>
    <row r="10" spans="1:14" ht="28.5">
      <c r="A10" s="4" t="s">
        <v>212</v>
      </c>
      <c r="B10" s="3">
        <v>3</v>
      </c>
      <c r="C10" s="3"/>
      <c r="D10" s="3"/>
      <c r="E10" s="3">
        <v>1</v>
      </c>
      <c r="F10" s="3">
        <v>4</v>
      </c>
    </row>
    <row r="11" spans="1:14" ht="28.5">
      <c r="A11" s="4" t="s">
        <v>213</v>
      </c>
      <c r="B11" s="3">
        <v>2</v>
      </c>
      <c r="C11" s="3">
        <v>3</v>
      </c>
      <c r="D11" s="3">
        <v>2</v>
      </c>
      <c r="E11" s="3">
        <v>1</v>
      </c>
      <c r="F11" s="3">
        <v>8</v>
      </c>
    </row>
    <row r="12" spans="1:14" ht="28.5">
      <c r="A12" s="4" t="s">
        <v>214</v>
      </c>
      <c r="B12" s="3">
        <v>3</v>
      </c>
      <c r="C12" s="3">
        <v>2</v>
      </c>
      <c r="D12" s="3"/>
      <c r="E12" s="3"/>
      <c r="F12" s="3">
        <v>5</v>
      </c>
    </row>
    <row r="13" spans="1:14" ht="28.5">
      <c r="A13" s="4" t="s">
        <v>155</v>
      </c>
      <c r="B13" s="3">
        <v>19</v>
      </c>
      <c r="C13" s="3">
        <v>7</v>
      </c>
      <c r="D13" s="3">
        <v>9</v>
      </c>
      <c r="E13" s="3">
        <v>4</v>
      </c>
      <c r="F13" s="3">
        <v>39</v>
      </c>
    </row>
  </sheetData>
  <mergeCells count="1">
    <mergeCell ref="A3:N3"/>
  </mergeCell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9BC7-FA91-44D4-B4ED-75A2B1EF3D02}">
  <sheetPr codeName="Sheet14"/>
  <dimension ref="A3:J11"/>
  <sheetViews>
    <sheetView showGridLines="0" workbookViewId="0">
      <selection activeCell="A3" sqref="A3:J3"/>
    </sheetView>
  </sheetViews>
  <sheetFormatPr defaultRowHeight="14.5"/>
  <cols>
    <col min="1" max="1" width="18.7265625" bestFit="1" customWidth="1"/>
    <col min="2" max="2" width="26.453125" bestFit="1" customWidth="1"/>
    <col min="3" max="3" width="16.1796875" bestFit="1" customWidth="1"/>
    <col min="4" max="4" width="16.08984375" bestFit="1" customWidth="1"/>
    <col min="5" max="5" width="18.7265625" bestFit="1" customWidth="1"/>
    <col min="6" max="6" width="9" bestFit="1" customWidth="1"/>
    <col min="7" max="8" width="14.7265625" bestFit="1" customWidth="1"/>
    <col min="9" max="9" width="10.36328125" bestFit="1" customWidth="1"/>
  </cols>
  <sheetData>
    <row r="3" spans="1:10" ht="37">
      <c r="A3" s="75" t="s">
        <v>219</v>
      </c>
      <c r="B3" s="75"/>
      <c r="C3" s="75"/>
      <c r="D3" s="75"/>
      <c r="E3" s="75"/>
      <c r="F3" s="75"/>
      <c r="G3" s="75"/>
      <c r="H3" s="75"/>
      <c r="I3" s="75"/>
      <c r="J3" s="75"/>
    </row>
    <row r="7" spans="1:10" ht="26">
      <c r="A7" s="9" t="s">
        <v>160</v>
      </c>
      <c r="B7" s="9" t="s">
        <v>171</v>
      </c>
      <c r="C7" s="10"/>
      <c r="D7" s="10"/>
      <c r="E7" s="10"/>
    </row>
    <row r="8" spans="1:10" ht="26">
      <c r="A8" s="9" t="s">
        <v>156</v>
      </c>
      <c r="B8" s="10" t="s">
        <v>208</v>
      </c>
      <c r="C8" s="10" t="s">
        <v>209</v>
      </c>
      <c r="D8" s="10" t="s">
        <v>210</v>
      </c>
      <c r="E8" s="10" t="s">
        <v>155</v>
      </c>
    </row>
    <row r="9" spans="1:10" ht="26">
      <c r="A9" s="11" t="s">
        <v>7</v>
      </c>
      <c r="B9" s="10">
        <v>12</v>
      </c>
      <c r="C9" s="10">
        <v>1</v>
      </c>
      <c r="D9" s="10">
        <v>5</v>
      </c>
      <c r="E9" s="10">
        <v>18</v>
      </c>
    </row>
    <row r="10" spans="1:10" ht="26">
      <c r="A10" s="11" t="s">
        <v>10</v>
      </c>
      <c r="B10" s="10">
        <v>16</v>
      </c>
      <c r="C10" s="10">
        <v>1</v>
      </c>
      <c r="D10" s="10">
        <v>4</v>
      </c>
      <c r="E10" s="10">
        <v>21</v>
      </c>
    </row>
    <row r="11" spans="1:10" ht="26">
      <c r="A11" s="11" t="s">
        <v>155</v>
      </c>
      <c r="B11" s="10">
        <v>28</v>
      </c>
      <c r="C11" s="10">
        <v>2</v>
      </c>
      <c r="D11" s="10">
        <v>9</v>
      </c>
      <c r="E11" s="10">
        <v>39</v>
      </c>
    </row>
  </sheetData>
  <mergeCells count="1">
    <mergeCell ref="A3:J3"/>
  </mergeCell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586E-3EF7-418A-8885-5089834C88D7}">
  <sheetPr codeName="Sheet15"/>
  <dimension ref="A1:S29"/>
  <sheetViews>
    <sheetView showGridLines="0" showRowColHeaders="0" topLeftCell="A5" workbookViewId="0">
      <selection activeCell="A11" sqref="A11:F29"/>
    </sheetView>
  </sheetViews>
  <sheetFormatPr defaultRowHeight="14.5"/>
  <cols>
    <col min="1" max="1" width="36.54296875" bestFit="1" customWidth="1"/>
    <col min="2" max="2" width="14.54296875" customWidth="1"/>
    <col min="3" max="3" width="9.26953125" customWidth="1"/>
    <col min="4" max="4" width="2.81640625" hidden="1" customWidth="1"/>
    <col min="5" max="5" width="16.08984375" customWidth="1"/>
    <col min="6" max="6" width="16.54296875" customWidth="1"/>
    <col min="7" max="7" width="17.453125" customWidth="1"/>
    <col min="8" max="8" width="4.6328125" hidden="1" customWidth="1"/>
    <col min="9" max="9" width="14" bestFit="1" customWidth="1"/>
  </cols>
  <sheetData>
    <row r="1" spans="1:19" ht="20.5" customHeight="1">
      <c r="A1" s="76" t="s">
        <v>220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6"/>
      <c r="Q1" s="16"/>
      <c r="R1" s="16"/>
      <c r="S1" s="16"/>
    </row>
    <row r="2" spans="1:19" ht="20.5" customHeight="1">
      <c r="A2" s="15"/>
      <c r="B2" s="15"/>
      <c r="C2" s="17"/>
      <c r="D2" s="17"/>
      <c r="E2" s="77" t="s">
        <v>221</v>
      </c>
      <c r="F2" s="77"/>
      <c r="G2" s="77"/>
      <c r="H2" s="77"/>
      <c r="I2" s="77"/>
      <c r="J2" s="77"/>
      <c r="K2" s="77"/>
      <c r="L2" s="77"/>
      <c r="M2" s="77"/>
      <c r="N2" s="15"/>
      <c r="O2" s="15"/>
      <c r="P2" s="15"/>
      <c r="Q2" s="15"/>
      <c r="R2" s="15"/>
      <c r="S2" s="15"/>
    </row>
    <row r="3" spans="1:19">
      <c r="H3">
        <f>COUNTIF(Movie_financials__with_release_date[revenue_category],"Mega Hit")</f>
        <v>9</v>
      </c>
    </row>
    <row r="4" spans="1:19">
      <c r="D4">
        <f>COUNT(Movie_financials__with_release_date[Movie_id])</f>
        <v>39</v>
      </c>
    </row>
    <row r="5" spans="1:19">
      <c r="D5">
        <f>COUNTIF(Movie_financials__with_release_date[profit_category],"Low Profit")</f>
        <v>2</v>
      </c>
    </row>
    <row r="6" spans="1:19">
      <c r="D6">
        <f>COUNTIFS(Movie_financials__with_release_date[revenue_category],"Mega Hit",Movie_financials__with_release_date[profit_category],"Low Profit")</f>
        <v>0</v>
      </c>
    </row>
    <row r="8" spans="1:19">
      <c r="H8">
        <f>AVERAGE(Movie_financials__with_release_date[imdb_rating])</f>
        <v>7.7435897435897436</v>
      </c>
    </row>
    <row r="9" spans="1:19" ht="23.5">
      <c r="A9" s="78" t="s">
        <v>225</v>
      </c>
      <c r="B9" s="79"/>
      <c r="C9" s="79"/>
      <c r="D9" s="79"/>
      <c r="E9" s="79"/>
      <c r="F9" s="79"/>
    </row>
    <row r="10" spans="1:19">
      <c r="A10" t="s">
        <v>83</v>
      </c>
      <c r="B10" t="s">
        <v>74</v>
      </c>
      <c r="C10" t="s">
        <v>75</v>
      </c>
      <c r="D10" t="s">
        <v>222</v>
      </c>
      <c r="E10" t="s">
        <v>205</v>
      </c>
      <c r="F10" t="s">
        <v>223</v>
      </c>
    </row>
    <row r="11" spans="1:19">
      <c r="A11" t="s">
        <v>87</v>
      </c>
      <c r="B11">
        <v>200</v>
      </c>
      <c r="C11">
        <v>954.8</v>
      </c>
      <c r="E11" t="s">
        <v>208</v>
      </c>
      <c r="F11" t="s">
        <v>224</v>
      </c>
    </row>
    <row r="12" spans="1:19">
      <c r="A12" t="s">
        <v>88</v>
      </c>
      <c r="B12">
        <v>165</v>
      </c>
      <c r="C12">
        <v>644.79999999999995</v>
      </c>
      <c r="E12" t="s">
        <v>208</v>
      </c>
      <c r="F12" t="s">
        <v>224</v>
      </c>
    </row>
    <row r="13" spans="1:19">
      <c r="A13" t="s">
        <v>90</v>
      </c>
      <c r="B13">
        <v>180</v>
      </c>
      <c r="C13">
        <v>854</v>
      </c>
      <c r="E13" t="s">
        <v>208</v>
      </c>
      <c r="F13" t="s">
        <v>224</v>
      </c>
    </row>
    <row r="14" spans="1:19">
      <c r="A14" t="s">
        <v>92</v>
      </c>
      <c r="B14">
        <v>250</v>
      </c>
      <c r="C14">
        <v>670</v>
      </c>
      <c r="E14" t="s">
        <v>210</v>
      </c>
      <c r="F14" t="s">
        <v>224</v>
      </c>
    </row>
    <row r="15" spans="1:19">
      <c r="A15" t="s">
        <v>95</v>
      </c>
      <c r="B15">
        <v>400</v>
      </c>
      <c r="C15">
        <v>2000</v>
      </c>
      <c r="E15" t="s">
        <v>208</v>
      </c>
      <c r="F15" t="s">
        <v>224</v>
      </c>
    </row>
    <row r="16" spans="1:19">
      <c r="A16" t="s">
        <v>97</v>
      </c>
      <c r="B16">
        <v>550</v>
      </c>
      <c r="C16">
        <v>4000</v>
      </c>
      <c r="E16" t="s">
        <v>208</v>
      </c>
      <c r="F16" t="s">
        <v>224</v>
      </c>
    </row>
    <row r="17" spans="1:6">
      <c r="A17" t="s">
        <v>99</v>
      </c>
      <c r="B17">
        <v>390</v>
      </c>
      <c r="C17">
        <v>1360</v>
      </c>
      <c r="E17" t="s">
        <v>208</v>
      </c>
      <c r="F17" t="s">
        <v>224</v>
      </c>
    </row>
    <row r="18" spans="1:6">
      <c r="A18" t="s">
        <v>108</v>
      </c>
      <c r="B18">
        <v>165</v>
      </c>
      <c r="C18">
        <v>701.8</v>
      </c>
      <c r="E18" t="s">
        <v>208</v>
      </c>
      <c r="F18" t="s">
        <v>224</v>
      </c>
    </row>
    <row r="19" spans="1:6">
      <c r="A19" t="s">
        <v>114</v>
      </c>
      <c r="B19">
        <v>200</v>
      </c>
      <c r="C19">
        <v>2202</v>
      </c>
      <c r="E19" t="s">
        <v>208</v>
      </c>
      <c r="F19" t="s">
        <v>224</v>
      </c>
    </row>
    <row r="20" spans="1:6">
      <c r="A20" t="s">
        <v>118</v>
      </c>
      <c r="B20">
        <v>237</v>
      </c>
      <c r="C20">
        <v>2847</v>
      </c>
      <c r="E20" t="s">
        <v>208</v>
      </c>
      <c r="F20" t="s">
        <v>224</v>
      </c>
    </row>
    <row r="21" spans="1:6">
      <c r="A21" t="s">
        <v>121</v>
      </c>
      <c r="B21">
        <v>185</v>
      </c>
      <c r="C21">
        <v>1006</v>
      </c>
      <c r="E21" t="s">
        <v>208</v>
      </c>
      <c r="F21" t="s">
        <v>224</v>
      </c>
    </row>
    <row r="22" spans="1:6">
      <c r="A22" t="s">
        <v>128</v>
      </c>
      <c r="B22">
        <v>400</v>
      </c>
      <c r="C22">
        <v>2798</v>
      </c>
      <c r="E22" t="s">
        <v>208</v>
      </c>
      <c r="F22" t="s">
        <v>224</v>
      </c>
    </row>
    <row r="23" spans="1:6">
      <c r="A23" t="s">
        <v>129</v>
      </c>
      <c r="B23">
        <v>400</v>
      </c>
      <c r="C23">
        <v>2048</v>
      </c>
      <c r="E23" t="s">
        <v>208</v>
      </c>
      <c r="F23" t="s">
        <v>224</v>
      </c>
    </row>
    <row r="24" spans="1:6">
      <c r="A24" t="s">
        <v>138</v>
      </c>
      <c r="B24">
        <v>850</v>
      </c>
      <c r="C24">
        <v>8540</v>
      </c>
      <c r="E24" t="s">
        <v>208</v>
      </c>
      <c r="F24" t="s">
        <v>224</v>
      </c>
    </row>
    <row r="25" spans="1:6">
      <c r="A25" t="s">
        <v>144</v>
      </c>
      <c r="B25">
        <v>250</v>
      </c>
      <c r="C25">
        <v>3409</v>
      </c>
      <c r="E25" t="s">
        <v>208</v>
      </c>
      <c r="F25" t="s">
        <v>224</v>
      </c>
    </row>
    <row r="26" spans="1:6">
      <c r="A26" t="s">
        <v>145</v>
      </c>
      <c r="B26">
        <v>900</v>
      </c>
      <c r="C26">
        <v>11690</v>
      </c>
      <c r="E26" t="s">
        <v>208</v>
      </c>
      <c r="F26" t="s">
        <v>224</v>
      </c>
    </row>
    <row r="27" spans="1:6">
      <c r="A27" t="s">
        <v>146</v>
      </c>
      <c r="B27">
        <v>217</v>
      </c>
      <c r="C27">
        <v>370.6</v>
      </c>
      <c r="E27" t="s">
        <v>210</v>
      </c>
      <c r="F27" t="s">
        <v>224</v>
      </c>
    </row>
    <row r="28" spans="1:6">
      <c r="A28" t="s">
        <v>148</v>
      </c>
      <c r="B28">
        <v>177</v>
      </c>
      <c r="C28">
        <v>714.4</v>
      </c>
      <c r="E28" t="s">
        <v>208</v>
      </c>
      <c r="F28" t="s">
        <v>224</v>
      </c>
    </row>
    <row r="29" spans="1:6">
      <c r="A29" t="s">
        <v>150</v>
      </c>
      <c r="B29">
        <v>500</v>
      </c>
      <c r="C29">
        <v>950</v>
      </c>
      <c r="E29" t="s">
        <v>210</v>
      </c>
      <c r="F29" t="s">
        <v>224</v>
      </c>
    </row>
  </sheetData>
  <mergeCells count="3">
    <mergeCell ref="A1:O1"/>
    <mergeCell ref="E2:M2"/>
    <mergeCell ref="A9:F9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277E-2C4C-4F7A-9A59-816E8928A0A6}">
  <sheetPr codeName="Sheet16"/>
  <dimension ref="A1:S17"/>
  <sheetViews>
    <sheetView showGridLines="0" workbookViewId="0">
      <selection activeCell="H7" sqref="H7"/>
    </sheetView>
  </sheetViews>
  <sheetFormatPr defaultRowHeight="14.5"/>
  <cols>
    <col min="1" max="1" width="13.6328125" customWidth="1"/>
    <col min="2" max="2" width="59.7265625" bestFit="1" customWidth="1"/>
    <col min="3" max="3" width="24" bestFit="1" customWidth="1"/>
    <col min="8" max="8" width="12.6328125" bestFit="1" customWidth="1"/>
  </cols>
  <sheetData>
    <row r="1" spans="1:19" ht="23.5" customHeight="1">
      <c r="A1" s="19"/>
      <c r="B1" s="80" t="s">
        <v>226</v>
      </c>
      <c r="C1" s="80"/>
      <c r="D1" s="80"/>
      <c r="E1" s="80"/>
      <c r="F1" s="80"/>
      <c r="G1" s="80"/>
      <c r="H1" s="80"/>
      <c r="I1" s="80"/>
      <c r="J1" s="80"/>
      <c r="K1" s="80"/>
      <c r="L1" s="21"/>
      <c r="M1" s="21"/>
      <c r="N1" s="19"/>
      <c r="O1" s="19"/>
      <c r="P1" s="19"/>
      <c r="Q1" s="19"/>
      <c r="R1" s="19"/>
      <c r="S1" s="19"/>
    </row>
    <row r="2" spans="1:19" ht="23.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5" spans="1:19" ht="23.5">
      <c r="A5" s="24" t="s">
        <v>227</v>
      </c>
      <c r="B5" s="24" t="s">
        <v>228</v>
      </c>
      <c r="C5" s="25" t="s">
        <v>229</v>
      </c>
      <c r="E5" s="81" t="s">
        <v>236</v>
      </c>
      <c r="F5" s="82"/>
      <c r="G5" s="82"/>
      <c r="H5" s="82"/>
      <c r="I5" s="82"/>
      <c r="J5" s="82"/>
      <c r="K5" s="82"/>
    </row>
    <row r="6" spans="1:19" ht="23.5">
      <c r="A6" s="23">
        <v>1</v>
      </c>
      <c r="B6" s="23" t="s">
        <v>230</v>
      </c>
      <c r="C6" s="26">
        <f>SUMIFS(Movie_financials__with_release_date[revenue],Movie_financials__with_release_date[industry],"Hollywood")</f>
        <v>18577.900000000001</v>
      </c>
      <c r="F6" s="30" t="s">
        <v>230</v>
      </c>
      <c r="G6" s="29"/>
      <c r="H6" s="29"/>
      <c r="I6" s="29"/>
      <c r="J6" s="29"/>
    </row>
    <row r="7" spans="1:19" ht="23.5">
      <c r="A7" s="23">
        <v>2</v>
      </c>
      <c r="B7" s="23" t="s">
        <v>231</v>
      </c>
      <c r="C7" s="26">
        <f>SUMIFS(Movie_financials__with_release_date[revenue],Movie_financials__with_release_date[industry],"Bollywood")</f>
        <v>33856.1</v>
      </c>
      <c r="H7" s="18">
        <f>SUMIFS(Movie_financials__with_release_date[revenue],Movie_financials__with_release_date[industry],"Hollywood")</f>
        <v>18577.900000000001</v>
      </c>
    </row>
    <row r="8" spans="1:19" ht="23.5">
      <c r="A8" s="23">
        <v>3</v>
      </c>
      <c r="B8" s="23" t="s">
        <v>232</v>
      </c>
      <c r="C8" s="26">
        <f>SUMIFS(Movie_financials__with_release_date[revenue],Movie_financials__with_release_date[Movie_performance],"Hit")</f>
        <v>5489.7999999999993</v>
      </c>
    </row>
    <row r="9" spans="1:19" ht="23.5">
      <c r="A9" s="23">
        <v>4</v>
      </c>
      <c r="B9" s="23" t="s">
        <v>233</v>
      </c>
      <c r="C9" s="26">
        <f>SUMIFS(Movie_financials__with_release_date[revenue],Movie_financials__with_release_date[Budget_category],"High budget")</f>
        <v>47760.4</v>
      </c>
      <c r="F9" s="20"/>
    </row>
    <row r="10" spans="1:19" ht="23.5">
      <c r="A10" s="23">
        <v>5</v>
      </c>
      <c r="B10" s="23" t="s">
        <v>234</v>
      </c>
      <c r="C10" s="26">
        <f>SUMIFS(Movie_financials__with_release_date[revenue],Movie_financials__with_release_date[industry],"Hollywood",Movie_financials__with_release_date[Budget_category],"High budget",Movie_financials__with_release_date[Movie_performance],"Hit")</f>
        <v>4539.7999999999993</v>
      </c>
    </row>
    <row r="11" spans="1:19" ht="23.5">
      <c r="A11" s="22">
        <v>6</v>
      </c>
      <c r="B11" s="22" t="s">
        <v>235</v>
      </c>
      <c r="C11" s="27">
        <f>SUMIFS(Movie_financials__with_release_date[revenue],Movie_financials__with_release_date[industry],"Hollywood",Movie_financials__with_release_date[Budget_category],"High budget",Movie_financials__with_release_date[Movie_performance],"Hit",Movie_financials__with_release_date[Rating_category],"Excellent")</f>
        <v>701.8</v>
      </c>
    </row>
    <row r="13" spans="1:19" ht="21">
      <c r="B13" s="28" t="s">
        <v>237</v>
      </c>
    </row>
    <row r="14" spans="1:19" ht="18.5">
      <c r="B14" s="31" t="s">
        <v>240</v>
      </c>
    </row>
    <row r="15" spans="1:19" ht="18.5">
      <c r="B15" s="31" t="s">
        <v>238</v>
      </c>
    </row>
    <row r="16" spans="1:19" ht="18.5">
      <c r="B16" s="31" t="s">
        <v>239</v>
      </c>
    </row>
    <row r="17" spans="2:2" ht="18.5">
      <c r="B17" s="31" t="s">
        <v>241</v>
      </c>
    </row>
  </sheetData>
  <mergeCells count="2">
    <mergeCell ref="B1:K1"/>
    <mergeCell ref="E5:K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6B7F-7A29-488E-8BC0-FB263D93221B}">
  <sheetPr codeName="Sheet17"/>
  <dimension ref="A1:S14"/>
  <sheetViews>
    <sheetView showGridLines="0" topLeftCell="B1" zoomScaleNormal="100" workbookViewId="0">
      <selection activeCell="I4" sqref="I4:N14"/>
    </sheetView>
  </sheetViews>
  <sheetFormatPr defaultRowHeight="14.5"/>
  <cols>
    <col min="1" max="1" width="17.54296875" bestFit="1" customWidth="1"/>
    <col min="2" max="2" width="11.90625" bestFit="1" customWidth="1"/>
    <col min="3" max="3" width="12.81640625" customWidth="1"/>
    <col min="4" max="4" width="10.6328125" customWidth="1"/>
    <col min="5" max="5" width="12.81640625" customWidth="1"/>
    <col min="9" max="9" width="12.6328125" bestFit="1" customWidth="1"/>
    <col min="10" max="10" width="10.6328125" bestFit="1" customWidth="1"/>
    <col min="11" max="11" width="11.7265625" bestFit="1" customWidth="1"/>
    <col min="12" max="12" width="8.81640625" bestFit="1" customWidth="1"/>
    <col min="13" max="13" width="12.54296875" bestFit="1" customWidth="1"/>
    <col min="14" max="14" width="22.08984375" bestFit="1" customWidth="1"/>
    <col min="16" max="16" width="9.90625" customWidth="1"/>
    <col min="17" max="17" width="10.08984375" customWidth="1"/>
  </cols>
  <sheetData>
    <row r="1" spans="1:19" ht="26">
      <c r="A1" s="83" t="s">
        <v>244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</row>
    <row r="2" spans="1:19" ht="21">
      <c r="A2" s="84" t="s">
        <v>242</v>
      </c>
      <c r="B2" s="85"/>
      <c r="C2" s="85"/>
      <c r="D2" s="85"/>
      <c r="E2" s="85"/>
      <c r="I2" s="86" t="s">
        <v>243</v>
      </c>
      <c r="J2" s="86"/>
      <c r="K2" s="86"/>
      <c r="L2" s="86"/>
      <c r="M2" s="86"/>
      <c r="N2" s="86"/>
      <c r="O2" s="86"/>
    </row>
    <row r="3" spans="1:19" ht="18.5">
      <c r="A3" s="31" t="s">
        <v>4</v>
      </c>
      <c r="B3" s="31" t="s">
        <v>1</v>
      </c>
      <c r="C3" s="31" t="s">
        <v>3</v>
      </c>
      <c r="D3" s="31" t="s">
        <v>82</v>
      </c>
      <c r="E3" s="31" t="s">
        <v>5</v>
      </c>
      <c r="I3" s="31" t="s">
        <v>73</v>
      </c>
      <c r="J3" s="31" t="s">
        <v>74</v>
      </c>
      <c r="K3" s="31" t="s">
        <v>75</v>
      </c>
      <c r="L3" s="31" t="s">
        <v>76</v>
      </c>
      <c r="M3" s="31" t="s">
        <v>77</v>
      </c>
      <c r="N3" s="31" t="s">
        <v>245</v>
      </c>
    </row>
    <row r="4" spans="1:19" ht="18.5">
      <c r="A4" s="31" t="s">
        <v>86</v>
      </c>
      <c r="B4" s="31" t="s">
        <v>7</v>
      </c>
      <c r="C4" s="31">
        <v>8.4</v>
      </c>
      <c r="D4" s="31">
        <v>101</v>
      </c>
      <c r="E4" s="31">
        <v>3</v>
      </c>
      <c r="I4" s="31">
        <v>101</v>
      </c>
      <c r="J4" s="31">
        <v>1</v>
      </c>
      <c r="K4" s="31">
        <v>12.5</v>
      </c>
      <c r="L4" s="31" t="s">
        <v>78</v>
      </c>
      <c r="M4" s="31" t="s">
        <v>79</v>
      </c>
      <c r="N4" s="31" t="str">
        <f>INDEX(Table17[studio],MATCH(Table18[[#This Row],[movie_id]],Table17[Movie_id],0))</f>
        <v>Hombale Films</v>
      </c>
    </row>
    <row r="5" spans="1:19" ht="18.5">
      <c r="A5" s="31" t="s">
        <v>11</v>
      </c>
      <c r="B5" s="31" t="s">
        <v>10</v>
      </c>
      <c r="C5" s="31">
        <v>7</v>
      </c>
      <c r="D5" s="31">
        <v>102</v>
      </c>
      <c r="E5" s="31">
        <v>5</v>
      </c>
      <c r="I5" s="31">
        <v>102</v>
      </c>
      <c r="J5" s="31">
        <v>200</v>
      </c>
      <c r="K5" s="31">
        <v>954.8</v>
      </c>
      <c r="L5" s="31" t="s">
        <v>80</v>
      </c>
      <c r="M5" s="31" t="s">
        <v>81</v>
      </c>
      <c r="N5" s="31" t="str">
        <f>INDEX(Table17[studio],MATCH(Table18[[#This Row],[movie_id]],Table17[Movie_id],0))</f>
        <v>Marvel Studios</v>
      </c>
    </row>
    <row r="6" spans="1:19" ht="18.5">
      <c r="A6" s="31" t="s">
        <v>11</v>
      </c>
      <c r="B6" s="31" t="s">
        <v>10</v>
      </c>
      <c r="C6" s="31">
        <v>6.8</v>
      </c>
      <c r="D6" s="31">
        <v>103</v>
      </c>
      <c r="E6" s="31">
        <v>5</v>
      </c>
      <c r="I6" s="31">
        <v>103</v>
      </c>
      <c r="J6" s="31">
        <v>165</v>
      </c>
      <c r="K6" s="31">
        <v>644.79999999999995</v>
      </c>
      <c r="L6" s="31" t="s">
        <v>80</v>
      </c>
      <c r="M6" s="31" t="s">
        <v>81</v>
      </c>
      <c r="N6" s="31" t="str">
        <f>INDEX(Table17[studio],MATCH(Table18[[#This Row],[movie_id]],Table17[Movie_id],0))</f>
        <v>Marvel Studios</v>
      </c>
    </row>
    <row r="7" spans="1:19" ht="18.5">
      <c r="A7" s="31" t="s">
        <v>11</v>
      </c>
      <c r="B7" s="31" t="s">
        <v>10</v>
      </c>
      <c r="C7" s="31">
        <v>7.9</v>
      </c>
      <c r="D7" s="31">
        <v>104</v>
      </c>
      <c r="E7" s="31">
        <v>5</v>
      </c>
      <c r="I7" s="31">
        <v>104</v>
      </c>
      <c r="J7" s="31">
        <v>180</v>
      </c>
      <c r="K7" s="31">
        <v>854</v>
      </c>
      <c r="L7" s="31" t="s">
        <v>80</v>
      </c>
      <c r="M7" s="31" t="s">
        <v>81</v>
      </c>
      <c r="N7" s="31" t="str">
        <f>INDEX(Table17[studio],MATCH(Table18[[#This Row],[movie_id]],Table17[Movie_id],0))</f>
        <v>Marvel Studios</v>
      </c>
    </row>
    <row r="8" spans="1:19" ht="18.5">
      <c r="A8" s="31" t="s">
        <v>11</v>
      </c>
      <c r="B8" s="31" t="s">
        <v>10</v>
      </c>
      <c r="C8" s="31">
        <v>6.8</v>
      </c>
      <c r="D8" s="31">
        <v>105</v>
      </c>
      <c r="E8" s="31">
        <v>5</v>
      </c>
      <c r="I8" s="31">
        <v>105</v>
      </c>
      <c r="J8" s="31">
        <v>250</v>
      </c>
      <c r="K8" s="31">
        <v>670</v>
      </c>
      <c r="L8" s="31" t="s">
        <v>80</v>
      </c>
      <c r="M8" s="31" t="s">
        <v>81</v>
      </c>
      <c r="N8" s="31" t="str">
        <f>INDEX(Table17[studio],MATCH(Table18[[#This Row],[movie_id]],Table17[Movie_id],0))</f>
        <v>Marvel Studios</v>
      </c>
    </row>
    <row r="9" spans="1:19" ht="18.5">
      <c r="A9" s="31" t="s">
        <v>17</v>
      </c>
      <c r="B9" s="31" t="s">
        <v>7</v>
      </c>
      <c r="C9" s="31">
        <v>8.1</v>
      </c>
      <c r="D9" s="31">
        <v>106</v>
      </c>
      <c r="E9" s="31">
        <v>1</v>
      </c>
      <c r="I9" s="31">
        <v>107</v>
      </c>
      <c r="J9" s="31">
        <v>400</v>
      </c>
      <c r="K9" s="31">
        <v>2000</v>
      </c>
      <c r="L9" s="31" t="s">
        <v>80</v>
      </c>
      <c r="M9" s="31" t="s">
        <v>79</v>
      </c>
      <c r="N9" s="31" t="str">
        <f>INDEX(Table17[studio],MATCH(Table18[[#This Row],[movie_id]],Table17[Movie_id],0))</f>
        <v>Yash Raj Films</v>
      </c>
    </row>
    <row r="10" spans="1:19" ht="18.5">
      <c r="A10" s="31" t="s">
        <v>19</v>
      </c>
      <c r="B10" s="31" t="s">
        <v>7</v>
      </c>
      <c r="C10" s="31">
        <v>8</v>
      </c>
      <c r="D10" s="31">
        <v>107</v>
      </c>
      <c r="E10" s="31">
        <v>1</v>
      </c>
      <c r="I10" s="31">
        <v>108</v>
      </c>
      <c r="J10" s="31">
        <v>550</v>
      </c>
      <c r="K10" s="31">
        <v>4000</v>
      </c>
      <c r="L10" s="31" t="s">
        <v>80</v>
      </c>
      <c r="M10" s="31" t="s">
        <v>79</v>
      </c>
      <c r="N10" s="31" t="str">
        <f>INDEX(Table17[studio],MATCH(Table18[[#This Row],[movie_id]],Table17[Movie_id],0))</f>
        <v>Vinod Chopra Films</v>
      </c>
    </row>
    <row r="11" spans="1:19" ht="18.5">
      <c r="A11" s="31" t="s">
        <v>56</v>
      </c>
      <c r="B11" s="31" t="s">
        <v>7</v>
      </c>
      <c r="C11" s="31">
        <v>8.4</v>
      </c>
      <c r="D11" s="31">
        <v>108</v>
      </c>
      <c r="E11" s="31">
        <v>1</v>
      </c>
      <c r="I11" s="31">
        <v>109</v>
      </c>
      <c r="J11" s="31">
        <v>390</v>
      </c>
      <c r="K11" s="31">
        <v>1360</v>
      </c>
      <c r="L11" s="31" t="s">
        <v>80</v>
      </c>
      <c r="M11" s="31" t="s">
        <v>79</v>
      </c>
      <c r="N11" s="31" t="str">
        <f>INDEX(Table17[studio],MATCH(Table18[[#This Row],[movie_id]],Table17[Movie_id],0))</f>
        <v>Dharma Productions</v>
      </c>
    </row>
    <row r="12" spans="1:19" ht="18.5">
      <c r="A12" s="31" t="s">
        <v>23</v>
      </c>
      <c r="B12" s="31" t="s">
        <v>7</v>
      </c>
      <c r="C12" s="31">
        <v>7.4</v>
      </c>
      <c r="D12" s="31">
        <v>109</v>
      </c>
      <c r="E12" s="31">
        <v>1</v>
      </c>
      <c r="I12" s="31">
        <v>110</v>
      </c>
      <c r="J12" s="31">
        <v>1.4</v>
      </c>
      <c r="K12" s="31">
        <v>3.5</v>
      </c>
      <c r="L12" s="31" t="s">
        <v>78</v>
      </c>
      <c r="M12" s="31" t="s">
        <v>79</v>
      </c>
      <c r="N12" s="31" t="e">
        <f>INDEX(Table17[studio],MATCH(Table18[[#This Row],[movie_id]],Table17[Movie_id],0))</f>
        <v>#N/A</v>
      </c>
    </row>
    <row r="13" spans="1:19" ht="18.5">
      <c r="I13" s="31"/>
      <c r="J13" s="31"/>
      <c r="K13" s="31"/>
      <c r="L13" s="31"/>
      <c r="M13" s="31"/>
      <c r="N13" s="31"/>
    </row>
    <row r="14" spans="1:19" ht="18.5">
      <c r="I14" s="31"/>
      <c r="J14" s="31"/>
      <c r="K14" s="31"/>
      <c r="L14" s="31"/>
      <c r="M14" s="31"/>
      <c r="N14" s="31" t="e">
        <f>INDEX(Table17[studio],MATCH(Table18[[#This Row],[movie_id]],Table17[Movie_id],0))</f>
        <v>#N/A</v>
      </c>
    </row>
  </sheetData>
  <mergeCells count="3">
    <mergeCell ref="A1:S1"/>
    <mergeCell ref="A2:E2"/>
    <mergeCell ref="I2:O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C823-B62C-4C50-9BA4-6F4C6F1B2EB8}">
  <sheetPr codeName="Sheet18"/>
  <dimension ref="A1:H32"/>
  <sheetViews>
    <sheetView workbookViewId="0"/>
  </sheetViews>
  <sheetFormatPr defaultRowHeight="14.5"/>
  <cols>
    <col min="1" max="1" width="14.36328125" bestFit="1" customWidth="1"/>
    <col min="2" max="2" width="10.453125" bestFit="1" customWidth="1"/>
    <col min="3" max="3" width="36.54296875" bestFit="1" customWidth="1"/>
    <col min="4" max="4" width="10" bestFit="1" customWidth="1"/>
    <col min="5" max="5" width="13.54296875" bestFit="1" customWidth="1"/>
    <col min="6" max="6" width="13.08984375" bestFit="1" customWidth="1"/>
    <col min="7" max="7" width="22.6328125" bestFit="1" customWidth="1"/>
    <col min="8" max="8" width="9.81640625" bestFit="1" customWidth="1"/>
  </cols>
  <sheetData>
    <row r="1" spans="1:8">
      <c r="A1" t="s">
        <v>246</v>
      </c>
      <c r="B1" t="s">
        <v>82</v>
      </c>
      <c r="C1" t="s">
        <v>83</v>
      </c>
      <c r="D1" t="s">
        <v>1</v>
      </c>
      <c r="E1" t="s">
        <v>2</v>
      </c>
      <c r="F1" t="s">
        <v>3</v>
      </c>
      <c r="G1" t="s">
        <v>4</v>
      </c>
      <c r="H1" t="s">
        <v>75</v>
      </c>
    </row>
    <row r="2" spans="1:8">
      <c r="A2" t="s">
        <v>251</v>
      </c>
      <c r="B2">
        <v>109</v>
      </c>
      <c r="C2" t="s">
        <v>99</v>
      </c>
      <c r="D2" t="s">
        <v>7</v>
      </c>
      <c r="E2">
        <v>2001</v>
      </c>
      <c r="F2">
        <v>7.4</v>
      </c>
      <c r="G2" t="s">
        <v>23</v>
      </c>
      <c r="H2">
        <v>1360</v>
      </c>
    </row>
    <row r="3" spans="1:8">
      <c r="A3" t="s">
        <v>251</v>
      </c>
      <c r="B3">
        <v>110</v>
      </c>
      <c r="C3" t="s">
        <v>101</v>
      </c>
      <c r="D3" t="s">
        <v>7</v>
      </c>
      <c r="E3">
        <v>2015</v>
      </c>
      <c r="F3">
        <v>7.2</v>
      </c>
      <c r="G3" t="s">
        <v>103</v>
      </c>
      <c r="H3">
        <v>3.5</v>
      </c>
    </row>
    <row r="4" spans="1:8">
      <c r="A4" t="s">
        <v>251</v>
      </c>
      <c r="B4">
        <v>129</v>
      </c>
      <c r="C4" t="s">
        <v>136</v>
      </c>
      <c r="D4" t="s">
        <v>7</v>
      </c>
      <c r="E4">
        <v>2003</v>
      </c>
      <c r="F4">
        <v>8.1</v>
      </c>
      <c r="G4" t="s">
        <v>54</v>
      </c>
      <c r="H4">
        <v>100</v>
      </c>
    </row>
    <row r="5" spans="1:8">
      <c r="A5" t="s">
        <v>251</v>
      </c>
      <c r="B5">
        <v>130</v>
      </c>
      <c r="C5" t="s">
        <v>138</v>
      </c>
      <c r="D5" t="s">
        <v>7</v>
      </c>
      <c r="E5">
        <v>2014</v>
      </c>
      <c r="F5">
        <v>8.1</v>
      </c>
      <c r="G5" t="s">
        <v>56</v>
      </c>
      <c r="H5">
        <v>850</v>
      </c>
    </row>
    <row r="6" spans="1:8">
      <c r="A6" t="s">
        <v>251</v>
      </c>
      <c r="B6">
        <v>131</v>
      </c>
      <c r="C6" t="s">
        <v>139</v>
      </c>
      <c r="D6" t="s">
        <v>7</v>
      </c>
      <c r="E6">
        <v>2018</v>
      </c>
      <c r="F6">
        <v>0</v>
      </c>
      <c r="G6" t="s">
        <v>56</v>
      </c>
      <c r="H6">
        <v>1</v>
      </c>
    </row>
    <row r="7" spans="1:8">
      <c r="A7" t="s">
        <v>251</v>
      </c>
      <c r="B7">
        <v>132</v>
      </c>
      <c r="C7" t="s">
        <v>140</v>
      </c>
      <c r="D7" t="s">
        <v>7</v>
      </c>
      <c r="E7">
        <v>2021</v>
      </c>
      <c r="F7">
        <v>7.6</v>
      </c>
      <c r="G7" t="s">
        <v>60</v>
      </c>
      <c r="H7">
        <v>2</v>
      </c>
    </row>
    <row r="8" spans="1:8">
      <c r="A8" t="s">
        <v>251</v>
      </c>
      <c r="B8">
        <v>133</v>
      </c>
      <c r="C8" t="s">
        <v>142</v>
      </c>
      <c r="D8" t="s">
        <v>7</v>
      </c>
      <c r="E8">
        <v>2022</v>
      </c>
      <c r="F8">
        <v>8</v>
      </c>
      <c r="G8" t="s">
        <v>62</v>
      </c>
      <c r="H8">
        <v>6</v>
      </c>
    </row>
    <row r="9" spans="1:8">
      <c r="A9" t="s">
        <v>251</v>
      </c>
      <c r="B9">
        <v>134</v>
      </c>
      <c r="C9" t="s">
        <v>143</v>
      </c>
      <c r="D9" t="s">
        <v>7</v>
      </c>
      <c r="E9">
        <v>2015</v>
      </c>
      <c r="F9">
        <v>8</v>
      </c>
      <c r="G9" t="s">
        <v>64</v>
      </c>
      <c r="H9">
        <v>2</v>
      </c>
    </row>
    <row r="10" spans="1:8">
      <c r="A10" t="s">
        <v>251</v>
      </c>
      <c r="B10">
        <v>135</v>
      </c>
      <c r="C10" t="s">
        <v>144</v>
      </c>
      <c r="D10" t="s">
        <v>7</v>
      </c>
      <c r="E10">
        <v>2022</v>
      </c>
      <c r="F10">
        <v>8.3000000000000007</v>
      </c>
      <c r="G10" t="s">
        <v>66</v>
      </c>
      <c r="H10">
        <v>250</v>
      </c>
    </row>
    <row r="11" spans="1:8">
      <c r="A11" t="s">
        <v>251</v>
      </c>
      <c r="B11">
        <v>125</v>
      </c>
      <c r="C11" t="s">
        <v>128</v>
      </c>
      <c r="D11" t="s">
        <v>10</v>
      </c>
      <c r="E11">
        <v>2019</v>
      </c>
      <c r="F11">
        <v>8.4</v>
      </c>
      <c r="G11" t="s">
        <v>11</v>
      </c>
      <c r="H11">
        <v>2798</v>
      </c>
    </row>
    <row r="12" spans="1:8">
      <c r="A12" t="s">
        <v>247</v>
      </c>
      <c r="B12">
        <v>107</v>
      </c>
      <c r="C12" t="s">
        <v>95</v>
      </c>
      <c r="D12" t="s">
        <v>7</v>
      </c>
      <c r="E12">
        <v>1995</v>
      </c>
      <c r="F12">
        <v>8</v>
      </c>
      <c r="G12" t="s">
        <v>19</v>
      </c>
      <c r="H12">
        <v>2000</v>
      </c>
    </row>
    <row r="13" spans="1:8">
      <c r="A13" t="s">
        <v>247</v>
      </c>
      <c r="B13">
        <v>105</v>
      </c>
      <c r="C13" t="s">
        <v>92</v>
      </c>
      <c r="D13" t="s">
        <v>10</v>
      </c>
      <c r="E13">
        <v>2022</v>
      </c>
      <c r="F13">
        <v>6.8</v>
      </c>
      <c r="G13" t="s">
        <v>11</v>
      </c>
      <c r="H13">
        <v>670</v>
      </c>
    </row>
    <row r="14" spans="1:8">
      <c r="A14" t="s">
        <v>247</v>
      </c>
      <c r="B14">
        <v>111</v>
      </c>
      <c r="C14" t="s">
        <v>104</v>
      </c>
      <c r="D14" t="s">
        <v>10</v>
      </c>
      <c r="E14">
        <v>1994</v>
      </c>
      <c r="F14">
        <v>9.3000000000000007</v>
      </c>
      <c r="G14" t="s">
        <v>26</v>
      </c>
      <c r="H14">
        <v>73.3</v>
      </c>
    </row>
    <row r="15" spans="1:8">
      <c r="A15" t="s">
        <v>247</v>
      </c>
      <c r="B15">
        <v>113</v>
      </c>
      <c r="C15" t="s">
        <v>108</v>
      </c>
      <c r="D15" t="s">
        <v>10</v>
      </c>
      <c r="E15">
        <v>2014</v>
      </c>
      <c r="F15">
        <v>8.6</v>
      </c>
      <c r="G15" t="s">
        <v>28</v>
      </c>
      <c r="H15">
        <v>701.8</v>
      </c>
    </row>
    <row r="16" spans="1:8">
      <c r="A16" t="s">
        <v>247</v>
      </c>
      <c r="B16">
        <v>112</v>
      </c>
      <c r="C16" t="s">
        <v>106</v>
      </c>
      <c r="D16" t="s">
        <v>10</v>
      </c>
      <c r="E16">
        <v>2010</v>
      </c>
      <c r="F16">
        <v>8.8000000000000007</v>
      </c>
      <c r="G16" t="s">
        <v>28</v>
      </c>
    </row>
    <row r="17" spans="1:8">
      <c r="A17" t="s">
        <v>247</v>
      </c>
      <c r="B17">
        <v>115</v>
      </c>
      <c r="C17" t="s">
        <v>110</v>
      </c>
      <c r="D17" t="s">
        <v>10</v>
      </c>
      <c r="E17">
        <v>2006</v>
      </c>
      <c r="F17">
        <v>8</v>
      </c>
      <c r="G17" t="s">
        <v>31</v>
      </c>
      <c r="H17">
        <v>307.10000000000002</v>
      </c>
    </row>
    <row r="18" spans="1:8">
      <c r="A18" t="s">
        <v>247</v>
      </c>
      <c r="B18">
        <v>116</v>
      </c>
      <c r="C18" t="s">
        <v>112</v>
      </c>
      <c r="D18" t="s">
        <v>10</v>
      </c>
      <c r="E18">
        <v>2000</v>
      </c>
      <c r="F18">
        <v>8.5</v>
      </c>
      <c r="G18" t="s">
        <v>45</v>
      </c>
      <c r="H18">
        <v>460.5</v>
      </c>
    </row>
    <row r="19" spans="1:8">
      <c r="A19" t="s">
        <v>247</v>
      </c>
      <c r="B19">
        <v>117</v>
      </c>
      <c r="C19" t="s">
        <v>114</v>
      </c>
      <c r="D19" t="s">
        <v>10</v>
      </c>
      <c r="E19">
        <v>1997</v>
      </c>
      <c r="F19">
        <v>7.9</v>
      </c>
      <c r="G19" t="s">
        <v>35</v>
      </c>
      <c r="H19">
        <v>2202</v>
      </c>
    </row>
    <row r="20" spans="1:8">
      <c r="A20" t="s">
        <v>247</v>
      </c>
      <c r="B20">
        <v>118</v>
      </c>
      <c r="C20" t="s">
        <v>116</v>
      </c>
      <c r="D20" t="s">
        <v>10</v>
      </c>
      <c r="E20">
        <v>1946</v>
      </c>
      <c r="F20">
        <v>8.6</v>
      </c>
      <c r="G20" t="s">
        <v>37</v>
      </c>
      <c r="H20">
        <v>3.3</v>
      </c>
    </row>
    <row r="21" spans="1:8">
      <c r="A21" t="s">
        <v>248</v>
      </c>
      <c r="B21">
        <v>101</v>
      </c>
      <c r="C21" t="s">
        <v>84</v>
      </c>
      <c r="D21" t="s">
        <v>7</v>
      </c>
      <c r="E21">
        <v>2022</v>
      </c>
      <c r="F21">
        <v>8.4</v>
      </c>
      <c r="G21" t="s">
        <v>86</v>
      </c>
      <c r="H21">
        <v>12.5</v>
      </c>
    </row>
    <row r="22" spans="1:8">
      <c r="A22" t="s">
        <v>248</v>
      </c>
      <c r="B22">
        <v>102</v>
      </c>
      <c r="C22" t="s">
        <v>87</v>
      </c>
      <c r="D22" t="s">
        <v>10</v>
      </c>
      <c r="E22">
        <v>2022</v>
      </c>
      <c r="F22">
        <v>7</v>
      </c>
      <c r="G22" t="s">
        <v>11</v>
      </c>
      <c r="H22">
        <v>954.8</v>
      </c>
    </row>
    <row r="23" spans="1:8">
      <c r="A23" t="s">
        <v>248</v>
      </c>
      <c r="B23">
        <v>103</v>
      </c>
      <c r="C23" t="s">
        <v>88</v>
      </c>
      <c r="D23" t="s">
        <v>10</v>
      </c>
      <c r="E23">
        <v>2013</v>
      </c>
      <c r="F23">
        <v>6.8</v>
      </c>
      <c r="G23" t="s">
        <v>11</v>
      </c>
      <c r="H23">
        <v>644.79999999999995</v>
      </c>
    </row>
    <row r="24" spans="1:8">
      <c r="A24" t="s">
        <v>248</v>
      </c>
      <c r="B24">
        <v>104</v>
      </c>
      <c r="C24" t="s">
        <v>90</v>
      </c>
      <c r="D24" t="s">
        <v>10</v>
      </c>
      <c r="E24">
        <v>2017</v>
      </c>
      <c r="F24">
        <v>7.9</v>
      </c>
      <c r="G24" t="s">
        <v>11</v>
      </c>
      <c r="H24">
        <v>854</v>
      </c>
    </row>
    <row r="25" spans="1:8">
      <c r="A25" t="s">
        <v>248</v>
      </c>
      <c r="B25">
        <v>106</v>
      </c>
      <c r="C25" t="s">
        <v>93</v>
      </c>
      <c r="D25" t="s">
        <v>7</v>
      </c>
      <c r="E25">
        <v>1975</v>
      </c>
      <c r="F25">
        <v>8.1</v>
      </c>
      <c r="G25" t="s">
        <v>17</v>
      </c>
    </row>
    <row r="26" spans="1:8">
      <c r="A26" t="s">
        <v>248</v>
      </c>
      <c r="B26">
        <v>108</v>
      </c>
      <c r="C26" t="s">
        <v>97</v>
      </c>
      <c r="D26" t="s">
        <v>7</v>
      </c>
      <c r="E26">
        <v>2009</v>
      </c>
      <c r="F26">
        <v>8.4</v>
      </c>
      <c r="G26" t="s">
        <v>56</v>
      </c>
      <c r="H26">
        <v>4000</v>
      </c>
    </row>
    <row r="27" spans="1:8">
      <c r="A27" t="s">
        <v>249</v>
      </c>
      <c r="B27">
        <v>120</v>
      </c>
      <c r="C27" t="s">
        <v>119</v>
      </c>
      <c r="D27" t="s">
        <v>10</v>
      </c>
      <c r="E27">
        <v>1972</v>
      </c>
      <c r="F27">
        <v>9.1999999999999993</v>
      </c>
      <c r="G27" t="s">
        <v>35</v>
      </c>
      <c r="H27">
        <v>291</v>
      </c>
    </row>
    <row r="28" spans="1:8">
      <c r="A28" t="s">
        <v>249</v>
      </c>
      <c r="B28">
        <v>121</v>
      </c>
      <c r="C28" t="s">
        <v>121</v>
      </c>
      <c r="D28" t="s">
        <v>10</v>
      </c>
      <c r="E28">
        <v>2008</v>
      </c>
      <c r="F28">
        <v>9</v>
      </c>
      <c r="G28" t="s">
        <v>43</v>
      </c>
      <c r="H28">
        <v>1006</v>
      </c>
    </row>
    <row r="29" spans="1:8">
      <c r="A29" t="s">
        <v>249</v>
      </c>
      <c r="B29">
        <v>122</v>
      </c>
      <c r="C29" t="s">
        <v>123</v>
      </c>
      <c r="D29" t="s">
        <v>10</v>
      </c>
      <c r="E29">
        <v>1993</v>
      </c>
      <c r="F29">
        <v>9</v>
      </c>
      <c r="G29" t="s">
        <v>45</v>
      </c>
      <c r="H29">
        <v>322.2</v>
      </c>
    </row>
    <row r="30" spans="1:8">
      <c r="A30" t="s">
        <v>249</v>
      </c>
      <c r="B30">
        <v>123</v>
      </c>
      <c r="C30" t="s">
        <v>125</v>
      </c>
      <c r="D30" t="s">
        <v>10</v>
      </c>
      <c r="E30">
        <v>1993</v>
      </c>
      <c r="F30">
        <v>8.1999999999999993</v>
      </c>
      <c r="G30" t="s">
        <v>45</v>
      </c>
      <c r="H30">
        <v>1046</v>
      </c>
    </row>
    <row r="31" spans="1:8">
      <c r="A31" t="s">
        <v>249</v>
      </c>
      <c r="B31">
        <v>124</v>
      </c>
      <c r="C31" t="s">
        <v>126</v>
      </c>
      <c r="D31" t="s">
        <v>10</v>
      </c>
      <c r="E31">
        <v>2019</v>
      </c>
      <c r="F31">
        <v>8.5</v>
      </c>
      <c r="G31" t="s">
        <v>103</v>
      </c>
      <c r="H31">
        <v>263.10000000000002</v>
      </c>
    </row>
    <row r="32" spans="1:8">
      <c r="A32" t="s">
        <v>249</v>
      </c>
      <c r="B32">
        <v>126</v>
      </c>
      <c r="C32" t="s">
        <v>129</v>
      </c>
      <c r="D32" t="s">
        <v>10</v>
      </c>
      <c r="E32">
        <v>2018</v>
      </c>
      <c r="F32">
        <v>8.4</v>
      </c>
      <c r="G32" t="s">
        <v>11</v>
      </c>
      <c r="H32">
        <v>2048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BE67-22E6-4814-86D9-3FAB22C4AE36}">
  <sheetPr codeName="Sheet19"/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8D55-F512-4507-8A5A-D11DF18C00D1}">
  <sheetPr codeName="Sheet20"/>
  <dimension ref="A1:S149"/>
  <sheetViews>
    <sheetView workbookViewId="0">
      <selection activeCell="E14" sqref="E14"/>
    </sheetView>
  </sheetViews>
  <sheetFormatPr defaultRowHeight="14.5"/>
  <cols>
    <col min="2" max="2" width="29.36328125" bestFit="1" customWidth="1"/>
    <col min="3" max="3" width="36.54296875" bestFit="1" customWidth="1"/>
    <col min="4" max="4" width="22.08984375" bestFit="1" customWidth="1"/>
    <col min="5" max="5" width="36.54296875" bestFit="1" customWidth="1"/>
    <col min="6" max="6" width="23.26953125" bestFit="1" customWidth="1"/>
    <col min="7" max="7" width="7" bestFit="1" customWidth="1"/>
  </cols>
  <sheetData>
    <row r="1" spans="1:19" ht="23.5">
      <c r="A1" s="80" t="s">
        <v>252</v>
      </c>
      <c r="B1" s="80"/>
      <c r="C1" s="80"/>
      <c r="D1" s="80"/>
      <c r="E1" s="80"/>
      <c r="F1" s="80"/>
      <c r="G1" s="80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>
      <c r="A2" s="33"/>
      <c r="B2" s="33"/>
      <c r="C2" s="33"/>
      <c r="D2" s="33"/>
      <c r="E2" s="33"/>
      <c r="F2" s="33"/>
      <c r="G2" s="33"/>
    </row>
    <row r="4" spans="1:19" ht="18.5">
      <c r="A4" s="31" t="s">
        <v>253</v>
      </c>
      <c r="B4" s="31" t="s">
        <v>254</v>
      </c>
      <c r="C4" s="31" t="s">
        <v>270</v>
      </c>
      <c r="D4" s="31" t="s">
        <v>271</v>
      </c>
      <c r="E4" s="31" t="s">
        <v>256</v>
      </c>
    </row>
    <row r="5" spans="1:19" ht="18.5">
      <c r="A5" s="31">
        <v>1</v>
      </c>
      <c r="B5" s="31" t="s">
        <v>274</v>
      </c>
      <c r="C5" s="31" t="s">
        <v>255</v>
      </c>
      <c r="D5" s="31" t="s">
        <v>291</v>
      </c>
      <c r="E5" s="31" t="s">
        <v>292</v>
      </c>
    </row>
    <row r="6" spans="1:19" ht="18.5">
      <c r="A6" s="31">
        <v>2</v>
      </c>
      <c r="B6" s="31" t="s">
        <v>294</v>
      </c>
      <c r="C6" s="31" t="s">
        <v>293</v>
      </c>
      <c r="D6" s="31" t="s">
        <v>290</v>
      </c>
      <c r="E6" s="31" t="s">
        <v>296</v>
      </c>
    </row>
    <row r="7" spans="1:19" ht="18.5">
      <c r="A7" s="31">
        <v>3</v>
      </c>
      <c r="B7" s="31" t="s">
        <v>264</v>
      </c>
      <c r="C7" s="31" t="s">
        <v>257</v>
      </c>
      <c r="D7" s="31" t="s">
        <v>289</v>
      </c>
      <c r="E7" s="31" t="s">
        <v>297</v>
      </c>
    </row>
    <row r="8" spans="1:19" ht="18.5">
      <c r="A8" s="31">
        <v>4</v>
      </c>
      <c r="B8" s="31" t="s">
        <v>265</v>
      </c>
      <c r="C8" s="31" t="s">
        <v>287</v>
      </c>
      <c r="D8" s="31" t="s">
        <v>288</v>
      </c>
      <c r="E8" s="31" t="s">
        <v>298</v>
      </c>
    </row>
    <row r="9" spans="1:19" ht="15" customHeight="1">
      <c r="A9" s="31">
        <v>5</v>
      </c>
      <c r="B9" s="31" t="s">
        <v>272</v>
      </c>
      <c r="C9" s="31" t="s">
        <v>258</v>
      </c>
      <c r="D9" s="31" t="s">
        <v>273</v>
      </c>
      <c r="E9" s="31" t="s">
        <v>299</v>
      </c>
    </row>
    <row r="10" spans="1:19" ht="18.5">
      <c r="A10" s="31">
        <v>6</v>
      </c>
      <c r="B10" s="31" t="s">
        <v>266</v>
      </c>
      <c r="C10" s="31" t="s">
        <v>260</v>
      </c>
      <c r="D10" s="31" t="s">
        <v>286</v>
      </c>
      <c r="E10" s="31" t="s">
        <v>300</v>
      </c>
    </row>
    <row r="11" spans="1:19" ht="18.5">
      <c r="A11" s="31">
        <v>7</v>
      </c>
      <c r="B11" s="31" t="s">
        <v>267</v>
      </c>
      <c r="C11" s="31" t="s">
        <v>268</v>
      </c>
      <c r="D11" s="31" t="s">
        <v>285</v>
      </c>
      <c r="E11" s="31" t="s">
        <v>301</v>
      </c>
    </row>
    <row r="12" spans="1:19" ht="18.5">
      <c r="A12" s="31">
        <v>8</v>
      </c>
      <c r="B12" s="31" t="s">
        <v>276</v>
      </c>
      <c r="C12" s="31" t="s">
        <v>261</v>
      </c>
      <c r="D12" s="31" t="s">
        <v>284</v>
      </c>
      <c r="E12" s="31" t="s">
        <v>302</v>
      </c>
    </row>
    <row r="13" spans="1:19" ht="18.5">
      <c r="A13" s="31">
        <v>9</v>
      </c>
      <c r="B13" s="31" t="s">
        <v>269</v>
      </c>
      <c r="C13" s="31" t="s">
        <v>262</v>
      </c>
      <c r="D13" s="31" t="s">
        <v>283</v>
      </c>
      <c r="E13" s="31" t="s">
        <v>304</v>
      </c>
    </row>
    <row r="14" spans="1:19" ht="18.5">
      <c r="A14" s="31">
        <v>10</v>
      </c>
      <c r="B14" s="31" t="s">
        <v>275</v>
      </c>
      <c r="C14" s="31" t="s">
        <v>263</v>
      </c>
      <c r="D14" s="31" t="s">
        <v>282</v>
      </c>
      <c r="E14" s="31" t="s">
        <v>305</v>
      </c>
    </row>
    <row r="15" spans="1:19" ht="18.5">
      <c r="A15" s="31">
        <v>11</v>
      </c>
      <c r="B15" s="31" t="s">
        <v>277</v>
      </c>
      <c r="C15" s="31" t="s">
        <v>259</v>
      </c>
      <c r="D15" s="31" t="s">
        <v>281</v>
      </c>
      <c r="E15" s="31" t="s">
        <v>306</v>
      </c>
    </row>
    <row r="16" spans="1:19" ht="18.5">
      <c r="A16" s="31">
        <v>12</v>
      </c>
      <c r="B16" s="31" t="s">
        <v>278</v>
      </c>
      <c r="C16" s="31" t="s">
        <v>279</v>
      </c>
      <c r="D16" s="31" t="s">
        <v>280</v>
      </c>
      <c r="E16" s="31" t="s">
        <v>307</v>
      </c>
    </row>
    <row r="26" spans="2:5" ht="18.5">
      <c r="B26" s="34" t="s">
        <v>255</v>
      </c>
      <c r="C26" s="34" t="s">
        <v>295</v>
      </c>
      <c r="D26" s="34" t="s">
        <v>257</v>
      </c>
      <c r="E26" s="34" t="s">
        <v>260</v>
      </c>
    </row>
    <row r="27" spans="2:5" ht="18.5">
      <c r="B27" s="31" t="str" cm="1">
        <f t="array" ref="B27:B48">_xlfn.UNIQUE(Movie_financials__with_release_date[studio])</f>
        <v>Hombale Films</v>
      </c>
      <c r="C27" s="31" t="str" cm="1">
        <f t="array" ref="C27:C65">_xlfn._xlws.SORT(Movie_financials__with_release_date[Title])</f>
        <v>3 Idiots</v>
      </c>
      <c r="D27" s="31" t="str" cm="1">
        <f t="array" ref="D27:D47">_xlfn._xlws.FILTER(Movie_financials__with_release_date[Title],Movie_financials__with_release_date[industry]="Hollywood")</f>
        <v>Doctor Strange in the Multiverse of Madness</v>
      </c>
      <c r="E27" s="31" t="str" cm="1">
        <f t="array" ref="E27:E31">_xlfn.TAKE(Movie_financials__with_release_date[Title],5)</f>
        <v>K.G.F: Chapter 2</v>
      </c>
    </row>
    <row r="28" spans="2:5" ht="18.5">
      <c r="B28" s="31" t="str">
        <v>Marvel Studios</v>
      </c>
      <c r="C28" s="31" t="str">
        <v>Avatar</v>
      </c>
      <c r="D28" s="31" t="str">
        <v>Thor: The Dark World</v>
      </c>
      <c r="E28" s="31" t="str">
        <v>Doctor Strange in the Multiverse of Madness</v>
      </c>
    </row>
    <row r="29" spans="2:5" ht="18.5">
      <c r="B29" s="31" t="str">
        <v>United Producers</v>
      </c>
      <c r="C29" s="31" t="str">
        <v>Avengers: Endgame</v>
      </c>
      <c r="D29" s="31" t="str">
        <v>Thor: Ragnarok</v>
      </c>
      <c r="E29" s="31" t="str">
        <v>Thor: The Dark World</v>
      </c>
    </row>
    <row r="30" spans="2:5" ht="18.5">
      <c r="B30" s="31" t="str">
        <v>Yash Raj Films</v>
      </c>
      <c r="C30" s="31" t="str">
        <v>Avengers: Infinity War</v>
      </c>
      <c r="D30" s="31" t="str">
        <v>Thor: Love and Thunder</v>
      </c>
      <c r="E30" s="31" t="str">
        <v>Thor: Ragnarok</v>
      </c>
    </row>
    <row r="31" spans="2:5" ht="18.5">
      <c r="B31" s="31" t="str">
        <v>Vinod Chopra Films</v>
      </c>
      <c r="C31" s="31" t="str">
        <v>Baahubali: The Beginning</v>
      </c>
      <c r="D31" s="31" t="str">
        <v>The Shawshank Redemption</v>
      </c>
      <c r="E31" s="31" t="str">
        <v>Thor: Love and Thunder</v>
      </c>
    </row>
    <row r="32" spans="2:5" ht="18.5">
      <c r="B32" s="31" t="str">
        <v>Dharma Productions</v>
      </c>
      <c r="C32" s="31" t="str">
        <v>Bajirao Mastani</v>
      </c>
      <c r="D32" s="31" t="str">
        <v>Interstellar</v>
      </c>
      <c r="E32" s="31"/>
    </row>
    <row r="33" spans="2:5" ht="18.5">
      <c r="B33" s="31" t="str">
        <v>Not Avialable</v>
      </c>
      <c r="C33" s="31" t="str">
        <v>Bajrangi Bhaijaan</v>
      </c>
      <c r="D33" s="31" t="str">
        <v>Inception</v>
      </c>
      <c r="E33" s="31"/>
    </row>
    <row r="34" spans="2:5" ht="18.5">
      <c r="B34" s="31" t="str">
        <v>Castle Rock Entertainment</v>
      </c>
      <c r="C34" s="31" t="str">
        <v>Captain America: The First Avenger</v>
      </c>
      <c r="D34" s="31" t="str">
        <v>The Pursuit of Happyness</v>
      </c>
      <c r="E34" s="31"/>
    </row>
    <row r="35" spans="2:5" ht="18.5">
      <c r="B35" s="31" t="str">
        <v>Warner Bros. Pictures</v>
      </c>
      <c r="C35" s="31" t="str">
        <v>Captain America: The Winter Soldier</v>
      </c>
      <c r="D35" s="31" t="str">
        <v>Gladiator</v>
      </c>
      <c r="E35" s="31"/>
    </row>
    <row r="36" spans="2:5" ht="18.5">
      <c r="B36" s="31" t="str">
        <v>Columbia Pictures</v>
      </c>
      <c r="C36" s="31" t="str">
        <v>Dilwale Dulhania Le Jayenge</v>
      </c>
      <c r="D36" s="31" t="str">
        <v>Titanic</v>
      </c>
      <c r="E36" s="31"/>
    </row>
    <row r="37" spans="2:5" ht="18.5">
      <c r="B37" s="31" t="str">
        <v>Universal Pictures</v>
      </c>
      <c r="C37" s="31" t="str">
        <v>Doctor Strange in the Multiverse of Madness</v>
      </c>
      <c r="D37" s="31" t="str">
        <v>It's a Wonderful Life</v>
      </c>
      <c r="E37" s="31"/>
    </row>
    <row r="38" spans="2:5" ht="18.5">
      <c r="B38" s="31" t="str">
        <v>Paramount Pictures</v>
      </c>
      <c r="C38" s="31" t="str">
        <v>Gladiator</v>
      </c>
      <c r="D38" s="31" t="str">
        <v>Avatar</v>
      </c>
      <c r="E38" s="31"/>
    </row>
    <row r="39" spans="2:5" ht="18.5">
      <c r="B39" s="31" t="str">
        <v>Liberty Films</v>
      </c>
      <c r="C39" s="31" t="str">
        <v>Inception</v>
      </c>
      <c r="D39" s="31" t="str">
        <v>The Godfather</v>
      </c>
      <c r="E39" s="31"/>
    </row>
    <row r="40" spans="2:5" ht="18.5">
      <c r="B40" s="31" t="str">
        <v>20th Century Fox</v>
      </c>
      <c r="C40" s="31" t="str">
        <v>Interstellar</v>
      </c>
      <c r="D40" s="31" t="str">
        <v>The Dark Knight</v>
      </c>
      <c r="E40" s="31"/>
    </row>
    <row r="41" spans="2:5" ht="18.5">
      <c r="B41" s="31" t="str">
        <v>Syncopy</v>
      </c>
      <c r="C41" s="31" t="str">
        <v>It's a Wonderful Life</v>
      </c>
      <c r="D41" s="31" t="str">
        <v>Schindler's List</v>
      </c>
      <c r="E41" s="31"/>
    </row>
    <row r="42" spans="2:5" ht="18.5">
      <c r="B42" s="31" t="str">
        <v>Government of West Bengal</v>
      </c>
      <c r="C42" s="31" t="str">
        <v>Jurassic Park</v>
      </c>
      <c r="D42" s="31" t="str">
        <v>Jurassic Park</v>
      </c>
      <c r="E42" s="31"/>
    </row>
    <row r="43" spans="2:5" ht="18.5">
      <c r="B43" s="31" t="str">
        <v>Vinod Chopra Productions</v>
      </c>
      <c r="C43" s="31" t="str">
        <v>K.G.F: Chapter 2</v>
      </c>
      <c r="D43" s="31" t="str">
        <v>Parasite</v>
      </c>
      <c r="E43" s="31"/>
    </row>
    <row r="44" spans="2:5" ht="18.5">
      <c r="B44" s="31" t="str">
        <v>Mythri Movie Makers</v>
      </c>
      <c r="C44" s="31" t="str">
        <v>Kabhi Khushi Kabhie Gham</v>
      </c>
      <c r="D44" s="31" t="str">
        <v>Avengers: Endgame</v>
      </c>
      <c r="E44" s="31"/>
    </row>
    <row r="45" spans="2:5" ht="18.5">
      <c r="B45" s="31" t="str">
        <v>DVV Entertainment</v>
      </c>
      <c r="C45" s="31" t="str">
        <v>Munna Bhai M.B.B.S.</v>
      </c>
      <c r="D45" s="31" t="str">
        <v>Avengers: Infinity War</v>
      </c>
      <c r="E45" s="31"/>
    </row>
    <row r="46" spans="2:5" ht="18.5">
      <c r="B46" s="31" t="str">
        <v>Arka Media Works</v>
      </c>
      <c r="C46" s="31" t="str">
        <v>Parasite</v>
      </c>
      <c r="D46" s="31" t="str">
        <v>Captain America: The First Avenger</v>
      </c>
      <c r="E46" s="31"/>
    </row>
    <row r="47" spans="2:5" ht="18.5">
      <c r="B47" s="31" t="str">
        <v>Zee Studios</v>
      </c>
      <c r="C47" s="31" t="str">
        <v>Pather Panchali</v>
      </c>
      <c r="D47" s="31" t="str">
        <v>Captain America: The Winter Soldier</v>
      </c>
      <c r="E47" s="31"/>
    </row>
    <row r="48" spans="2:5" ht="18.5">
      <c r="B48" s="31" t="str">
        <v>Salman Khan Films</v>
      </c>
      <c r="C48" s="31" t="str">
        <v>PK</v>
      </c>
      <c r="D48" s="31"/>
      <c r="E48" s="31"/>
    </row>
    <row r="49" spans="3:3" ht="18.5">
      <c r="C49" s="31" t="str">
        <v>Pushpa: The Rise - Part 1</v>
      </c>
    </row>
    <row r="50" spans="3:3" ht="18.5">
      <c r="C50" s="31" t="str">
        <v>Race 3</v>
      </c>
    </row>
    <row r="51" spans="3:3" ht="18.5">
      <c r="C51" s="31" t="str">
        <v>RRR</v>
      </c>
    </row>
    <row r="52" spans="3:3" ht="18.5">
      <c r="C52" s="31" t="str">
        <v>Sanju</v>
      </c>
    </row>
    <row r="53" spans="3:3" ht="18.5">
      <c r="C53" s="31" t="str">
        <v>Schindler's List</v>
      </c>
    </row>
    <row r="54" spans="3:3" ht="18.5">
      <c r="C54" s="31" t="str">
        <v>Shershaah</v>
      </c>
    </row>
    <row r="55" spans="3:3" ht="18.5">
      <c r="C55" s="31" t="str">
        <v>Sholay</v>
      </c>
    </row>
    <row r="56" spans="3:3" ht="18.5">
      <c r="C56" s="31" t="str">
        <v>Taare Zameen Par</v>
      </c>
    </row>
    <row r="57" spans="3:3" ht="18.5">
      <c r="C57" s="31" t="str">
        <v>The Dark Knight</v>
      </c>
    </row>
    <row r="58" spans="3:3" ht="18.5">
      <c r="C58" s="31" t="str">
        <v>The Godfather</v>
      </c>
    </row>
    <row r="59" spans="3:3" ht="18.5">
      <c r="C59" s="31" t="str">
        <v>The Kashmir Files</v>
      </c>
    </row>
    <row r="60" spans="3:3" ht="18.5">
      <c r="C60" s="31" t="str">
        <v>The Pursuit of Happyness</v>
      </c>
    </row>
    <row r="61" spans="3:3" ht="18.5">
      <c r="C61" s="31" t="str">
        <v>The Shawshank Redemption</v>
      </c>
    </row>
    <row r="62" spans="3:3" ht="18.5">
      <c r="C62" s="31" t="str">
        <v>Thor: Love and Thunder</v>
      </c>
    </row>
    <row r="63" spans="3:3" ht="18.5">
      <c r="C63" s="31" t="str">
        <v>Thor: Ragnarok</v>
      </c>
    </row>
    <row r="64" spans="3:3" ht="18.5">
      <c r="C64" s="31" t="str">
        <v>Thor: The Dark World</v>
      </c>
    </row>
    <row r="65" spans="2:5" ht="18.5">
      <c r="C65" s="31" t="str">
        <v>Titanic</v>
      </c>
    </row>
    <row r="67" spans="2:5" ht="18.5">
      <c r="B67" s="34" t="s">
        <v>287</v>
      </c>
      <c r="C67" s="34" t="s">
        <v>258</v>
      </c>
      <c r="D67" s="34" t="s">
        <v>268</v>
      </c>
      <c r="E67" s="34" t="s">
        <v>261</v>
      </c>
    </row>
    <row r="68" spans="2:5" ht="18.5">
      <c r="B68" s="31" t="str" cm="1">
        <f t="array" ref="B68:B106">_xlfn.SORTBY(Movie_financials__with_release_date[Title],Movie_financials__with_release_date[revenue],-1)</f>
        <v>Bajrangi Bhaijaan</v>
      </c>
      <c r="C68" s="31" t="str" cm="1">
        <f t="array" ref="C68:C72">_xlfn.TAKE(
_xlfn.SORTBY(
Movie_financials__with_release_date[Title],
Movie_financials__with_release_date[release_year],
-1),
5)</f>
        <v>K.G.F: Chapter 2</v>
      </c>
      <c r="D68" s="31" t="str" cm="1">
        <f t="array" ref="D68:D101">_xlfn.DROP(Movie_financials__with_release_date[Title],5)</f>
        <v>Sholay</v>
      </c>
      <c r="E68" s="31" t="str" cm="1">
        <f t="array" ref="E68:E106">_xlfn.CHOOSECOLS(
Movie_financials__with_release_date[],
6
)</f>
        <v>Hombale Films</v>
      </c>
    </row>
    <row r="69" spans="2:5" ht="18.5">
      <c r="B69" s="31" t="str">
        <v>PK</v>
      </c>
      <c r="C69" s="31" t="str">
        <v>Doctor Strange in the Multiverse of Madness</v>
      </c>
      <c r="D69" s="31" t="str">
        <v>Dilwale Dulhania Le Jayenge</v>
      </c>
      <c r="E69" s="31" t="str">
        <v>Marvel Studios</v>
      </c>
    </row>
    <row r="70" spans="2:5" ht="18.5">
      <c r="B70" s="31" t="str">
        <v>3 Idiots</v>
      </c>
      <c r="C70" s="31" t="str">
        <v>Thor: Love and Thunder</v>
      </c>
      <c r="D70" s="31" t="str">
        <v>3 Idiots</v>
      </c>
      <c r="E70" s="31" t="str">
        <v>Marvel Studios</v>
      </c>
    </row>
    <row r="71" spans="2:5" ht="18.5">
      <c r="B71" s="31" t="str">
        <v>The Kashmir Files</v>
      </c>
      <c r="C71" s="31" t="str">
        <v>RRR</v>
      </c>
      <c r="D71" s="31" t="str">
        <v>Kabhi Khushi Kabhie Gham</v>
      </c>
      <c r="E71" s="31" t="str">
        <v>Marvel Studios</v>
      </c>
    </row>
    <row r="72" spans="2:5" ht="18.5">
      <c r="B72" s="31" t="str">
        <v>Avatar</v>
      </c>
      <c r="C72" s="31" t="str">
        <v>The Kashmir Files</v>
      </c>
      <c r="D72" s="31" t="str">
        <v>Bajirao Mastani</v>
      </c>
      <c r="E72" s="31" t="str">
        <v>Marvel Studios</v>
      </c>
    </row>
    <row r="73" spans="2:5" ht="18.5">
      <c r="B73" s="31" t="str">
        <v>Avengers: Endgame</v>
      </c>
      <c r="C73" s="31"/>
      <c r="D73" s="31" t="str">
        <v>The Shawshank Redemption</v>
      </c>
      <c r="E73" s="31" t="str">
        <v>United Producers</v>
      </c>
    </row>
    <row r="74" spans="2:5" ht="18.5">
      <c r="B74" s="31" t="str">
        <v>Titanic</v>
      </c>
      <c r="C74" s="31"/>
      <c r="D74" s="31" t="str">
        <v>Interstellar</v>
      </c>
      <c r="E74" s="31" t="str">
        <v>Yash Raj Films</v>
      </c>
    </row>
    <row r="75" spans="2:5" ht="18.5">
      <c r="B75" s="31" t="str">
        <v>Avengers: Infinity War</v>
      </c>
      <c r="C75" s="31"/>
      <c r="D75" s="31" t="str">
        <v>Inception</v>
      </c>
      <c r="E75" s="31" t="str">
        <v>Vinod Chopra Films</v>
      </c>
    </row>
    <row r="76" spans="2:5" ht="18.5">
      <c r="B76" s="31" t="str">
        <v>Dilwale Dulhania Le Jayenge</v>
      </c>
      <c r="C76" s="31"/>
      <c r="D76" s="31" t="str">
        <v>The Pursuit of Happyness</v>
      </c>
      <c r="E76" s="31" t="str">
        <v>Dharma Productions</v>
      </c>
    </row>
    <row r="77" spans="2:5" ht="18.5">
      <c r="B77" s="31" t="str">
        <v>Kabhi Khushi Kabhie Gham</v>
      </c>
      <c r="C77" s="31"/>
      <c r="D77" s="31" t="str">
        <v>Gladiator</v>
      </c>
      <c r="E77" s="31" t="str">
        <v>Not Avialable</v>
      </c>
    </row>
    <row r="78" spans="2:5" ht="18.5">
      <c r="B78" s="31" t="str">
        <v>Taare Zameen Par</v>
      </c>
      <c r="C78" s="31"/>
      <c r="D78" s="31" t="str">
        <v>Titanic</v>
      </c>
      <c r="E78" s="31" t="str">
        <v>Castle Rock Entertainment</v>
      </c>
    </row>
    <row r="79" spans="2:5" ht="18.5">
      <c r="B79" s="31" t="str">
        <v>Jurassic Park</v>
      </c>
      <c r="C79" s="31"/>
      <c r="D79" s="31" t="str">
        <v>It's a Wonderful Life</v>
      </c>
      <c r="E79" s="31" t="str">
        <v>Warner Bros. Pictures</v>
      </c>
    </row>
    <row r="80" spans="2:5" ht="18.5">
      <c r="B80" s="31" t="str">
        <v>The Dark Knight</v>
      </c>
      <c r="C80" s="31"/>
      <c r="D80" s="31" t="str">
        <v>Avatar</v>
      </c>
      <c r="E80" s="31" t="str">
        <v>Warner Bros. Pictures</v>
      </c>
    </row>
    <row r="81" spans="2:5" ht="18.5">
      <c r="B81" s="31" t="str">
        <v>Doctor Strange in the Multiverse of Madness</v>
      </c>
      <c r="C81" s="31"/>
      <c r="D81" s="31" t="str">
        <v>The Godfather</v>
      </c>
      <c r="E81" s="31" t="str">
        <v>Columbia Pictures</v>
      </c>
    </row>
    <row r="82" spans="2:5" ht="18.5">
      <c r="B82" s="31" t="str">
        <v>Shershaah</v>
      </c>
      <c r="C82" s="31"/>
      <c r="D82" s="31" t="str">
        <v>The Dark Knight</v>
      </c>
      <c r="E82" s="31" t="str">
        <v>Universal Pictures</v>
      </c>
    </row>
    <row r="83" spans="2:5" ht="18.5">
      <c r="B83" s="31" t="str">
        <v>Thor: Ragnarok</v>
      </c>
      <c r="C83" s="31"/>
      <c r="D83" s="31" t="str">
        <v>Schindler's List</v>
      </c>
      <c r="E83" s="31" t="str">
        <v>Paramount Pictures</v>
      </c>
    </row>
    <row r="84" spans="2:5" ht="18.5">
      <c r="B84" s="31" t="str">
        <v>Captain America: The Winter Soldier</v>
      </c>
      <c r="C84" s="31"/>
      <c r="D84" s="31" t="str">
        <v>Jurassic Park</v>
      </c>
      <c r="E84" s="31" t="str">
        <v>Liberty Films</v>
      </c>
    </row>
    <row r="85" spans="2:5" ht="18.5">
      <c r="B85" s="31" t="str">
        <v>Interstellar</v>
      </c>
      <c r="C85" s="31"/>
      <c r="D85" s="31" t="str">
        <v>Parasite</v>
      </c>
      <c r="E85" s="31" t="str">
        <v>20th Century Fox</v>
      </c>
    </row>
    <row r="86" spans="2:5" ht="18.5">
      <c r="B86" s="31" t="str">
        <v>Thor: Love and Thunder</v>
      </c>
      <c r="C86" s="31"/>
      <c r="D86" s="31" t="str">
        <v>Avengers: Endgame</v>
      </c>
      <c r="E86" s="31" t="str">
        <v>Paramount Pictures</v>
      </c>
    </row>
    <row r="87" spans="2:5" ht="18.5">
      <c r="B87" s="31" t="str">
        <v>Thor: The Dark World</v>
      </c>
      <c r="C87" s="31"/>
      <c r="D87" s="31" t="str">
        <v>Avengers: Infinity War</v>
      </c>
      <c r="E87" s="31" t="str">
        <v>Syncopy</v>
      </c>
    </row>
    <row r="88" spans="2:5" ht="18.5">
      <c r="B88" s="31" t="str">
        <v>Gladiator</v>
      </c>
      <c r="C88" s="31"/>
      <c r="D88" s="31" t="str">
        <v>Pather Panchali</v>
      </c>
      <c r="E88" s="31" t="str">
        <v>Universal Pictures</v>
      </c>
    </row>
    <row r="89" spans="2:5" ht="18.5">
      <c r="B89" s="31" t="str">
        <v>Munna Bhai M.B.B.S.</v>
      </c>
      <c r="C89" s="31"/>
      <c r="D89" s="31" t="str">
        <v>Taare Zameen Par</v>
      </c>
      <c r="E89" s="31" t="str">
        <v>Universal Pictures</v>
      </c>
    </row>
    <row r="90" spans="2:5" ht="18.5">
      <c r="B90" s="31" t="str">
        <v>Captain America: The First Avenger</v>
      </c>
      <c r="C90" s="31"/>
      <c r="D90" s="31" t="str">
        <v>Munna Bhai M.B.B.S.</v>
      </c>
      <c r="E90" s="31" t="str">
        <v>Not Avialable</v>
      </c>
    </row>
    <row r="91" spans="2:5" ht="18.5">
      <c r="B91" s="31" t="str">
        <v>Schindler's List</v>
      </c>
      <c r="C91" s="31"/>
      <c r="D91" s="31" t="str">
        <v>PK</v>
      </c>
      <c r="E91" s="31" t="str">
        <v>Marvel Studios</v>
      </c>
    </row>
    <row r="92" spans="2:5" ht="18.5">
      <c r="B92" s="31" t="str">
        <v>The Pursuit of Happyness</v>
      </c>
      <c r="C92" s="31"/>
      <c r="D92" s="31" t="str">
        <v>Sanju</v>
      </c>
      <c r="E92" s="31" t="str">
        <v>Marvel Studios</v>
      </c>
    </row>
    <row r="93" spans="2:5" ht="18.5">
      <c r="B93" s="31" t="str">
        <v>The Godfather</v>
      </c>
      <c r="C93" s="31"/>
      <c r="D93" s="31" t="str">
        <v>Pushpa: The Rise - Part 1</v>
      </c>
      <c r="E93" s="31" t="str">
        <v>Government of West Bengal</v>
      </c>
    </row>
    <row r="94" spans="2:5" ht="18.5">
      <c r="B94" s="31" t="str">
        <v>Parasite</v>
      </c>
      <c r="C94" s="31"/>
      <c r="D94" s="31" t="str">
        <v>RRR</v>
      </c>
      <c r="E94" s="31" t="str">
        <v>Not Avialable</v>
      </c>
    </row>
    <row r="95" spans="2:5" ht="18.5">
      <c r="B95" s="31" t="str">
        <v>Pather Panchali</v>
      </c>
      <c r="C95" s="31"/>
      <c r="D95" s="31" t="str">
        <v>Baahubali: The Beginning</v>
      </c>
      <c r="E95" s="31" t="str">
        <v>Vinod Chopra Productions</v>
      </c>
    </row>
    <row r="96" spans="2:5" ht="18.5">
      <c r="B96" s="31" t="str">
        <v>The Shawshank Redemption</v>
      </c>
      <c r="C96" s="31"/>
      <c r="D96" s="31" t="str">
        <v>The Kashmir Files</v>
      </c>
      <c r="E96" s="31" t="str">
        <v>Vinod Chopra Films</v>
      </c>
    </row>
    <row r="97" spans="2:6" ht="18.5">
      <c r="B97" s="31" t="str">
        <v>K.G.F: Chapter 2</v>
      </c>
      <c r="C97" s="31"/>
      <c r="D97" s="31" t="str">
        <v>Bajrangi Bhaijaan</v>
      </c>
      <c r="E97" s="31" t="str">
        <v>Vinod Chopra Films</v>
      </c>
    </row>
    <row r="98" spans="2:6" ht="18.5">
      <c r="B98" s="31" t="str">
        <v>RRR</v>
      </c>
      <c r="C98" s="31"/>
      <c r="D98" s="31" t="str">
        <v>Captain America: The First Avenger</v>
      </c>
      <c r="E98" s="31" t="str">
        <v>Mythri Movie Makers</v>
      </c>
    </row>
    <row r="99" spans="2:6" ht="18.5">
      <c r="B99" s="31" t="str">
        <v>Baahubali: The Beginning</v>
      </c>
      <c r="C99" s="31"/>
      <c r="D99" s="31" t="str">
        <v>Captain America: The Winter Soldier</v>
      </c>
      <c r="E99" s="31" t="str">
        <v>DVV Entertainment</v>
      </c>
    </row>
    <row r="100" spans="2:6" ht="18.5">
      <c r="B100" s="31" t="str">
        <v>Sanju</v>
      </c>
      <c r="C100" s="31"/>
      <c r="D100" s="31" t="str">
        <v>Race 3</v>
      </c>
      <c r="E100" s="31" t="str">
        <v>Arka Media Works</v>
      </c>
    </row>
    <row r="101" spans="2:6" ht="18.5">
      <c r="B101" s="31" t="str">
        <v>Pushpa: The Rise - Part 1</v>
      </c>
      <c r="C101" s="31"/>
      <c r="D101" s="31" t="str">
        <v>Shershaah</v>
      </c>
      <c r="E101" s="31" t="str">
        <v>Zee Studios</v>
      </c>
    </row>
    <row r="102" spans="2:6" ht="18.5">
      <c r="B102" s="31" t="str">
        <v>Bajirao Mastani</v>
      </c>
      <c r="C102" s="31"/>
      <c r="D102" s="31"/>
      <c r="E102" s="31" t="str">
        <v>Salman Khan Films</v>
      </c>
    </row>
    <row r="103" spans="2:6" ht="18.5">
      <c r="B103" s="31" t="str">
        <v>It's a Wonderful Life</v>
      </c>
      <c r="C103" s="31"/>
      <c r="D103" s="31"/>
      <c r="E103" s="31" t="str">
        <v>Marvel Studios</v>
      </c>
    </row>
    <row r="104" spans="2:6" ht="18.5">
      <c r="B104" s="31" t="str">
        <v>Race 3</v>
      </c>
      <c r="C104" s="31"/>
      <c r="D104" s="31"/>
      <c r="E104" s="31" t="str">
        <v>Marvel Studios</v>
      </c>
    </row>
    <row r="105" spans="2:6" ht="18.5">
      <c r="B105" s="31" t="str">
        <v>Sholay</v>
      </c>
      <c r="C105" s="31"/>
      <c r="D105" s="31"/>
      <c r="E105" s="31" t="str">
        <v>Salman Khan Films</v>
      </c>
    </row>
    <row r="106" spans="2:6" ht="18.5">
      <c r="B106" s="31" t="str">
        <v>Inception</v>
      </c>
      <c r="C106" s="31"/>
      <c r="D106" s="31"/>
      <c r="E106" s="31" t="str">
        <v>Dharma Productions</v>
      </c>
    </row>
    <row r="110" spans="2:6" ht="37">
      <c r="B110" s="34" t="s">
        <v>262</v>
      </c>
      <c r="C110" s="34" t="s">
        <v>263</v>
      </c>
      <c r="D110" s="35" t="s">
        <v>303</v>
      </c>
      <c r="E110" s="34" t="s">
        <v>279</v>
      </c>
      <c r="F110" s="36"/>
    </row>
    <row r="111" spans="2:6" ht="18.5">
      <c r="B111" s="31" cm="1">
        <f t="array" ref="B111:B149">_xlfn.SEQUENCE(ROWS(Movie_financials__with_release_date[]))</f>
        <v>1</v>
      </c>
      <c r="C111" s="31" t="str" cm="1">
        <f t="array" ref="C111:C149">_xlfn.VSTACK(
_xlfn._xlws.FILTER(Movie_financials__with_release_date[Title],
Movie_financials__with_release_date[industry]="Hollywood"),
_xlfn._xlws.FILTER(Movie_financials__with_release_date[Title],
Movie_financials__with_release_date[industry]="Bollywood")
)</f>
        <v>Doctor Strange in the Multiverse of Madness</v>
      </c>
      <c r="D111" s="31" t="str" cm="1">
        <f t="array" aca="1" ref="D111" ca="1">INDEX(
Movie_financials__with_release_date[Title],
_xlfn.RANDARRAY(1,1,1,ROWS(Movie_financials__with_release_date[]),TRUE)
)</f>
        <v>The Shawshank Redemption</v>
      </c>
      <c r="E111" s="31" t="str" cm="1">
        <f t="array" ref="E111:F149">_xlfn.HSTACK(
Movie_financials__with_release_date[Title],
Movie_financials__with_release_date[budget]
)</f>
        <v>K.G.F: Chapter 2</v>
      </c>
      <c r="F111" s="31">
        <v>1</v>
      </c>
    </row>
    <row r="112" spans="2:6" ht="18.5">
      <c r="B112" s="31">
        <v>2</v>
      </c>
      <c r="C112" s="31" t="str">
        <v>Thor: The Dark World</v>
      </c>
      <c r="D112" s="31"/>
      <c r="E112" s="31" t="str">
        <v>Doctor Strange in the Multiverse of Madness</v>
      </c>
      <c r="F112" s="31">
        <v>200</v>
      </c>
    </row>
    <row r="113" spans="2:6" ht="18.5">
      <c r="B113" s="31">
        <v>3</v>
      </c>
      <c r="C113" s="31" t="str">
        <v>Thor: Ragnarok</v>
      </c>
      <c r="D113" s="31"/>
      <c r="E113" s="31" t="str">
        <v>Thor: The Dark World</v>
      </c>
      <c r="F113" s="31">
        <v>165</v>
      </c>
    </row>
    <row r="114" spans="2:6" ht="18.5">
      <c r="B114" s="31">
        <v>4</v>
      </c>
      <c r="C114" s="31" t="str">
        <v>Thor: Love and Thunder</v>
      </c>
      <c r="D114" s="31"/>
      <c r="E114" s="31" t="str">
        <v>Thor: Ragnarok</v>
      </c>
      <c r="F114" s="31">
        <v>180</v>
      </c>
    </row>
    <row r="115" spans="2:6" ht="18.5">
      <c r="B115" s="31">
        <v>5</v>
      </c>
      <c r="C115" s="31" t="str">
        <v>The Shawshank Redemption</v>
      </c>
      <c r="D115" s="31"/>
      <c r="E115" s="31" t="str">
        <v>Thor: Love and Thunder</v>
      </c>
      <c r="F115" s="31">
        <v>250</v>
      </c>
    </row>
    <row r="116" spans="2:6" ht="18.5">
      <c r="B116" s="31">
        <v>6</v>
      </c>
      <c r="C116" s="31" t="str">
        <v>Interstellar</v>
      </c>
      <c r="D116" s="31"/>
      <c r="E116" s="31" t="str">
        <v>Sholay</v>
      </c>
      <c r="F116" s="31">
        <v>0</v>
      </c>
    </row>
    <row r="117" spans="2:6" ht="18.5">
      <c r="B117" s="31">
        <v>7</v>
      </c>
      <c r="C117" s="31" t="str">
        <v>Inception</v>
      </c>
      <c r="D117" s="31"/>
      <c r="E117" s="31" t="str">
        <v>Dilwale Dulhania Le Jayenge</v>
      </c>
      <c r="F117" s="31">
        <v>400</v>
      </c>
    </row>
    <row r="118" spans="2:6" ht="18.5">
      <c r="B118" s="31">
        <v>8</v>
      </c>
      <c r="C118" s="31" t="str">
        <v>The Pursuit of Happyness</v>
      </c>
      <c r="D118" s="31"/>
      <c r="E118" s="31" t="str">
        <v>3 Idiots</v>
      </c>
      <c r="F118" s="31">
        <v>550</v>
      </c>
    </row>
    <row r="119" spans="2:6" ht="18.5">
      <c r="B119" s="31">
        <v>9</v>
      </c>
      <c r="C119" s="31" t="str">
        <v>Gladiator</v>
      </c>
      <c r="D119" s="31"/>
      <c r="E119" s="31" t="str">
        <v>Kabhi Khushi Kabhie Gham</v>
      </c>
      <c r="F119" s="31">
        <v>390</v>
      </c>
    </row>
    <row r="120" spans="2:6" ht="18.5">
      <c r="B120" s="31">
        <v>10</v>
      </c>
      <c r="C120" s="31" t="str">
        <v>Titanic</v>
      </c>
      <c r="D120" s="31"/>
      <c r="E120" s="31" t="str">
        <v>Bajirao Mastani</v>
      </c>
      <c r="F120" s="31">
        <v>1</v>
      </c>
    </row>
    <row r="121" spans="2:6" ht="18.5">
      <c r="B121" s="31">
        <v>11</v>
      </c>
      <c r="C121" s="31" t="str">
        <v>It's a Wonderful Life</v>
      </c>
      <c r="D121" s="31"/>
      <c r="E121" s="31" t="str">
        <v>The Shawshank Redemption</v>
      </c>
      <c r="F121" s="31">
        <v>25</v>
      </c>
    </row>
    <row r="122" spans="2:6" ht="18.5">
      <c r="B122" s="31">
        <v>12</v>
      </c>
      <c r="C122" s="31" t="str">
        <v>Avatar</v>
      </c>
      <c r="D122" s="31"/>
      <c r="E122" s="31" t="str">
        <v>Interstellar</v>
      </c>
      <c r="F122" s="31">
        <v>165</v>
      </c>
    </row>
    <row r="123" spans="2:6" ht="18.5">
      <c r="B123" s="31">
        <v>13</v>
      </c>
      <c r="C123" s="31" t="str">
        <v>The Godfather</v>
      </c>
      <c r="D123" s="31"/>
      <c r="E123" s="31" t="str">
        <v>Inception</v>
      </c>
      <c r="F123" s="31">
        <v>0</v>
      </c>
    </row>
    <row r="124" spans="2:6" ht="18.5">
      <c r="B124" s="31">
        <v>14</v>
      </c>
      <c r="C124" s="31" t="str">
        <v>The Dark Knight</v>
      </c>
      <c r="D124" s="31"/>
      <c r="E124" s="31" t="str">
        <v>The Pursuit of Happyness</v>
      </c>
      <c r="F124" s="31">
        <v>55</v>
      </c>
    </row>
    <row r="125" spans="2:6" ht="18.5">
      <c r="B125" s="31">
        <v>15</v>
      </c>
      <c r="C125" s="31" t="str">
        <v>Schindler's List</v>
      </c>
      <c r="D125" s="31"/>
      <c r="E125" s="31" t="str">
        <v>Gladiator</v>
      </c>
      <c r="F125" s="31">
        <v>103</v>
      </c>
    </row>
    <row r="126" spans="2:6" ht="18.5">
      <c r="B126" s="31">
        <v>16</v>
      </c>
      <c r="C126" s="31" t="str">
        <v>Jurassic Park</v>
      </c>
      <c r="D126" s="31"/>
      <c r="E126" s="31" t="str">
        <v>Titanic</v>
      </c>
      <c r="F126" s="31">
        <v>200</v>
      </c>
    </row>
    <row r="127" spans="2:6" ht="18.5">
      <c r="B127" s="31">
        <v>17</v>
      </c>
      <c r="C127" s="31" t="str">
        <v>Parasite</v>
      </c>
      <c r="D127" s="31"/>
      <c r="E127" s="31" t="str">
        <v>It's a Wonderful Life</v>
      </c>
      <c r="F127" s="31">
        <v>3</v>
      </c>
    </row>
    <row r="128" spans="2:6" ht="18.5">
      <c r="B128" s="31">
        <v>18</v>
      </c>
      <c r="C128" s="31" t="str">
        <v>Avengers: Endgame</v>
      </c>
      <c r="D128" s="31"/>
      <c r="E128" s="31" t="str">
        <v>Avatar</v>
      </c>
      <c r="F128" s="31">
        <v>237</v>
      </c>
    </row>
    <row r="129" spans="2:6" ht="18.5">
      <c r="B129" s="31">
        <v>19</v>
      </c>
      <c r="C129" s="31" t="str">
        <v>Avengers: Infinity War</v>
      </c>
      <c r="D129" s="31"/>
      <c r="E129" s="31" t="str">
        <v>The Godfather</v>
      </c>
      <c r="F129" s="31">
        <v>7</v>
      </c>
    </row>
    <row r="130" spans="2:6" ht="18.5">
      <c r="B130" s="31">
        <v>20</v>
      </c>
      <c r="C130" s="31" t="str">
        <v>Captain America: The First Avenger</v>
      </c>
      <c r="D130" s="31"/>
      <c r="E130" s="31" t="str">
        <v>The Dark Knight</v>
      </c>
      <c r="F130" s="31">
        <v>185</v>
      </c>
    </row>
    <row r="131" spans="2:6" ht="18.5">
      <c r="B131" s="31">
        <v>21</v>
      </c>
      <c r="C131" s="31" t="str">
        <v>Captain America: The Winter Soldier</v>
      </c>
      <c r="D131" s="31"/>
      <c r="E131" s="31" t="str">
        <v>Schindler's List</v>
      </c>
      <c r="F131" s="31">
        <v>22</v>
      </c>
    </row>
    <row r="132" spans="2:6" ht="18.5">
      <c r="B132" s="31">
        <v>22</v>
      </c>
      <c r="C132" s="31" t="str">
        <v>K.G.F: Chapter 2</v>
      </c>
      <c r="D132" s="31"/>
      <c r="E132" s="31" t="str">
        <v>Jurassic Park</v>
      </c>
      <c r="F132" s="31">
        <v>63</v>
      </c>
    </row>
    <row r="133" spans="2:6" ht="18.5">
      <c r="B133" s="31">
        <v>23</v>
      </c>
      <c r="C133" s="31" t="str">
        <v>Sholay</v>
      </c>
      <c r="D133" s="31"/>
      <c r="E133" s="31" t="str">
        <v>Parasite</v>
      </c>
      <c r="F133" s="31">
        <v>16</v>
      </c>
    </row>
    <row r="134" spans="2:6" ht="18.5">
      <c r="B134" s="31">
        <v>24</v>
      </c>
      <c r="C134" s="31" t="str">
        <v>Dilwale Dulhania Le Jayenge</v>
      </c>
      <c r="D134" s="31"/>
      <c r="E134" s="31" t="str">
        <v>Avengers: Endgame</v>
      </c>
      <c r="F134" s="31">
        <v>400</v>
      </c>
    </row>
    <row r="135" spans="2:6" ht="18.5">
      <c r="B135" s="31">
        <v>25</v>
      </c>
      <c r="C135" s="31" t="str">
        <v>3 Idiots</v>
      </c>
      <c r="D135" s="31"/>
      <c r="E135" s="31" t="str">
        <v>Avengers: Infinity War</v>
      </c>
      <c r="F135" s="31">
        <v>400</v>
      </c>
    </row>
    <row r="136" spans="2:6" ht="18.5">
      <c r="B136" s="31">
        <v>26</v>
      </c>
      <c r="C136" s="31" t="str">
        <v>Kabhi Khushi Kabhie Gham</v>
      </c>
      <c r="D136" s="31"/>
      <c r="E136" s="31" t="str">
        <v>Pather Panchali</v>
      </c>
      <c r="F136" s="31">
        <v>70</v>
      </c>
    </row>
    <row r="137" spans="2:6" ht="18.5">
      <c r="B137" s="31">
        <v>27</v>
      </c>
      <c r="C137" s="31" t="str">
        <v>Bajirao Mastani</v>
      </c>
      <c r="D137" s="31"/>
      <c r="E137" s="31" t="str">
        <v>Taare Zameen Par</v>
      </c>
      <c r="F137" s="31">
        <v>120</v>
      </c>
    </row>
    <row r="138" spans="2:6" ht="18.5">
      <c r="B138" s="31">
        <v>28</v>
      </c>
      <c r="C138" s="31" t="str">
        <v>Pather Panchali</v>
      </c>
      <c r="D138" s="31"/>
      <c r="E138" s="31" t="str">
        <v>Munna Bhai M.B.B.S.</v>
      </c>
      <c r="F138" s="31">
        <v>100</v>
      </c>
    </row>
    <row r="139" spans="2:6" ht="18.5">
      <c r="B139" s="31">
        <v>29</v>
      </c>
      <c r="C139" s="31" t="str">
        <v>Taare Zameen Par</v>
      </c>
      <c r="D139" s="31"/>
      <c r="E139" s="31" t="str">
        <v>PK</v>
      </c>
      <c r="F139" s="31">
        <v>850</v>
      </c>
    </row>
    <row r="140" spans="2:6" ht="18.5">
      <c r="B140" s="31">
        <v>30</v>
      </c>
      <c r="C140" s="31" t="str">
        <v>Munna Bhai M.B.B.S.</v>
      </c>
      <c r="D140" s="31"/>
      <c r="E140" s="31" t="str">
        <v>Sanju</v>
      </c>
      <c r="F140" s="31">
        <v>1</v>
      </c>
    </row>
    <row r="141" spans="2:6" ht="18.5">
      <c r="B141" s="31">
        <v>31</v>
      </c>
      <c r="C141" s="31" t="str">
        <v>PK</v>
      </c>
      <c r="D141" s="31"/>
      <c r="E141" s="31" t="str">
        <v>Pushpa: The Rise - Part 1</v>
      </c>
      <c r="F141" s="31">
        <v>2</v>
      </c>
    </row>
    <row r="142" spans="2:6" ht="18.5">
      <c r="B142" s="31">
        <v>32</v>
      </c>
      <c r="C142" s="31" t="str">
        <v>Sanju</v>
      </c>
      <c r="D142" s="31"/>
      <c r="E142" s="31" t="str">
        <v>RRR</v>
      </c>
      <c r="F142" s="31">
        <v>6</v>
      </c>
    </row>
    <row r="143" spans="2:6" ht="18.5">
      <c r="B143" s="31">
        <v>33</v>
      </c>
      <c r="C143" s="31" t="str">
        <v>Pushpa: The Rise - Part 1</v>
      </c>
      <c r="D143" s="31"/>
      <c r="E143" s="31" t="str">
        <v>Baahubali: The Beginning</v>
      </c>
      <c r="F143" s="31">
        <v>2</v>
      </c>
    </row>
    <row r="144" spans="2:6" ht="18.5">
      <c r="B144" s="31">
        <v>34</v>
      </c>
      <c r="C144" s="31" t="str">
        <v>RRR</v>
      </c>
      <c r="D144" s="31"/>
      <c r="E144" s="31" t="str">
        <v>The Kashmir Files</v>
      </c>
      <c r="F144" s="31">
        <v>250</v>
      </c>
    </row>
    <row r="145" spans="2:6" ht="18.5">
      <c r="B145" s="31">
        <v>35</v>
      </c>
      <c r="C145" s="31" t="str">
        <v>Baahubali: The Beginning</v>
      </c>
      <c r="D145" s="31"/>
      <c r="E145" s="31" t="str">
        <v>Bajrangi Bhaijaan</v>
      </c>
      <c r="F145" s="31">
        <v>900</v>
      </c>
    </row>
    <row r="146" spans="2:6" ht="18.5">
      <c r="B146" s="31">
        <v>36</v>
      </c>
      <c r="C146" s="31" t="str">
        <v>The Kashmir Files</v>
      </c>
      <c r="D146" s="31"/>
      <c r="E146" s="31" t="str">
        <v>Captain America: The First Avenger</v>
      </c>
      <c r="F146" s="31">
        <v>217</v>
      </c>
    </row>
    <row r="147" spans="2:6" ht="18.5">
      <c r="B147" s="31">
        <v>37</v>
      </c>
      <c r="C147" s="31" t="str">
        <v>Bajrangi Bhaijaan</v>
      </c>
      <c r="D147" s="31"/>
      <c r="E147" s="31" t="str">
        <v>Captain America: The Winter Soldier</v>
      </c>
      <c r="F147" s="31">
        <v>177</v>
      </c>
    </row>
    <row r="148" spans="2:6" ht="18.5">
      <c r="B148" s="31">
        <v>38</v>
      </c>
      <c r="C148" s="31" t="str">
        <v>Race 3</v>
      </c>
      <c r="D148" s="31"/>
      <c r="E148" s="31" t="str">
        <v>Race 3</v>
      </c>
      <c r="F148" s="31">
        <v>2</v>
      </c>
    </row>
    <row r="149" spans="2:6" ht="18.5">
      <c r="B149" s="31">
        <v>39</v>
      </c>
      <c r="C149" s="31" t="str">
        <v>Shershaah</v>
      </c>
      <c r="D149" s="31"/>
      <c r="E149" s="31" t="str">
        <v>Shershaah</v>
      </c>
      <c r="F149" s="31">
        <v>500</v>
      </c>
    </row>
  </sheetData>
  <mergeCells count="1">
    <mergeCell ref="A1:G1"/>
  </mergeCells>
  <hyperlinks>
    <hyperlink ref="E5" location="'DAY 11'!B47" display="'DAY 11'!B47" xr:uid="{FA1CFF85-FBC8-438F-BC65-2A3DAC634D27}"/>
    <hyperlink ref="E6" location="'DAY 11'!B55" display="'DAY 11'!B55" xr:uid="{C3CA2153-9A8A-4F09-9BD3-A77B78C5E962}"/>
    <hyperlink ref="E7" location="'DAY 11'!D26" display="'DAY 11'!D26" xr:uid="{410B446C-51AD-45FE-81A3-4BA90AAD426F}"/>
    <hyperlink ref="E8" location="'DAY 11'!B67" display="'DAY 11'!B67" xr:uid="{214DDF9B-2FFF-40BB-889E-DED83231B816}"/>
    <hyperlink ref="E9" location="'DAY 11'!C68" display="'DAY 11'!C68" xr:uid="{D8A62515-BBCE-479D-ABA8-8D7220126EF1}"/>
    <hyperlink ref="E10" location="'DAY 11'!E26" display="'DAY 11'!E26" xr:uid="{F02D531F-80C2-4244-8C0E-779211FAC77D}"/>
    <hyperlink ref="E11" location="'DAY 11'!D67" display="'DAY 11'!D67" xr:uid="{C7C7ACCD-4E82-44E4-95FF-98E2CEDD46FA}"/>
    <hyperlink ref="E12" location="'DAY 11'!E67" display="'DAY 11'!E67" xr:uid="{FDA18A3A-6671-499A-849E-7C11A68FF344}"/>
    <hyperlink ref="E13" location="'DAY 11'!B111" display="'DAY 11'!B111" xr:uid="{D59DB2E0-2CC7-41D9-9EC9-64A405574F49}"/>
    <hyperlink ref="E14" location="'DAY 11'!C111" display="'DAY 11'!C111" xr:uid="{2CB8DFA7-A5EF-4DBB-8380-8272C86F0E5F}"/>
    <hyperlink ref="E15" location="'DAY 11'!D111" display="'DAY 11'!D111" xr:uid="{4A9BBAB4-2614-4049-A8F1-CAAD987F650C}"/>
    <hyperlink ref="E16" location="'DAY 11'!E111" display="'DAY 11'!E111" xr:uid="{97221D07-FCAD-4FD8-AAE0-09B54FA25E65}"/>
  </hyperlinks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A154-BCF9-40F7-B490-8A251544A865}">
  <dimension ref="A1:O19"/>
  <sheetViews>
    <sheetView workbookViewId="0">
      <selection activeCell="D11" sqref="D11:E11"/>
    </sheetView>
  </sheetViews>
  <sheetFormatPr defaultRowHeight="14.5"/>
  <cols>
    <col min="2" max="2" width="24.08984375" bestFit="1" customWidth="1"/>
    <col min="3" max="3" width="16.08984375" customWidth="1"/>
    <col min="4" max="4" width="13.54296875" customWidth="1"/>
    <col min="5" max="5" width="14.7265625" customWidth="1"/>
  </cols>
  <sheetData>
    <row r="1" spans="1:15" ht="26">
      <c r="A1" s="89" t="s">
        <v>308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23.5">
      <c r="B3" s="80" t="s">
        <v>309</v>
      </c>
      <c r="C3" s="80"/>
      <c r="D3" s="80"/>
      <c r="E3" s="80"/>
    </row>
    <row r="4" spans="1:15" ht="18.5">
      <c r="B4" s="88" t="s">
        <v>323</v>
      </c>
      <c r="C4" s="88"/>
      <c r="D4" s="87" t="s">
        <v>324</v>
      </c>
      <c r="E4" s="87"/>
    </row>
    <row r="5" spans="1:15" ht="18.5">
      <c r="B5" s="91" t="s">
        <v>310</v>
      </c>
      <c r="C5" s="92"/>
      <c r="D5" s="93">
        <v>550</v>
      </c>
      <c r="E5" s="94"/>
    </row>
    <row r="6" spans="1:15" ht="18.5">
      <c r="B6" s="88" t="s">
        <v>311</v>
      </c>
      <c r="C6" s="88"/>
      <c r="D6" s="87">
        <v>4000</v>
      </c>
      <c r="E6" s="87"/>
    </row>
    <row r="7" spans="1:15" ht="18.5">
      <c r="B7" s="88" t="s">
        <v>312</v>
      </c>
      <c r="C7" s="88"/>
      <c r="D7" s="87">
        <v>3500</v>
      </c>
      <c r="E7" s="87"/>
    </row>
    <row r="8" spans="1:15" ht="18.5">
      <c r="B8" s="88" t="s">
        <v>313</v>
      </c>
      <c r="C8" s="88"/>
      <c r="D8" s="87">
        <v>5</v>
      </c>
      <c r="E8" s="87"/>
    </row>
    <row r="9" spans="1:15" ht="18.5">
      <c r="B9" s="88" t="s">
        <v>314</v>
      </c>
      <c r="C9" s="88"/>
      <c r="D9" s="87">
        <v>800</v>
      </c>
      <c r="E9" s="87"/>
    </row>
    <row r="10" spans="1:15" ht="18.5">
      <c r="B10" s="88" t="s">
        <v>315</v>
      </c>
      <c r="C10" s="88"/>
      <c r="D10" s="90">
        <v>0.125</v>
      </c>
      <c r="E10" s="90"/>
    </row>
    <row r="11" spans="1:15" ht="18.5">
      <c r="B11" s="88" t="s">
        <v>316</v>
      </c>
      <c r="C11" s="88"/>
      <c r="D11" s="87">
        <f>D8*D9*(1-D10)</f>
        <v>3500</v>
      </c>
      <c r="E11" s="87"/>
    </row>
    <row r="12" spans="1:15" ht="18.5">
      <c r="B12" s="88" t="s">
        <v>317</v>
      </c>
      <c r="C12" s="88"/>
      <c r="D12" s="87">
        <f>D11-D7</f>
        <v>0</v>
      </c>
      <c r="E12" s="87"/>
    </row>
    <row r="14" spans="1:15" ht="21">
      <c r="B14" s="37" t="s">
        <v>318</v>
      </c>
    </row>
    <row r="15" spans="1:15" ht="18.5">
      <c r="B15" s="47"/>
      <c r="C15" s="48" t="s">
        <v>319</v>
      </c>
      <c r="D15" s="48" t="s">
        <v>320</v>
      </c>
      <c r="E15" s="48" t="s">
        <v>321</v>
      </c>
    </row>
    <row r="16" spans="1:15" ht="18.5">
      <c r="B16" s="49" t="s">
        <v>310</v>
      </c>
      <c r="C16" s="47">
        <v>550</v>
      </c>
      <c r="D16" s="47">
        <v>550</v>
      </c>
      <c r="E16" s="47">
        <v>550</v>
      </c>
    </row>
    <row r="17" spans="2:5" ht="18.5">
      <c r="B17" s="47" t="s">
        <v>315</v>
      </c>
      <c r="C17" s="47">
        <v>0.05</v>
      </c>
      <c r="D17" s="47">
        <v>0.125</v>
      </c>
      <c r="E17" s="47">
        <v>0.18</v>
      </c>
    </row>
    <row r="18" spans="2:5" ht="18.5">
      <c r="B18" s="49" t="s">
        <v>316</v>
      </c>
      <c r="C18" s="47">
        <v>800</v>
      </c>
      <c r="D18" s="47">
        <v>800</v>
      </c>
      <c r="E18" s="47">
        <v>800</v>
      </c>
    </row>
    <row r="19" spans="2:5" ht="18.5">
      <c r="B19" s="47" t="s">
        <v>322</v>
      </c>
      <c r="C19" s="47">
        <f>C18-C16</f>
        <v>250</v>
      </c>
      <c r="D19" s="47">
        <f>D18-D16</f>
        <v>250</v>
      </c>
      <c r="E19" s="47">
        <f>E18-E16</f>
        <v>250</v>
      </c>
    </row>
  </sheetData>
  <scenarios current="2" show="2" sqref="C19:E19">
    <scenario name="Conservative" locked="1" count="3" user="LENOVO" comment="Created by LENOVO on 16-07-2026_x000a_Modified by LENOVO on 16-07-2026">
      <inputCells r="C16" val="550"/>
      <inputCells r="C17" val="0.05"/>
      <inputCells r="C18" val="800"/>
    </scenario>
    <scenario name="Moderate" locked="1" count="3" user="LENOVO" comment="Created by LENOVO on 16-07-2026_x000a_Modified by LENOVO on 16-07-2026">
      <inputCells r="D16" val="550"/>
      <inputCells r="D17" val="0.125"/>
      <inputCells r="D18" val="800"/>
    </scenario>
    <scenario name="Aggressive" locked="1" count="3" user="LENOVO" comment="Created by LENOVO on 16-07-2026_x000a_Modified by LENOVO on 16-07-2026">
      <inputCells r="E16" val="550"/>
      <inputCells r="E17" val="0.18"/>
      <inputCells r="E18" val="800"/>
    </scenario>
  </scenarios>
  <mergeCells count="20">
    <mergeCell ref="A1:O1"/>
    <mergeCell ref="D7:E7"/>
    <mergeCell ref="D8:E8"/>
    <mergeCell ref="D9:E9"/>
    <mergeCell ref="D10:E10"/>
    <mergeCell ref="B3:E3"/>
    <mergeCell ref="B4:C4"/>
    <mergeCell ref="B6:C6"/>
    <mergeCell ref="D4:E4"/>
    <mergeCell ref="D6:E6"/>
    <mergeCell ref="B5:C5"/>
    <mergeCell ref="D5:E5"/>
    <mergeCell ref="D11:E11"/>
    <mergeCell ref="D12:E12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67E9-0A89-404D-A037-0871227A0629}">
  <dimension ref="A1:H44"/>
  <sheetViews>
    <sheetView workbookViewId="0">
      <selection activeCell="D42" sqref="D42:D44"/>
    </sheetView>
  </sheetViews>
  <sheetFormatPr defaultRowHeight="14.5"/>
  <cols>
    <col min="2" max="2" width="23.26953125" bestFit="1" customWidth="1"/>
    <col min="3" max="3" width="22.6328125" bestFit="1" customWidth="1"/>
    <col min="4" max="4" width="36.54296875" bestFit="1" customWidth="1"/>
  </cols>
  <sheetData>
    <row r="1" spans="1:8">
      <c r="A1" s="50" t="s">
        <v>1</v>
      </c>
      <c r="B1" s="50" t="s">
        <v>325</v>
      </c>
      <c r="C1" s="50" t="s">
        <v>328</v>
      </c>
      <c r="D1" s="50" t="s">
        <v>329</v>
      </c>
    </row>
    <row r="2" spans="1:8">
      <c r="A2" t="s">
        <v>7</v>
      </c>
      <c r="B2" t="s">
        <v>86</v>
      </c>
      <c r="C2" t="s">
        <v>11</v>
      </c>
      <c r="D2" s="12" t="s">
        <v>146</v>
      </c>
    </row>
    <row r="3" spans="1:8">
      <c r="A3" t="s">
        <v>10</v>
      </c>
      <c r="B3" t="s">
        <v>17</v>
      </c>
      <c r="C3" t="s">
        <v>26</v>
      </c>
      <c r="D3" s="13" t="s">
        <v>87</v>
      </c>
      <c r="G3" s="40"/>
      <c r="H3" s="12"/>
    </row>
    <row r="4" spans="1:8">
      <c r="B4" t="s">
        <v>19</v>
      </c>
      <c r="C4" t="s">
        <v>28</v>
      </c>
      <c r="D4" s="12" t="s">
        <v>88</v>
      </c>
      <c r="G4" s="38"/>
      <c r="H4" s="13"/>
    </row>
    <row r="5" spans="1:8">
      <c r="B5" t="s">
        <v>56</v>
      </c>
      <c r="C5" t="s">
        <v>31</v>
      </c>
      <c r="D5" s="13" t="s">
        <v>90</v>
      </c>
      <c r="G5" s="40"/>
      <c r="H5" s="12"/>
    </row>
    <row r="6" spans="1:8">
      <c r="B6" t="s">
        <v>23</v>
      </c>
      <c r="C6" t="s">
        <v>45</v>
      </c>
      <c r="D6" s="12" t="s">
        <v>92</v>
      </c>
      <c r="G6" s="38"/>
      <c r="H6" s="13"/>
    </row>
    <row r="7" spans="1:8">
      <c r="B7" t="s">
        <v>133</v>
      </c>
      <c r="C7" t="s">
        <v>35</v>
      </c>
      <c r="D7" s="13" t="s">
        <v>128</v>
      </c>
      <c r="G7" s="40"/>
      <c r="H7" s="12"/>
    </row>
    <row r="8" spans="1:8">
      <c r="B8" t="s">
        <v>54</v>
      </c>
      <c r="C8" t="s">
        <v>37</v>
      </c>
      <c r="D8" s="12" t="s">
        <v>129</v>
      </c>
      <c r="G8" s="38"/>
      <c r="H8" s="13"/>
    </row>
    <row r="9" spans="1:8">
      <c r="B9" t="s">
        <v>60</v>
      </c>
      <c r="C9" t="s">
        <v>39</v>
      </c>
      <c r="D9" s="13" t="s">
        <v>148</v>
      </c>
    </row>
    <row r="10" spans="1:8">
      <c r="B10" t="s">
        <v>62</v>
      </c>
      <c r="C10" t="s">
        <v>43</v>
      </c>
      <c r="D10" s="12" t="s">
        <v>99</v>
      </c>
      <c r="G10" s="38"/>
    </row>
    <row r="11" spans="1:8">
      <c r="B11" t="s">
        <v>64</v>
      </c>
      <c r="D11" s="13" t="s">
        <v>101</v>
      </c>
    </row>
    <row r="12" spans="1:8">
      <c r="B12" t="s">
        <v>66</v>
      </c>
      <c r="D12" s="12" t="s">
        <v>104</v>
      </c>
    </row>
    <row r="13" spans="1:8">
      <c r="B13" t="s">
        <v>68</v>
      </c>
      <c r="D13" s="13" t="s">
        <v>108</v>
      </c>
    </row>
    <row r="14" spans="1:8">
      <c r="D14" s="12" t="s">
        <v>106</v>
      </c>
    </row>
    <row r="15" spans="1:8">
      <c r="D15" s="13" t="s">
        <v>110</v>
      </c>
    </row>
    <row r="16" spans="1:8">
      <c r="D16" s="12" t="s">
        <v>112</v>
      </c>
    </row>
    <row r="17" spans="4:4">
      <c r="D17" s="13" t="s">
        <v>114</v>
      </c>
    </row>
    <row r="18" spans="4:4">
      <c r="D18" s="12" t="s">
        <v>116</v>
      </c>
    </row>
    <row r="19" spans="4:4">
      <c r="D19" s="13" t="s">
        <v>118</v>
      </c>
    </row>
    <row r="20" spans="4:4">
      <c r="D20" s="12" t="s">
        <v>119</v>
      </c>
    </row>
    <row r="21" spans="4:4">
      <c r="D21" s="13" t="s">
        <v>121</v>
      </c>
    </row>
    <row r="22" spans="4:4">
      <c r="D22" s="12" t="s">
        <v>123</v>
      </c>
    </row>
    <row r="23" spans="4:4">
      <c r="D23" s="13" t="s">
        <v>125</v>
      </c>
    </row>
    <row r="24" spans="4:4">
      <c r="D24" s="12" t="s">
        <v>126</v>
      </c>
    </row>
    <row r="25" spans="4:4">
      <c r="D25" s="13" t="s">
        <v>93</v>
      </c>
    </row>
    <row r="26" spans="4:4">
      <c r="D26" s="12" t="s">
        <v>95</v>
      </c>
    </row>
    <row r="27" spans="4:4">
      <c r="D27" s="13" t="s">
        <v>131</v>
      </c>
    </row>
    <row r="28" spans="4:4">
      <c r="D28" s="12" t="s">
        <v>134</v>
      </c>
    </row>
    <row r="29" spans="4:4">
      <c r="D29" s="13" t="s">
        <v>136</v>
      </c>
    </row>
    <row r="32" spans="4:4">
      <c r="D32" s="12" t="s">
        <v>140</v>
      </c>
    </row>
    <row r="33" spans="4:4">
      <c r="D33" s="13" t="s">
        <v>142</v>
      </c>
    </row>
    <row r="34" spans="4:4">
      <c r="D34" s="12" t="s">
        <v>143</v>
      </c>
    </row>
    <row r="35" spans="4:4">
      <c r="D35" s="13" t="s">
        <v>144</v>
      </c>
    </row>
    <row r="36" spans="4:4">
      <c r="D36" s="12" t="s">
        <v>145</v>
      </c>
    </row>
    <row r="37" spans="4:4">
      <c r="D37" s="13" t="s">
        <v>146</v>
      </c>
    </row>
    <row r="38" spans="4:4">
      <c r="D38" s="12" t="s">
        <v>148</v>
      </c>
    </row>
    <row r="39" spans="4:4">
      <c r="D39" s="13" t="s">
        <v>149</v>
      </c>
    </row>
    <row r="40" spans="4:4">
      <c r="D40" s="12" t="s">
        <v>150</v>
      </c>
    </row>
    <row r="41" spans="4:4">
      <c r="D41" s="12" t="s">
        <v>84</v>
      </c>
    </row>
    <row r="42" spans="4:4">
      <c r="D42" s="13" t="s">
        <v>97</v>
      </c>
    </row>
    <row r="43" spans="4:4">
      <c r="D43" s="12" t="s">
        <v>138</v>
      </c>
    </row>
    <row r="44" spans="4:4">
      <c r="D44" s="13" t="s">
        <v>139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40E8-6462-4B1D-9B0B-6B25FC725B34}">
  <dimension ref="A1:N20"/>
  <sheetViews>
    <sheetView showGridLines="0" topLeftCell="A3" workbookViewId="0">
      <selection activeCell="C7" sqref="C7"/>
    </sheetView>
  </sheetViews>
  <sheetFormatPr defaultRowHeight="14.5"/>
  <cols>
    <col min="2" max="2" width="22.6328125" bestFit="1" customWidth="1"/>
    <col min="3" max="3" width="22.54296875" customWidth="1"/>
    <col min="10" max="10" width="16.81640625" customWidth="1"/>
    <col min="11" max="11" width="20.81640625" customWidth="1"/>
  </cols>
  <sheetData>
    <row r="1" spans="1:14">
      <c r="A1" s="98" t="s">
        <v>346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 ht="23.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21">
      <c r="B4" s="96" t="s">
        <v>327</v>
      </c>
      <c r="C4" s="97"/>
      <c r="J4" s="96" t="s">
        <v>348</v>
      </c>
      <c r="K4" s="97"/>
    </row>
    <row r="5" spans="1:14" ht="18.5">
      <c r="B5" s="54" t="s">
        <v>326</v>
      </c>
      <c r="C5" s="51" t="s">
        <v>7</v>
      </c>
      <c r="J5" s="59" t="s">
        <v>335</v>
      </c>
      <c r="K5" s="55" t="s">
        <v>345</v>
      </c>
    </row>
    <row r="6" spans="1:14" ht="18.5">
      <c r="B6" s="54" t="s">
        <v>347</v>
      </c>
      <c r="C6" s="51" t="s">
        <v>56</v>
      </c>
      <c r="J6" s="60" t="s">
        <v>330</v>
      </c>
      <c r="K6" s="57">
        <f>_xlfn.XLOOKUP(C7,Movie_financials__with_release_date[Title],Movie_financials__with_release_date[Movie_id])</f>
        <v>108</v>
      </c>
    </row>
    <row r="7" spans="1:14" ht="18.5">
      <c r="B7" s="54" t="s">
        <v>349</v>
      </c>
      <c r="C7" s="58" t="s">
        <v>97</v>
      </c>
      <c r="J7" s="60" t="s">
        <v>331</v>
      </c>
      <c r="K7" s="63">
        <f>_xlfn.XLOOKUP(C7,Movie_financials__with_release_date[Title],Movie_financials__with_release_date[release_date])</f>
        <v>40172</v>
      </c>
    </row>
    <row r="8" spans="1:14" ht="18.5">
      <c r="J8" s="60" t="s">
        <v>332</v>
      </c>
      <c r="K8" s="57" t="str">
        <f>_xlfn.XLOOKUP(C7,Movie_financials__with_release_date[Title],Movie_financials__with_release_date[release_year])</f>
        <v>2009</v>
      </c>
    </row>
    <row r="9" spans="1:14" ht="21">
      <c r="B9" s="95" t="s">
        <v>336</v>
      </c>
      <c r="C9" s="95"/>
      <c r="J9" s="60" t="s">
        <v>333</v>
      </c>
      <c r="K9" s="57">
        <f ca="1">_xlfn.XLOOKUP(C7,Movie_financials__with_release_date[Title],Movie_financials__with_release_date[Movie_age(years)])</f>
        <v>16</v>
      </c>
    </row>
    <row r="10" spans="1:14" ht="18.5">
      <c r="B10" s="55" t="s">
        <v>344</v>
      </c>
      <c r="C10" s="55" t="s">
        <v>345</v>
      </c>
      <c r="J10" s="61" t="s">
        <v>334</v>
      </c>
      <c r="K10" s="62" t="str">
        <f ca="1">_xlfn.XLOOKUP(C7,Movie_financials__with_release_date[Title],Movie_financials__with_release_date[Movie_era])</f>
        <v>Classic</v>
      </c>
    </row>
    <row r="11" spans="1:14" ht="18.5">
      <c r="B11" s="56" t="s">
        <v>337</v>
      </c>
      <c r="C11" s="57">
        <f>_xlfn.XLOOKUP(C7,Movie_financials__with_release_date[Title],Movie_financials__with_release_date[imdb_rating])</f>
        <v>8.4</v>
      </c>
    </row>
    <row r="12" spans="1:14" ht="18.5">
      <c r="B12" s="56" t="s">
        <v>338</v>
      </c>
      <c r="C12" s="57" t="str">
        <f>_xlfn.XLOOKUP(C7,Movie_financials__with_release_date[Title],Movie_financials__with_release_date[Imdb_grade])</f>
        <v>A</v>
      </c>
    </row>
    <row r="13" spans="1:14" ht="18.5">
      <c r="B13" s="56" t="s">
        <v>310</v>
      </c>
      <c r="C13" s="57">
        <f>_xlfn.XLOOKUP(C7,Movie_financials__with_release_date[Title],Movie_financials__with_release_date[budget])</f>
        <v>550</v>
      </c>
    </row>
    <row r="14" spans="1:14" ht="18.5">
      <c r="B14" s="56" t="s">
        <v>153</v>
      </c>
      <c r="C14" s="57">
        <f>_xlfn.XLOOKUP(C7,Movie_financials__with_release_date[Title],Movie_financials__with_release_date[revenue])</f>
        <v>4000</v>
      </c>
    </row>
    <row r="15" spans="1:14" ht="18.5">
      <c r="B15" s="56" t="s">
        <v>339</v>
      </c>
      <c r="C15" s="57" t="str">
        <f>_xlfn.XLOOKUP(C7,Movie_financials__with_release_date[Title],Movie_financials__with_release_date[Movie_performance])</f>
        <v>Blockbuster</v>
      </c>
    </row>
    <row r="16" spans="1:14" ht="18.5">
      <c r="B16" s="56" t="s">
        <v>340</v>
      </c>
      <c r="C16" s="57" t="str">
        <f>_xlfn.XLOOKUP(C7,Movie_financials__with_release_date[Title],Movie_financials__with_release_date[Rating_category])</f>
        <v>Good</v>
      </c>
    </row>
    <row r="17" spans="2:3" ht="18.5">
      <c r="B17" s="56" t="s">
        <v>341</v>
      </c>
      <c r="C17" s="57" t="str">
        <f>_xlfn.XLOOKUP(C7,Movie_financials__with_release_date[Title],Movie_financials__with_release_date[Budget_category])</f>
        <v>High budget</v>
      </c>
    </row>
    <row r="18" spans="2:3" ht="18.5">
      <c r="B18" s="56" t="s">
        <v>342</v>
      </c>
      <c r="C18" s="57" t="str">
        <f>_xlfn.XLOOKUP(C7,Movie_financials__with_release_date[Title],Movie_financials__with_release_date[profit_category])</f>
        <v>Highly Profitable</v>
      </c>
    </row>
    <row r="19" spans="2:3" ht="18.5">
      <c r="B19" s="56" t="s">
        <v>343</v>
      </c>
      <c r="C19" s="57" t="str">
        <f>_xlfn.XLOOKUP(C7,Movie_financials__with_release_date[Title],Movie_financials__with_release_date[revenue_category])</f>
        <v>Mega Hit</v>
      </c>
    </row>
    <row r="20" spans="2:3" ht="18.5">
      <c r="B20" s="56"/>
      <c r="C20" s="57"/>
    </row>
  </sheetData>
  <mergeCells count="4">
    <mergeCell ref="B9:C9"/>
    <mergeCell ref="B4:C4"/>
    <mergeCell ref="J4:K4"/>
    <mergeCell ref="A1:N2"/>
  </mergeCells>
  <dataValidations count="2">
    <dataValidation type="list" allowBlank="1" showInputMessage="1" showErrorMessage="1" sqref="C6" xr:uid="{9BCBE855-80B1-49C0-94E5-A932034E1ED2}">
      <formula1>INDIRECT($C$5)</formula1>
    </dataValidation>
    <dataValidation type="list" allowBlank="1" showInputMessage="1" showErrorMessage="1" sqref="C7" xr:uid="{F164E1C0-8C25-44B2-9334-9B6B0B0FD212}">
      <formula1>INDIRECT(SUBSTITUTE(C6," ","_"))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016EFB-2099-4E78-85C9-D7A9957A6210}">
          <x14:formula1>
            <xm:f>Source_lists!$A$2:$A$3</xm:f>
          </x14:formula1>
          <xm:sqref>C5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F688-F12B-4248-A7A7-BDDFA1B66AF4}">
  <dimension ref="A1:N18"/>
  <sheetViews>
    <sheetView workbookViewId="0">
      <selection activeCell="F8" sqref="F8"/>
    </sheetView>
  </sheetViews>
  <sheetFormatPr defaultRowHeight="14.5"/>
  <cols>
    <col min="1" max="1" width="10.1796875" customWidth="1"/>
    <col min="2" max="2" width="23.81640625" bestFit="1" customWidth="1"/>
    <col min="3" max="3" width="17.6328125" bestFit="1" customWidth="1"/>
    <col min="4" max="4" width="15.54296875" bestFit="1" customWidth="1"/>
    <col min="5" max="5" width="9.54296875" bestFit="1" customWidth="1"/>
    <col min="6" max="6" width="17.26953125" bestFit="1" customWidth="1"/>
    <col min="12" max="12" width="11.08984375" bestFit="1" customWidth="1"/>
    <col min="13" max="13" width="9.453125" bestFit="1" customWidth="1"/>
    <col min="14" max="14" width="10.453125" bestFit="1" customWidth="1"/>
  </cols>
  <sheetData>
    <row r="1" spans="1:14">
      <c r="A1" s="99" t="s">
        <v>350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4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3" spans="1:14" s="70" customFormat="1" ht="17" customHeight="1">
      <c r="A3" s="100" t="s">
        <v>352</v>
      </c>
      <c r="B3" s="10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s="70" customFormat="1" ht="13.5" customHeight="1">
      <c r="A4" s="71"/>
      <c r="B4" s="51" t="s">
        <v>353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s="70" customFormat="1" ht="18.5" customHeight="1">
      <c r="A5" s="71"/>
      <c r="B5" s="51" t="s">
        <v>354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s="70" customFormat="1"/>
    <row r="8" spans="1:14" ht="32">
      <c r="A8" s="64" t="s">
        <v>82</v>
      </c>
      <c r="B8" s="64" t="s">
        <v>83</v>
      </c>
      <c r="C8" s="65" t="s">
        <v>356</v>
      </c>
      <c r="D8" s="65" t="s">
        <v>357</v>
      </c>
      <c r="E8" s="65" t="s">
        <v>355</v>
      </c>
      <c r="F8" s="64" t="s">
        <v>223</v>
      </c>
      <c r="L8" s="66" t="s">
        <v>82</v>
      </c>
      <c r="M8" s="67" t="s">
        <v>74</v>
      </c>
      <c r="N8" s="68" t="s">
        <v>75</v>
      </c>
    </row>
    <row r="9" spans="1:14" ht="16">
      <c r="A9" s="52">
        <v>101</v>
      </c>
      <c r="B9" s="52" t="s">
        <v>84</v>
      </c>
      <c r="C9" s="52" t="e">
        <f>VLOOKUP(Table16[[#This Row],[Movie_id]],'DAY 14'!$L$8:$N$18,2)</f>
        <v>#N/A</v>
      </c>
      <c r="D9" s="52">
        <f>VLOOKUP(Table16[[#This Row],[Movie_id]],'DAY 14'!$L$8:$N$18,2,FALSE)</f>
        <v>1</v>
      </c>
      <c r="E9" s="52">
        <f>INDEX('DAY 14'!$M$9:$M$18,MATCH(A9,'DAY 14'!$L$9:$L$18,0))</f>
        <v>1</v>
      </c>
      <c r="F9" s="73">
        <f>IF(ISNA(C9),0,
IF(C9=D9,1,-1))</f>
        <v>0</v>
      </c>
      <c r="L9" s="41">
        <v>102</v>
      </c>
      <c r="M9" s="42">
        <v>200</v>
      </c>
      <c r="N9" s="43">
        <v>954.8</v>
      </c>
    </row>
    <row r="10" spans="1:14" ht="16">
      <c r="A10" s="52">
        <v>102</v>
      </c>
      <c r="B10" s="69" t="s">
        <v>351</v>
      </c>
      <c r="C10" s="52">
        <f>VLOOKUP(Table16[[#This Row],[Movie_id]],'DAY 14'!$L$8:$N$18,2)</f>
        <v>200</v>
      </c>
      <c r="D10" s="52">
        <f>VLOOKUP(Table16[[#This Row],[Movie_id]],'DAY 14'!$L$8:$N$18,2,FALSE)</f>
        <v>200</v>
      </c>
      <c r="E10" s="52">
        <f>INDEX('DAY 14'!$M$9:$M$18,MATCH(A10,'DAY 14'!$L$9:$L$18,0))</f>
        <v>200</v>
      </c>
      <c r="F10" s="73">
        <f t="shared" ref="F10:F18" si="0">IF(ISNA(C10),0,
IF(C10=D10,1,-1))</f>
        <v>1</v>
      </c>
      <c r="L10" s="44">
        <v>103</v>
      </c>
      <c r="M10" s="45">
        <v>165</v>
      </c>
      <c r="N10" s="46">
        <v>644.79999999999995</v>
      </c>
    </row>
    <row r="11" spans="1:14" ht="16">
      <c r="A11" s="52">
        <v>103</v>
      </c>
      <c r="B11" s="52" t="s">
        <v>88</v>
      </c>
      <c r="C11" s="52">
        <f>VLOOKUP(Table16[[#This Row],[Movie_id]],'DAY 14'!$L$8:$N$18,2)</f>
        <v>165</v>
      </c>
      <c r="D11" s="52">
        <f>VLOOKUP(Table16[[#This Row],[Movie_id]],'DAY 14'!$L$8:$N$18,2,FALSE)</f>
        <v>165</v>
      </c>
      <c r="E11" s="52">
        <f>INDEX('DAY 14'!$M$9:$M$18,MATCH(A11,'DAY 14'!$L$9:$L$18,0))</f>
        <v>165</v>
      </c>
      <c r="F11" s="73">
        <f t="shared" si="0"/>
        <v>1</v>
      </c>
      <c r="L11" s="41">
        <v>105</v>
      </c>
      <c r="M11" s="42">
        <v>250</v>
      </c>
      <c r="N11" s="43">
        <v>670</v>
      </c>
    </row>
    <row r="12" spans="1:14" ht="16">
      <c r="A12" s="52">
        <v>104</v>
      </c>
      <c r="B12" s="52" t="s">
        <v>90</v>
      </c>
      <c r="C12" s="52">
        <f>VLOOKUP(Table16[[#This Row],[Movie_id]],'DAY 14'!$L$8:$N$18,2)</f>
        <v>165</v>
      </c>
      <c r="D12" s="52">
        <f>VLOOKUP(Table16[[#This Row],[Movie_id]],'DAY 14'!$L$8:$N$18,2,FALSE)</f>
        <v>180</v>
      </c>
      <c r="E12" s="52">
        <f>INDEX('DAY 14'!$M$9:$M$18,MATCH(A12,'DAY 14'!$L$9:$L$18,0))</f>
        <v>180</v>
      </c>
      <c r="F12" s="73">
        <f t="shared" si="0"/>
        <v>-1</v>
      </c>
      <c r="L12" s="44">
        <v>106</v>
      </c>
      <c r="M12" s="45"/>
      <c r="N12" s="46"/>
    </row>
    <row r="13" spans="1:14" ht="16">
      <c r="A13" s="52">
        <v>105</v>
      </c>
      <c r="B13" s="52" t="s">
        <v>92</v>
      </c>
      <c r="C13" s="52">
        <f>VLOOKUP(Table16[[#This Row],[Movie_id]],'DAY 14'!$L$8:$N$18,2)</f>
        <v>250</v>
      </c>
      <c r="D13" s="52">
        <f>VLOOKUP(Table16[[#This Row],[Movie_id]],'DAY 14'!$L$8:$N$18,2,FALSE)</f>
        <v>250</v>
      </c>
      <c r="E13" s="52">
        <f>INDEX('DAY 14'!$M$9:$M$18,MATCH(A13,'DAY 14'!$L$9:$L$18,0))</f>
        <v>250</v>
      </c>
      <c r="F13" s="73">
        <f t="shared" si="0"/>
        <v>1</v>
      </c>
      <c r="L13" s="41">
        <v>108</v>
      </c>
      <c r="M13" s="42">
        <v>550</v>
      </c>
      <c r="N13" s="43">
        <v>4000</v>
      </c>
    </row>
    <row r="14" spans="1:14" ht="16">
      <c r="A14" s="52">
        <v>106</v>
      </c>
      <c r="B14" s="52" t="s">
        <v>93</v>
      </c>
      <c r="C14" s="52">
        <f>VLOOKUP(Table16[[#This Row],[Movie_id]],'DAY 14'!$L$8:$N$18,2)</f>
        <v>0</v>
      </c>
      <c r="D14" s="52">
        <f>VLOOKUP(Table16[[#This Row],[Movie_id]],'DAY 14'!$L$8:$N$18,2,FALSE)</f>
        <v>0</v>
      </c>
      <c r="E14" s="52">
        <f>INDEX('DAY 14'!$M$9:$M$18,MATCH(A14,'DAY 14'!$L$9:$L$18,0))</f>
        <v>0</v>
      </c>
      <c r="F14" s="73">
        <f t="shared" si="0"/>
        <v>1</v>
      </c>
      <c r="L14" s="44">
        <v>109</v>
      </c>
      <c r="M14" s="45">
        <v>390</v>
      </c>
      <c r="N14" s="46">
        <v>1360</v>
      </c>
    </row>
    <row r="15" spans="1:14" ht="16">
      <c r="A15" s="52">
        <v>107</v>
      </c>
      <c r="B15" s="52" t="s">
        <v>95</v>
      </c>
      <c r="C15" s="52">
        <f>VLOOKUP(Table16[[#This Row],[Movie_id]],'DAY 14'!$L$8:$N$18,2)</f>
        <v>0</v>
      </c>
      <c r="D15" s="52">
        <f>VLOOKUP(Table16[[#This Row],[Movie_id]],'DAY 14'!$L$8:$N$18,2,FALSE)</f>
        <v>400</v>
      </c>
      <c r="E15" s="52">
        <f>INDEX('DAY 14'!$M$9:$M$18,MATCH(A15,'DAY 14'!$L$9:$L$18,0))</f>
        <v>400</v>
      </c>
      <c r="F15" s="73">
        <f t="shared" si="0"/>
        <v>-1</v>
      </c>
      <c r="H15" s="72"/>
      <c r="L15" s="41">
        <v>110</v>
      </c>
      <c r="M15" s="42">
        <v>1</v>
      </c>
      <c r="N15" s="43">
        <v>3.5</v>
      </c>
    </row>
    <row r="16" spans="1:14" ht="16">
      <c r="A16" s="52">
        <v>108</v>
      </c>
      <c r="B16" s="52" t="s">
        <v>97</v>
      </c>
      <c r="C16" s="52">
        <f>VLOOKUP(Table16[[#This Row],[Movie_id]],'DAY 14'!$L$8:$N$18,2)</f>
        <v>550</v>
      </c>
      <c r="D16" s="52">
        <f>VLOOKUP(Table16[[#This Row],[Movie_id]],'DAY 14'!$L$8:$N$18,2,FALSE)</f>
        <v>550</v>
      </c>
      <c r="E16" s="52">
        <f>INDEX('DAY 14'!$M$9:$M$18,MATCH(A16,'DAY 14'!$L$9:$L$18,0))</f>
        <v>550</v>
      </c>
      <c r="F16" s="73">
        <f t="shared" si="0"/>
        <v>1</v>
      </c>
      <c r="L16" s="44">
        <v>104</v>
      </c>
      <c r="M16" s="45">
        <v>180</v>
      </c>
      <c r="N16" s="46">
        <v>854</v>
      </c>
    </row>
    <row r="17" spans="1:14" ht="16">
      <c r="A17" s="52">
        <v>109</v>
      </c>
      <c r="B17" s="52" t="s">
        <v>99</v>
      </c>
      <c r="C17" s="52">
        <f>VLOOKUP(Table16[[#This Row],[Movie_id]],'DAY 14'!$L$8:$N$18,2)</f>
        <v>1</v>
      </c>
      <c r="D17" s="52">
        <f>VLOOKUP(Table16[[#This Row],[Movie_id]],'DAY 14'!$L$8:$N$18,2,FALSE)</f>
        <v>390</v>
      </c>
      <c r="E17" s="52">
        <f>INDEX('DAY 14'!$M$9:$M$18,MATCH(A17,'DAY 14'!$L$9:$L$18,0))</f>
        <v>390</v>
      </c>
      <c r="F17" s="73">
        <f t="shared" si="0"/>
        <v>-1</v>
      </c>
      <c r="L17" s="41">
        <v>107</v>
      </c>
      <c r="M17" s="42">
        <v>400</v>
      </c>
      <c r="N17" s="43">
        <v>2000</v>
      </c>
    </row>
    <row r="18" spans="1:14" ht="16">
      <c r="A18" s="52">
        <v>110</v>
      </c>
      <c r="B18" s="52" t="s">
        <v>101</v>
      </c>
      <c r="C18" s="52">
        <f>VLOOKUP(Table16[[#This Row],[Movie_id]],'DAY 14'!$L$8:$N$18,2)</f>
        <v>1</v>
      </c>
      <c r="D18" s="52">
        <f>VLOOKUP(Table16[[#This Row],[Movie_id]],'DAY 14'!$L$8:$N$18,2,FALSE)</f>
        <v>1</v>
      </c>
      <c r="E18" s="52">
        <f>INDEX('DAY 14'!$M$9:$M$18,MATCH(A18,'DAY 14'!$L$9:$L$18,0))</f>
        <v>1</v>
      </c>
      <c r="F18" s="73">
        <f t="shared" si="0"/>
        <v>1</v>
      </c>
      <c r="L18" s="38">
        <v>101</v>
      </c>
      <c r="M18" s="13">
        <v>1</v>
      </c>
      <c r="N18" s="39">
        <v>12.5</v>
      </c>
    </row>
  </sheetData>
  <mergeCells count="2">
    <mergeCell ref="A1:N2"/>
    <mergeCell ref="A3:B3"/>
  </mergeCells>
  <conditionalFormatting sqref="F9:F1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4AD5-E0AC-47AD-AB44-1927CE961E31}">
  <dimension ref="A1:S15"/>
  <sheetViews>
    <sheetView showGridLines="0" workbookViewId="0">
      <selection activeCell="A5" sqref="A5"/>
    </sheetView>
  </sheetViews>
  <sheetFormatPr defaultRowHeight="14.5"/>
  <cols>
    <col min="10" max="10" width="13.7265625" customWidth="1"/>
    <col min="11" max="11" width="7.81640625" customWidth="1"/>
    <col min="17" max="17" width="14.36328125" customWidth="1"/>
  </cols>
  <sheetData>
    <row r="1" spans="1:19" ht="23.5" customHeight="1">
      <c r="A1" s="115" t="s">
        <v>390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19" ht="23.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</row>
    <row r="3" spans="1:19" ht="15" thickBot="1"/>
    <row r="4" spans="1:19" ht="21">
      <c r="A4" s="102" t="s">
        <v>358</v>
      </c>
      <c r="B4" s="103"/>
      <c r="C4" s="103"/>
      <c r="D4" s="103"/>
      <c r="E4" s="104"/>
      <c r="F4" s="103" t="s">
        <v>359</v>
      </c>
      <c r="G4" s="103"/>
      <c r="H4" s="103"/>
      <c r="I4" s="103"/>
      <c r="J4" s="103"/>
      <c r="K4" s="96" t="s">
        <v>360</v>
      </c>
      <c r="L4" s="97"/>
      <c r="M4" s="97"/>
      <c r="N4" s="97"/>
      <c r="O4" s="97"/>
      <c r="P4" s="97"/>
      <c r="Q4" s="116"/>
    </row>
    <row r="5" spans="1:19" ht="18.5">
      <c r="A5" s="109" t="s">
        <v>369</v>
      </c>
      <c r="B5" s="107"/>
      <c r="C5" s="107"/>
      <c r="D5" s="107"/>
      <c r="E5" s="105"/>
      <c r="F5" s="108" t="s">
        <v>378</v>
      </c>
      <c r="G5" s="108"/>
      <c r="H5" s="108"/>
      <c r="I5" s="108"/>
      <c r="J5" s="108"/>
      <c r="K5" s="117"/>
      <c r="L5" s="108" t="s">
        <v>387</v>
      </c>
      <c r="M5" s="108"/>
      <c r="N5" s="108"/>
      <c r="O5" s="108"/>
      <c r="P5" s="108"/>
      <c r="Q5" s="106"/>
    </row>
    <row r="6" spans="1:19" ht="18.5">
      <c r="A6" s="109" t="s">
        <v>368</v>
      </c>
      <c r="B6" s="107"/>
      <c r="C6" s="107"/>
      <c r="D6" s="107"/>
      <c r="E6" s="105"/>
      <c r="F6" s="108" t="s">
        <v>377</v>
      </c>
      <c r="G6" s="108"/>
      <c r="H6" s="108"/>
      <c r="I6" s="108"/>
      <c r="J6" s="108"/>
      <c r="K6" s="117"/>
      <c r="L6" s="108" t="s">
        <v>386</v>
      </c>
      <c r="M6" s="108"/>
      <c r="N6" s="108"/>
      <c r="O6" s="108"/>
      <c r="P6" s="108"/>
      <c r="Q6" s="106"/>
    </row>
    <row r="7" spans="1:19" ht="18.5">
      <c r="A7" s="109" t="s">
        <v>367</v>
      </c>
      <c r="B7" s="107"/>
      <c r="C7" s="107"/>
      <c r="D7" s="107"/>
      <c r="E7" s="105"/>
      <c r="F7" s="108" t="s">
        <v>376</v>
      </c>
      <c r="G7" s="108"/>
      <c r="H7" s="108"/>
      <c r="I7" s="108"/>
      <c r="J7" s="108"/>
      <c r="K7" s="117"/>
      <c r="L7" s="108" t="s">
        <v>385</v>
      </c>
      <c r="M7" s="108"/>
      <c r="N7" s="108"/>
      <c r="O7" s="108"/>
      <c r="P7" s="108"/>
      <c r="Q7" s="106"/>
    </row>
    <row r="8" spans="1:19" ht="18.5">
      <c r="A8" s="109" t="s">
        <v>366</v>
      </c>
      <c r="B8" s="107"/>
      <c r="C8" s="107"/>
      <c r="D8" s="107"/>
      <c r="E8" s="105"/>
      <c r="F8" s="108" t="s">
        <v>375</v>
      </c>
      <c r="G8" s="108"/>
      <c r="H8" s="108"/>
      <c r="I8" s="108"/>
      <c r="J8" s="108"/>
      <c r="K8" s="117"/>
      <c r="L8" s="108" t="s">
        <v>384</v>
      </c>
      <c r="M8" s="108"/>
      <c r="N8" s="108"/>
      <c r="O8" s="108"/>
      <c r="P8" s="108"/>
      <c r="Q8" s="106"/>
    </row>
    <row r="9" spans="1:19" ht="18.5">
      <c r="A9" s="109" t="s">
        <v>365</v>
      </c>
      <c r="B9" s="107"/>
      <c r="C9" s="107"/>
      <c r="D9" s="107"/>
      <c r="E9" s="105"/>
      <c r="F9" s="108" t="s">
        <v>374</v>
      </c>
      <c r="G9" s="108"/>
      <c r="H9" s="108"/>
      <c r="I9" s="108"/>
      <c r="J9" s="108"/>
      <c r="K9" s="117"/>
      <c r="L9" s="108" t="s">
        <v>383</v>
      </c>
      <c r="M9" s="108"/>
      <c r="N9" s="108"/>
      <c r="O9" s="108"/>
      <c r="P9" s="108"/>
      <c r="Q9" s="106"/>
    </row>
    <row r="10" spans="1:19" ht="18.5">
      <c r="A10" s="109" t="s">
        <v>364</v>
      </c>
      <c r="B10" s="107"/>
      <c r="C10" s="107"/>
      <c r="D10" s="107"/>
      <c r="E10" s="105"/>
      <c r="F10" s="108" t="s">
        <v>373</v>
      </c>
      <c r="G10" s="108"/>
      <c r="H10" s="108"/>
      <c r="I10" s="108"/>
      <c r="J10" s="108"/>
      <c r="K10" s="117"/>
      <c r="L10" s="108" t="s">
        <v>389</v>
      </c>
      <c r="M10" s="108"/>
      <c r="N10" s="108"/>
      <c r="O10" s="108"/>
      <c r="P10" s="108"/>
      <c r="Q10" s="106"/>
    </row>
    <row r="11" spans="1:19" ht="18.5">
      <c r="A11" s="109" t="s">
        <v>363</v>
      </c>
      <c r="B11" s="107"/>
      <c r="C11" s="107"/>
      <c r="D11" s="107"/>
      <c r="E11" s="105"/>
      <c r="F11" s="108" t="s">
        <v>372</v>
      </c>
      <c r="G11" s="108"/>
      <c r="H11" s="108"/>
      <c r="I11" s="108"/>
      <c r="J11" s="108"/>
      <c r="K11" s="117"/>
      <c r="L11" s="108" t="s">
        <v>382</v>
      </c>
      <c r="M11" s="108"/>
      <c r="N11" s="108"/>
      <c r="O11" s="108"/>
      <c r="P11" s="108"/>
      <c r="Q11" s="106"/>
    </row>
    <row r="12" spans="1:19" ht="18.5">
      <c r="A12" s="109"/>
      <c r="B12" s="107"/>
      <c r="C12" s="107"/>
      <c r="D12" s="107"/>
      <c r="E12" s="105"/>
      <c r="F12" s="108" t="s">
        <v>371</v>
      </c>
      <c r="G12" s="108"/>
      <c r="H12" s="108"/>
      <c r="I12" s="108"/>
      <c r="J12" s="108"/>
      <c r="K12" s="117"/>
      <c r="L12" s="108" t="s">
        <v>381</v>
      </c>
      <c r="M12" s="108"/>
      <c r="N12" s="108"/>
      <c r="O12" s="108"/>
      <c r="P12" s="108"/>
      <c r="Q12" s="106"/>
    </row>
    <row r="13" spans="1:19" ht="18.5">
      <c r="A13" s="109" t="s">
        <v>362</v>
      </c>
      <c r="B13" s="107"/>
      <c r="C13" s="107"/>
      <c r="D13" s="107"/>
      <c r="E13" s="105"/>
      <c r="F13" s="108" t="s">
        <v>370</v>
      </c>
      <c r="G13" s="108"/>
      <c r="H13" s="108"/>
      <c r="I13" s="108"/>
      <c r="J13" s="108"/>
      <c r="K13" s="117"/>
      <c r="L13" s="108" t="s">
        <v>380</v>
      </c>
      <c r="M13" s="108"/>
      <c r="N13" s="108"/>
      <c r="O13" s="108"/>
      <c r="P13" s="108"/>
      <c r="Q13" s="106"/>
    </row>
    <row r="14" spans="1:19" ht="19" thickBot="1">
      <c r="A14" s="110" t="s">
        <v>361</v>
      </c>
      <c r="B14" s="111"/>
      <c r="C14" s="111"/>
      <c r="D14" s="111"/>
      <c r="E14" s="112"/>
      <c r="F14" s="113" t="s">
        <v>388</v>
      </c>
      <c r="G14" s="113"/>
      <c r="H14" s="113"/>
      <c r="I14" s="113"/>
      <c r="J14" s="113"/>
      <c r="K14" s="118"/>
      <c r="L14" s="119" t="s">
        <v>379</v>
      </c>
      <c r="M14" s="119"/>
      <c r="N14" s="119"/>
      <c r="O14" s="119"/>
      <c r="P14" s="119"/>
      <c r="Q14" s="120"/>
    </row>
    <row r="15" spans="1:19" ht="18.5">
      <c r="A15" s="101"/>
      <c r="B15" s="101"/>
      <c r="C15" s="101"/>
      <c r="D15" s="101"/>
      <c r="E15" s="101"/>
    </row>
  </sheetData>
  <mergeCells count="4">
    <mergeCell ref="A1:S2"/>
    <mergeCell ref="A4:E4"/>
    <mergeCell ref="F4:J4"/>
    <mergeCell ref="K4:Q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1D075E4B-59A3-4FF8-A6F3-2A183D32BE54}">
  <ds:schemaRefs/>
</ds:datastoreItem>
</file>

<file path=customXml/itemProps2.xml><?xml version="1.0" encoding="utf-8"?>
<ds:datastoreItem xmlns:ds="http://schemas.openxmlformats.org/officeDocument/2006/customXml" ds:itemID="{160268DE-9C5D-4FA1-A2FE-7602D8E25445}">
  <ds:schemaRefs/>
</ds:datastoreItem>
</file>

<file path=customXml/itemProps3.xml><?xml version="1.0" encoding="utf-8"?>
<ds:datastoreItem xmlns:ds="http://schemas.openxmlformats.org/officeDocument/2006/customXml" ds:itemID="{0F71CEBF-79B7-4A0C-85EF-2C10F777B7D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2E55526-4184-4DE1-88B5-8FD4046EF360}">
  <ds:schemaRefs/>
</ds:datastoreItem>
</file>

<file path=customXml/itemProps5.xml><?xml version="1.0" encoding="utf-8"?>
<ds:datastoreItem xmlns:ds="http://schemas.openxmlformats.org/officeDocument/2006/customXml" ds:itemID="{F32E93D5-6039-419F-881F-BE756132A8B0}">
  <ds:schemaRefs/>
</ds:datastoreItem>
</file>

<file path=customXml/itemProps6.xml><?xml version="1.0" encoding="utf-8"?>
<ds:datastoreItem xmlns:ds="http://schemas.openxmlformats.org/officeDocument/2006/customXml" ds:itemID="{7B93E5F4-61D9-4B02-9045-DFABEE141A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9</vt:i4>
      </vt:variant>
    </vt:vector>
  </HeadingPairs>
  <TitlesOfParts>
    <vt:vector size="34" baseType="lpstr">
      <vt:lpstr>Source</vt:lpstr>
      <vt:lpstr>Financials (2)</vt:lpstr>
      <vt:lpstr>financials</vt:lpstr>
      <vt:lpstr>release_date</vt:lpstr>
      <vt:lpstr>DAY 1</vt:lpstr>
      <vt:lpstr>DAY 2</vt:lpstr>
      <vt:lpstr>DAY 3</vt:lpstr>
      <vt:lpstr>DAY 4</vt:lpstr>
      <vt:lpstr>DAY 5</vt:lpstr>
      <vt:lpstr>Day5 pivot table 1</vt:lpstr>
      <vt:lpstr>Day5 pivot table 2</vt:lpstr>
      <vt:lpstr>Day 6 pivot table 1</vt:lpstr>
      <vt:lpstr>Day 6 pivot table 2</vt:lpstr>
      <vt:lpstr>Day 6 pivot table 3</vt:lpstr>
      <vt:lpstr>DAY 7</vt:lpstr>
      <vt:lpstr>DAY 8</vt:lpstr>
      <vt:lpstr>DAY 9</vt:lpstr>
      <vt:lpstr>Day 10 power query editor</vt:lpstr>
      <vt:lpstr>DAY 10</vt:lpstr>
      <vt:lpstr>DAY 11</vt:lpstr>
      <vt:lpstr>DAY 12</vt:lpstr>
      <vt:lpstr>Source_lists</vt:lpstr>
      <vt:lpstr>DAY 13</vt:lpstr>
      <vt:lpstr>DAY 14</vt:lpstr>
      <vt:lpstr>DAY 15</vt:lpstr>
      <vt:lpstr>Bollywood</vt:lpstr>
      <vt:lpstr>data</vt:lpstr>
      <vt:lpstr>Hollywood</vt:lpstr>
      <vt:lpstr>Marvel_studios</vt:lpstr>
      <vt:lpstr>'DAY 5'!release_date</vt:lpstr>
      <vt:lpstr>'Day 6 pivot table 2'!release_date</vt:lpstr>
      <vt:lpstr>'Day 6 pivot table 3'!release_date</vt:lpstr>
      <vt:lpstr>release_date</vt:lpstr>
      <vt:lpstr>Vinod_Chopra_Films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Jayalalitha Tandra</dc:creator>
  <cp:lastModifiedBy>Jayalalitha Tandra</cp:lastModifiedBy>
  <dcterms:created xsi:type="dcterms:W3CDTF">2026-07-05T10:16:58Z</dcterms:created>
  <dcterms:modified xsi:type="dcterms:W3CDTF">2026-07-20T10:47:46Z</dcterms:modified>
</cp:coreProperties>
</file>