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0-108\Desktop\MondayClass\Document\"/>
    </mc:Choice>
  </mc:AlternateContent>
  <bookViews>
    <workbookView minimized="1" xWindow="0" yWindow="0" windowWidth="28800" windowHeight="12285" activeTab="2"/>
  </bookViews>
  <sheets>
    <sheet name="스킬계수" sheetId="1" r:id="rId1"/>
    <sheet name="버프 테스트" sheetId="3" r:id="rId2"/>
    <sheet name="몬스터 대미지 밸런스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1" l="1"/>
  <c r="AA23" i="2" l="1"/>
  <c r="T17" i="2"/>
  <c r="V13" i="2"/>
  <c r="U13" i="2"/>
  <c r="T13" i="2"/>
  <c r="V9" i="2"/>
  <c r="D5" i="2" s="1"/>
  <c r="U9" i="2"/>
  <c r="C5" i="2" s="1"/>
  <c r="T9" i="2"/>
  <c r="B5" i="2" s="1"/>
  <c r="F7" i="2" s="1"/>
  <c r="K11" i="2"/>
  <c r="F32" i="2"/>
  <c r="F27" i="2"/>
  <c r="F22" i="2"/>
  <c r="J18" i="3" l="1"/>
  <c r="B12" i="3"/>
  <c r="D8" i="3"/>
  <c r="C8" i="3"/>
  <c r="B8" i="3"/>
  <c r="D4" i="3"/>
  <c r="C4" i="3"/>
  <c r="B4" i="3"/>
  <c r="K17" i="1"/>
  <c r="K18" i="1"/>
  <c r="K19" i="1"/>
  <c r="K20" i="1"/>
  <c r="L26" i="2"/>
  <c r="K26" i="2"/>
  <c r="N26" i="2"/>
  <c r="M26" i="2"/>
  <c r="N21" i="2"/>
  <c r="M21" i="2"/>
  <c r="L21" i="2"/>
  <c r="K21" i="2"/>
  <c r="N16" i="2"/>
  <c r="M16" i="2"/>
  <c r="L16" i="2"/>
  <c r="K16" i="2"/>
  <c r="K31" i="2"/>
  <c r="L31" i="2"/>
  <c r="D16" i="1"/>
  <c r="C16" i="1"/>
  <c r="E16" i="1" s="1"/>
  <c r="O16" i="2" l="1"/>
  <c r="O21" i="2"/>
  <c r="O26" i="2"/>
  <c r="C12" i="1"/>
  <c r="D12" i="1" s="1"/>
  <c r="D8" i="1"/>
  <c r="C8" i="1"/>
  <c r="E5" i="2"/>
  <c r="C4" i="1"/>
  <c r="E4" i="1" s="1"/>
  <c r="F5" i="2" l="1"/>
  <c r="F9" i="2" s="1"/>
  <c r="F8" i="1"/>
  <c r="E12" i="1"/>
  <c r="F12" i="1"/>
  <c r="G4" i="1"/>
  <c r="D4" i="1"/>
  <c r="H4" i="1"/>
  <c r="G12" i="1"/>
  <c r="F4" i="1"/>
</calcChain>
</file>

<file path=xl/sharedStrings.xml><?xml version="1.0" encoding="utf-8"?>
<sst xmlns="http://schemas.openxmlformats.org/spreadsheetml/2006/main" count="178" uniqueCount="107">
  <si>
    <t>스킬 계수</t>
    <phoneticPr fontId="2" type="noConversion"/>
  </si>
  <si>
    <t>1번 스킬</t>
    <phoneticPr fontId="2" type="noConversion"/>
  </si>
  <si>
    <t>2번 스킬</t>
    <phoneticPr fontId="2" type="noConversion"/>
  </si>
  <si>
    <t>3번 스킬</t>
    <phoneticPr fontId="2" type="noConversion"/>
  </si>
  <si>
    <t>캐릭터 공격력</t>
    <phoneticPr fontId="2" type="noConversion"/>
  </si>
  <si>
    <t>공격력:</t>
    <phoneticPr fontId="2" type="noConversion"/>
  </si>
  <si>
    <t>탄당 대미지:</t>
    <phoneticPr fontId="2" type="noConversion"/>
  </si>
  <si>
    <t>타당 대미지:</t>
    <phoneticPr fontId="2" type="noConversion"/>
  </si>
  <si>
    <t>대미지 계수(120%)</t>
    <phoneticPr fontId="2" type="noConversion"/>
  </si>
  <si>
    <t>캐릭터 체력</t>
    <phoneticPr fontId="2" type="noConversion"/>
  </si>
  <si>
    <t>공격력</t>
    <phoneticPr fontId="2" type="noConversion"/>
  </si>
  <si>
    <t>방어력</t>
    <phoneticPr fontId="2" type="noConversion"/>
  </si>
  <si>
    <t>몬스터 체력</t>
    <phoneticPr fontId="2" type="noConversion"/>
  </si>
  <si>
    <t>몬스터_레드헷</t>
    <phoneticPr fontId="2" type="noConversion"/>
  </si>
  <si>
    <t>공격력_1</t>
    <phoneticPr fontId="2" type="noConversion"/>
  </si>
  <si>
    <t>공격력_1</t>
    <phoneticPr fontId="2" type="noConversion"/>
  </si>
  <si>
    <t>공격력_2</t>
  </si>
  <si>
    <t>몬스터_맥</t>
    <phoneticPr fontId="2" type="noConversion"/>
  </si>
  <si>
    <t>몬스터_티버</t>
    <phoneticPr fontId="2" type="noConversion"/>
  </si>
  <si>
    <t>아이템</t>
    <phoneticPr fontId="2" type="noConversion"/>
  </si>
  <si>
    <t>회복</t>
    <phoneticPr fontId="2" type="noConversion"/>
  </si>
  <si>
    <t>캐릭터 체력</t>
    <phoneticPr fontId="2" type="noConversion"/>
  </si>
  <si>
    <t>타격당한 횟수</t>
    <phoneticPr fontId="2" type="noConversion"/>
  </si>
  <si>
    <t>스테이지</t>
    <phoneticPr fontId="2" type="noConversion"/>
  </si>
  <si>
    <t>타격 받은 횟수</t>
    <phoneticPr fontId="2" type="noConversion"/>
  </si>
  <si>
    <t>아이템은 0.5(스테이지 두번당 한번씩 회복 기준)</t>
    <phoneticPr fontId="2" type="noConversion"/>
  </si>
  <si>
    <t>맥의 타격은 1.5     스킬1은 2번 스킬2는 1번</t>
    <phoneticPr fontId="2" type="noConversion"/>
  </si>
  <si>
    <t>티버는 0.3     스킬1은 1번   스킬2는 1번</t>
    <phoneticPr fontId="2" type="noConversion"/>
  </si>
  <si>
    <t>레드 헷의 총 대미지</t>
    <phoneticPr fontId="2" type="noConversion"/>
  </si>
  <si>
    <t>맥의 총 대미지</t>
    <phoneticPr fontId="2" type="noConversion"/>
  </si>
  <si>
    <t>티버의 총 대미지</t>
    <phoneticPr fontId="2" type="noConversion"/>
  </si>
  <si>
    <t>스테이지당 N회 타격당했을때 총 대미지</t>
    <phoneticPr fontId="2" type="noConversion"/>
  </si>
  <si>
    <t>모든 스테이지진행시 체력</t>
    <phoneticPr fontId="2" type="noConversion"/>
  </si>
  <si>
    <t>예상 체력</t>
    <phoneticPr fontId="2" type="noConversion"/>
  </si>
  <si>
    <t>대미지 계수(10%)</t>
    <phoneticPr fontId="2" type="noConversion"/>
  </si>
  <si>
    <t>1발</t>
    <phoneticPr fontId="2" type="noConversion"/>
  </si>
  <si>
    <t>2발</t>
  </si>
  <si>
    <t>3발</t>
  </si>
  <si>
    <t>4발</t>
  </si>
  <si>
    <t>5발</t>
  </si>
  <si>
    <t>마지막 타격 계수(60%)</t>
    <phoneticPr fontId="2" type="noConversion"/>
  </si>
  <si>
    <t>총 대미지</t>
    <phoneticPr fontId="2" type="noConversion"/>
  </si>
  <si>
    <t>1초</t>
    <phoneticPr fontId="2" type="noConversion"/>
  </si>
  <si>
    <t>2초</t>
    <phoneticPr fontId="2" type="noConversion"/>
  </si>
  <si>
    <t>3초</t>
    <phoneticPr fontId="2" type="noConversion"/>
  </si>
  <si>
    <t>공격력 증가</t>
    <phoneticPr fontId="2" type="noConversion"/>
  </si>
  <si>
    <t>계수 증가</t>
    <phoneticPr fontId="2" type="noConversion"/>
  </si>
  <si>
    <t>횟수당 증가량</t>
    <phoneticPr fontId="2" type="noConversion"/>
  </si>
  <si>
    <t>공격력 : 5</t>
    <phoneticPr fontId="2" type="noConversion"/>
  </si>
  <si>
    <t>스킬 총 대미지</t>
    <phoneticPr fontId="2" type="noConversion"/>
  </si>
  <si>
    <t>스킬1</t>
    <phoneticPr fontId="2" type="noConversion"/>
  </si>
  <si>
    <t>스킬2</t>
    <phoneticPr fontId="2" type="noConversion"/>
  </si>
  <si>
    <t>스킬3</t>
    <phoneticPr fontId="2" type="noConversion"/>
  </si>
  <si>
    <t>총 최대 대미지</t>
    <phoneticPr fontId="2" type="noConversion"/>
  </si>
  <si>
    <t>계수 : 20%</t>
    <phoneticPr fontId="2" type="noConversion"/>
  </si>
  <si>
    <t>4번 스킬</t>
    <phoneticPr fontId="2" type="noConversion"/>
  </si>
  <si>
    <t>대미지 계수(40%)</t>
    <phoneticPr fontId="2" type="noConversion"/>
  </si>
  <si>
    <t>대미지 계수(25%)</t>
    <phoneticPr fontId="2" type="noConversion"/>
  </si>
  <si>
    <t>스킬4[궁극기]</t>
    <phoneticPr fontId="2" type="noConversion"/>
  </si>
  <si>
    <t>리리스</t>
    <phoneticPr fontId="2" type="noConversion"/>
  </si>
  <si>
    <t>보스 체력</t>
    <phoneticPr fontId="2" type="noConversion"/>
  </si>
  <si>
    <t>공격력</t>
    <phoneticPr fontId="2" type="noConversion"/>
  </si>
  <si>
    <t>패턴1 대미지</t>
    <phoneticPr fontId="2" type="noConversion"/>
  </si>
  <si>
    <t>패턴2 대미지</t>
    <phoneticPr fontId="2" type="noConversion"/>
  </si>
  <si>
    <t>패턴3 대미지</t>
    <phoneticPr fontId="2" type="noConversion"/>
  </si>
  <si>
    <t>패턴4 대미지</t>
    <phoneticPr fontId="2" type="noConversion"/>
  </si>
  <si>
    <t>패턴5 대미지</t>
    <phoneticPr fontId="2" type="noConversion"/>
  </si>
  <si>
    <t>보스 계수 필요</t>
    <phoneticPr fontId="2" type="noConversion"/>
  </si>
  <si>
    <t>스테이지당 체력 500+, 공격력 5 증가</t>
    <phoneticPr fontId="2" type="noConversion"/>
  </si>
  <si>
    <t>스테이지당 체력5+, 공격력1 1.5+, 공격력2 3+, 스테이지 2당 방어력1+</t>
    <phoneticPr fontId="2" type="noConversion"/>
  </si>
  <si>
    <t>스테이지당 체력62.5+, 공격력1 5+, 공격력2 1.5+, 스테이지 당 방어력2+</t>
    <phoneticPr fontId="2" type="noConversion"/>
  </si>
  <si>
    <t>마무리 공격(4000%)</t>
    <phoneticPr fontId="2" type="noConversion"/>
  </si>
  <si>
    <t>명칭</t>
    <phoneticPr fontId="2" type="noConversion"/>
  </si>
  <si>
    <t>공격력 증가</t>
    <phoneticPr fontId="2" type="noConversion"/>
  </si>
  <si>
    <t>방어력 증가</t>
    <phoneticPr fontId="2" type="noConversion"/>
  </si>
  <si>
    <t>변신 회복율</t>
    <phoneticPr fontId="2" type="noConversion"/>
  </si>
  <si>
    <t xml:space="preserve">스킬 쿨타임 </t>
    <phoneticPr fontId="2" type="noConversion"/>
  </si>
  <si>
    <t>스킬 계수 증가</t>
    <phoneticPr fontId="2" type="noConversion"/>
  </si>
  <si>
    <t>생명력 최대치 증가</t>
    <phoneticPr fontId="2" type="noConversion"/>
  </si>
  <si>
    <t>보상 리스트</t>
    <phoneticPr fontId="2" type="noConversion"/>
  </si>
  <si>
    <t>변신 게이지 추가</t>
    <phoneticPr fontId="2" type="noConversion"/>
  </si>
  <si>
    <t xml:space="preserve"> - 회복형</t>
    <phoneticPr fontId="2" type="noConversion"/>
  </si>
  <si>
    <t xml:space="preserve"> - 버프형</t>
    <phoneticPr fontId="2" type="noConversion"/>
  </si>
  <si>
    <t>캐릭터 능력히</t>
    <phoneticPr fontId="2" type="noConversion"/>
  </si>
  <si>
    <t>1당 수치</t>
    <phoneticPr fontId="2" type="noConversion"/>
  </si>
  <si>
    <t>1당 수치</t>
    <phoneticPr fontId="2" type="noConversion"/>
  </si>
  <si>
    <t>버프 적용 양</t>
    <phoneticPr fontId="2" type="noConversion"/>
  </si>
  <si>
    <t>스킬1</t>
    <phoneticPr fontId="2" type="noConversion"/>
  </si>
  <si>
    <t>스킬2</t>
    <phoneticPr fontId="2" type="noConversion"/>
  </si>
  <si>
    <t>스킬3</t>
    <phoneticPr fontId="2" type="noConversion"/>
  </si>
  <si>
    <t>스킬 쿨타임</t>
    <phoneticPr fontId="2" type="noConversion"/>
  </si>
  <si>
    <t>변신 회복율</t>
    <phoneticPr fontId="2" type="noConversion"/>
  </si>
  <si>
    <t>최대 16개만 되어야함</t>
    <phoneticPr fontId="2" type="noConversion"/>
  </si>
  <si>
    <t>총 적용 버프 양</t>
    <phoneticPr fontId="2" type="noConversion"/>
  </si>
  <si>
    <t>레드헷의 타격은 1  스킬1은 전체중 1번 스킬2은 1번</t>
    <phoneticPr fontId="2" type="noConversion"/>
  </si>
  <si>
    <t>타격 횟수 계산</t>
    <phoneticPr fontId="2" type="noConversion"/>
  </si>
  <si>
    <t>벼프 중첩 횟수</t>
    <phoneticPr fontId="2" type="noConversion"/>
  </si>
  <si>
    <t xml:space="preserve"> - 스테이지 진행에 따른 적들 강화 테스트</t>
    <phoneticPr fontId="2" type="noConversion"/>
  </si>
  <si>
    <t>몬스터 기본 스팩</t>
    <phoneticPr fontId="2" type="noConversion"/>
  </si>
  <si>
    <t>유저의 학습, 강화 효과[버프, 실드] 예상으로 전체 스테이지 횟수 /2.5로 계산</t>
    <phoneticPr fontId="2" type="noConversion"/>
  </si>
  <si>
    <t>보스전 전 까지 유저 체력 예상</t>
    <phoneticPr fontId="2" type="noConversion"/>
  </si>
  <si>
    <t>" = (총공격-(방어력*타격 받은 횟수))"</t>
    <phoneticPr fontId="2" type="noConversion"/>
  </si>
  <si>
    <t>" = (캐릭터 체력+(회복양/(스테이지 진행 양/1)))"</t>
  </si>
  <si>
    <t>타수 마다 방어력만큼 감소시켜 적용</t>
    <phoneticPr fontId="2" type="noConversion"/>
  </si>
  <si>
    <t>스테이지 진행2회마다 회복 받는다는 가정으로 적용</t>
    <phoneticPr fontId="2" type="noConversion"/>
  </si>
  <si>
    <t>"= 예상 체력-(총 타격 대미지*(진행 스테이지/2.5))</t>
    <phoneticPr fontId="2" type="noConversion"/>
  </si>
  <si>
    <t>스테이지당 체력7+, 공격력1 1+ 공격력2 2+, 스테이지 2당 방어력1+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</si>
</sst>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1" fillId="2" borderId="1" xfId="0" applyFont="1" applyFill="1" applyBorder="1">
      <alignment vertical="center"/>
    </xf>
    <xf numFmtId="0" fontId="0" fillId="0" borderId="0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9" xfId="0" applyBorder="1">
      <alignment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>
      <alignment vertical="center"/>
    </xf>
    <xf numFmtId="0" fontId="1" fillId="2" borderId="31" xfId="0" applyFont="1" applyFill="1" applyBorder="1">
      <alignment vertical="center"/>
    </xf>
    <xf numFmtId="0" fontId="0" fillId="0" borderId="32" xfId="0" applyBorder="1">
      <alignment vertical="center"/>
    </xf>
    <xf numFmtId="0" fontId="1" fillId="2" borderId="32" xfId="0" applyFont="1" applyFill="1" applyBorder="1">
      <alignment vertical="center"/>
    </xf>
    <xf numFmtId="0" fontId="0" fillId="0" borderId="33" xfId="0" applyBorder="1">
      <alignment vertical="center"/>
    </xf>
    <xf numFmtId="0" fontId="3" fillId="2" borderId="6" xfId="0" applyFont="1" applyFill="1" applyBorder="1">
      <alignment vertical="center"/>
    </xf>
    <xf numFmtId="0" fontId="0" fillId="0" borderId="8" xfId="0" applyBorder="1">
      <alignment vertical="center"/>
    </xf>
    <xf numFmtId="0" fontId="0" fillId="0" borderId="30" xfId="0" applyFill="1" applyBorder="1" applyAlignment="1">
      <alignment horizontal="center" vertical="center"/>
    </xf>
    <xf numFmtId="0" fontId="0" fillId="0" borderId="30" xfId="0" applyBorder="1">
      <alignment vertical="center"/>
    </xf>
    <xf numFmtId="0" fontId="1" fillId="2" borderId="3" xfId="0" applyFont="1" applyFill="1" applyBorder="1">
      <alignment vertical="center"/>
    </xf>
    <xf numFmtId="0" fontId="0" fillId="0" borderId="12" xfId="0" applyBorder="1">
      <alignment vertical="center"/>
    </xf>
    <xf numFmtId="0" fontId="5" fillId="0" borderId="0" xfId="0" applyFo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9"/>
  <sheetViews>
    <sheetView showGridLines="0" workbookViewId="0">
      <selection activeCell="K28" sqref="K28"/>
    </sheetView>
  </sheetViews>
  <sheetFormatPr defaultRowHeight="16.5" x14ac:dyDescent="0.3"/>
  <cols>
    <col min="1" max="1" width="5.25" customWidth="1"/>
    <col min="2" max="2" width="11.75" customWidth="1"/>
    <col min="3" max="3" width="17.25" style="1" customWidth="1"/>
    <col min="4" max="4" width="19.25" customWidth="1"/>
    <col min="5" max="5" width="11" customWidth="1"/>
    <col min="6" max="6" width="11.625" customWidth="1"/>
    <col min="7" max="7" width="12.25" customWidth="1"/>
    <col min="10" max="10" width="13" customWidth="1"/>
    <col min="11" max="11" width="13.25" customWidth="1"/>
    <col min="12" max="12" width="10.5" customWidth="1"/>
    <col min="13" max="13" width="10.75" customWidth="1"/>
  </cols>
  <sheetData>
    <row r="1" spans="2:13" ht="39" x14ac:dyDescent="0.3">
      <c r="B1" s="45" t="s">
        <v>0</v>
      </c>
    </row>
    <row r="2" spans="2:13" ht="17.25" thickBot="1" x14ac:dyDescent="0.35"/>
    <row r="3" spans="2:13" x14ac:dyDescent="0.3">
      <c r="B3" s="14" t="s">
        <v>1</v>
      </c>
      <c r="C3" s="15" t="s">
        <v>8</v>
      </c>
      <c r="D3" s="15" t="s">
        <v>35</v>
      </c>
      <c r="E3" s="15" t="s">
        <v>36</v>
      </c>
      <c r="F3" s="15" t="s">
        <v>37</v>
      </c>
      <c r="G3" s="15" t="s">
        <v>38</v>
      </c>
      <c r="H3" s="30" t="s">
        <v>39</v>
      </c>
      <c r="J3" s="50" t="s">
        <v>4</v>
      </c>
      <c r="K3" s="51"/>
    </row>
    <row r="4" spans="2:13" ht="17.25" thickBot="1" x14ac:dyDescent="0.35">
      <c r="B4" s="31" t="s">
        <v>6</v>
      </c>
      <c r="C4" s="32">
        <f>$K$4*1.2</f>
        <v>36</v>
      </c>
      <c r="D4" s="32">
        <f>C4</f>
        <v>36</v>
      </c>
      <c r="E4" s="32">
        <f>C4*2</f>
        <v>72</v>
      </c>
      <c r="F4" s="32">
        <f>C4*3</f>
        <v>108</v>
      </c>
      <c r="G4" s="32">
        <f>C4*4</f>
        <v>144</v>
      </c>
      <c r="H4" s="33">
        <f>C4*5</f>
        <v>180</v>
      </c>
      <c r="J4" s="42" t="s">
        <v>5</v>
      </c>
      <c r="K4" s="34">
        <v>30</v>
      </c>
    </row>
    <row r="6" spans="2:13" ht="17.25" thickBot="1" x14ac:dyDescent="0.35"/>
    <row r="7" spans="2:13" x14ac:dyDescent="0.3">
      <c r="B7" s="43" t="s">
        <v>2</v>
      </c>
      <c r="C7" s="15" t="s">
        <v>34</v>
      </c>
      <c r="D7" s="53" t="s">
        <v>40</v>
      </c>
      <c r="E7" s="54"/>
      <c r="F7" s="57" t="s">
        <v>41</v>
      </c>
      <c r="G7" s="51"/>
    </row>
    <row r="8" spans="2:13" ht="17.25" thickBot="1" x14ac:dyDescent="0.35">
      <c r="B8" s="42" t="s">
        <v>7</v>
      </c>
      <c r="C8" s="32">
        <f>$K$4*0.1</f>
        <v>3</v>
      </c>
      <c r="D8" s="55">
        <f>K4*0.6</f>
        <v>18</v>
      </c>
      <c r="E8" s="56"/>
      <c r="F8" s="58">
        <f>(C8*5)+D8</f>
        <v>33</v>
      </c>
      <c r="G8" s="59"/>
    </row>
    <row r="9" spans="2:13" ht="17.25" thickBot="1" x14ac:dyDescent="0.35"/>
    <row r="10" spans="2:13" ht="17.25" thickBot="1" x14ac:dyDescent="0.35">
      <c r="J10" s="29" t="s">
        <v>96</v>
      </c>
    </row>
    <row r="11" spans="2:13" ht="17.25" thickBot="1" x14ac:dyDescent="0.35">
      <c r="B11" s="43" t="s">
        <v>3</v>
      </c>
      <c r="C11" s="15" t="s">
        <v>57</v>
      </c>
      <c r="D11" s="15" t="s">
        <v>42</v>
      </c>
      <c r="E11" s="15" t="s">
        <v>43</v>
      </c>
      <c r="F11" s="15" t="s">
        <v>44</v>
      </c>
      <c r="G11" s="39" t="s">
        <v>41</v>
      </c>
      <c r="J11" s="35" t="s">
        <v>45</v>
      </c>
      <c r="K11" s="36">
        <v>0</v>
      </c>
      <c r="L11" s="37" t="s">
        <v>46</v>
      </c>
      <c r="M11" s="38">
        <v>0</v>
      </c>
    </row>
    <row r="12" spans="2:13" ht="17.25" thickBot="1" x14ac:dyDescent="0.35">
      <c r="B12" s="42" t="s">
        <v>7</v>
      </c>
      <c r="C12" s="32">
        <f>$K$4*0.25</f>
        <v>7.5</v>
      </c>
      <c r="D12" s="44">
        <f>C12*10</f>
        <v>75</v>
      </c>
      <c r="E12" s="44">
        <f>C12*20</f>
        <v>150</v>
      </c>
      <c r="F12" s="44">
        <f>C12*30</f>
        <v>225</v>
      </c>
      <c r="G12" s="34">
        <f>C12*30</f>
        <v>225</v>
      </c>
      <c r="J12" t="s">
        <v>47</v>
      </c>
    </row>
    <row r="13" spans="2:13" x14ac:dyDescent="0.3">
      <c r="J13" s="52" t="s">
        <v>48</v>
      </c>
      <c r="K13" s="52"/>
    </row>
    <row r="14" spans="2:13" ht="17.25" thickBot="1" x14ac:dyDescent="0.35">
      <c r="J14" s="52" t="s">
        <v>54</v>
      </c>
      <c r="K14" s="52"/>
    </row>
    <row r="15" spans="2:13" ht="17.25" thickBot="1" x14ac:dyDescent="0.35">
      <c r="B15" s="43" t="s">
        <v>55</v>
      </c>
      <c r="C15" s="15" t="s">
        <v>56</v>
      </c>
      <c r="D15" s="15" t="s">
        <v>71</v>
      </c>
      <c r="E15" s="39" t="s">
        <v>41</v>
      </c>
    </row>
    <row r="16" spans="2:13" ht="17.25" thickBot="1" x14ac:dyDescent="0.35">
      <c r="B16" s="42" t="s">
        <v>7</v>
      </c>
      <c r="C16" s="32">
        <f>$K$4*0.4</f>
        <v>12</v>
      </c>
      <c r="D16" s="44">
        <f>$K$4*40</f>
        <v>1200</v>
      </c>
      <c r="E16" s="34">
        <f>C16+D16</f>
        <v>1212</v>
      </c>
      <c r="J16" s="14" t="s">
        <v>49</v>
      </c>
      <c r="K16" s="39" t="s">
        <v>53</v>
      </c>
    </row>
    <row r="17" spans="10:12" x14ac:dyDescent="0.3">
      <c r="J17" s="17" t="s">
        <v>50</v>
      </c>
      <c r="K17" s="40">
        <f>((K4+(5*K11))*(1.2+(0.2*M11)))*5</f>
        <v>180</v>
      </c>
    </row>
    <row r="18" spans="10:12" x14ac:dyDescent="0.3">
      <c r="J18" s="17" t="s">
        <v>51</v>
      </c>
      <c r="K18" s="40">
        <f>(((K4+(5*K11))*0.1)*5)+((K4+(5*K11))*(0.6+(0.2*M11)))</f>
        <v>33</v>
      </c>
    </row>
    <row r="19" spans="10:12" x14ac:dyDescent="0.3">
      <c r="J19" s="17" t="s">
        <v>52</v>
      </c>
      <c r="K19" s="40">
        <f>(K4/2+(5*K11))*(0.25+(0.2*M11))*30</f>
        <v>112.5</v>
      </c>
    </row>
    <row r="20" spans="10:12" ht="17.25" thickBot="1" x14ac:dyDescent="0.35">
      <c r="J20" s="41" t="s">
        <v>58</v>
      </c>
      <c r="K20" s="34">
        <f>((K4+(5*K11))*(0.4+(0.2*M11)))+((K4+(5*K11))*(40+(0.2*M11)))</f>
        <v>1212</v>
      </c>
    </row>
    <row r="29" spans="10:12" x14ac:dyDescent="0.3">
      <c r="L29">
        <f>225/30</f>
        <v>7.5</v>
      </c>
    </row>
  </sheetData>
  <mergeCells count="7">
    <mergeCell ref="J3:K3"/>
    <mergeCell ref="J13:K13"/>
    <mergeCell ref="J14:K14"/>
    <mergeCell ref="D7:E7"/>
    <mergeCell ref="D8:E8"/>
    <mergeCell ref="F7:G7"/>
    <mergeCell ref="F8:G8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showGridLines="0" workbookViewId="0">
      <selection activeCell="E27" sqref="E27"/>
    </sheetView>
  </sheetViews>
  <sheetFormatPr defaultRowHeight="16.5" x14ac:dyDescent="0.3"/>
  <cols>
    <col min="2" max="2" width="11.625" bestFit="1" customWidth="1"/>
    <col min="3" max="3" width="12" customWidth="1"/>
    <col min="4" max="4" width="11.75" customWidth="1"/>
    <col min="8" max="8" width="18.625" bestFit="1" customWidth="1"/>
    <col min="10" max="10" width="14.75" customWidth="1"/>
  </cols>
  <sheetData>
    <row r="2" spans="2:10" x14ac:dyDescent="0.3">
      <c r="B2" t="s">
        <v>83</v>
      </c>
      <c r="H2" t="s">
        <v>92</v>
      </c>
    </row>
    <row r="3" spans="2:10" x14ac:dyDescent="0.3">
      <c r="B3" s="11" t="s">
        <v>9</v>
      </c>
      <c r="C3" s="7" t="s">
        <v>10</v>
      </c>
      <c r="D3" s="7" t="s">
        <v>11</v>
      </c>
      <c r="H3" t="s">
        <v>79</v>
      </c>
    </row>
    <row r="4" spans="2:10" x14ac:dyDescent="0.3">
      <c r="B4" s="8">
        <f>500+(I14*J14)</f>
        <v>800</v>
      </c>
      <c r="C4" s="8">
        <f>30+(I9*J9)</f>
        <v>55</v>
      </c>
      <c r="D4" s="8">
        <f>5+(I10*J10)</f>
        <v>14</v>
      </c>
      <c r="H4" t="s">
        <v>81</v>
      </c>
    </row>
    <row r="5" spans="2:10" x14ac:dyDescent="0.3">
      <c r="H5" s="11" t="s">
        <v>72</v>
      </c>
      <c r="I5" s="7" t="s">
        <v>84</v>
      </c>
      <c r="J5" s="11" t="s">
        <v>86</v>
      </c>
    </row>
    <row r="6" spans="2:10" x14ac:dyDescent="0.3">
      <c r="B6" t="s">
        <v>90</v>
      </c>
      <c r="H6" s="8" t="s">
        <v>80</v>
      </c>
      <c r="I6" s="8">
        <v>100</v>
      </c>
      <c r="J6" s="8">
        <v>0</v>
      </c>
    </row>
    <row r="7" spans="2:10" x14ac:dyDescent="0.3">
      <c r="B7" s="5" t="s">
        <v>87</v>
      </c>
      <c r="C7" s="9" t="s">
        <v>88</v>
      </c>
      <c r="D7" s="9" t="s">
        <v>89</v>
      </c>
      <c r="H7" t="s">
        <v>82</v>
      </c>
      <c r="J7" s="1"/>
    </row>
    <row r="8" spans="2:10" x14ac:dyDescent="0.3">
      <c r="B8" s="8">
        <f>5+(I12*J12)</f>
        <v>3</v>
      </c>
      <c r="C8" s="8">
        <f>10+(I12*J12)</f>
        <v>8</v>
      </c>
      <c r="D8" s="8">
        <f>20+(I12*J12)</f>
        <v>18</v>
      </c>
      <c r="H8" s="11" t="s">
        <v>72</v>
      </c>
      <c r="I8" s="7" t="s">
        <v>85</v>
      </c>
      <c r="J8" s="11" t="s">
        <v>86</v>
      </c>
    </row>
    <row r="9" spans="2:10" x14ac:dyDescent="0.3">
      <c r="H9" s="8" t="s">
        <v>73</v>
      </c>
      <c r="I9" s="8">
        <v>5</v>
      </c>
      <c r="J9" s="8">
        <v>5</v>
      </c>
    </row>
    <row r="10" spans="2:10" x14ac:dyDescent="0.3">
      <c r="H10" s="8" t="s">
        <v>74</v>
      </c>
      <c r="I10" s="8">
        <v>3</v>
      </c>
      <c r="J10" s="8">
        <v>3</v>
      </c>
    </row>
    <row r="11" spans="2:10" x14ac:dyDescent="0.3">
      <c r="B11" s="5" t="s">
        <v>91</v>
      </c>
      <c r="H11" s="8" t="s">
        <v>75</v>
      </c>
      <c r="I11" s="8">
        <v>1</v>
      </c>
      <c r="J11" s="8">
        <v>0</v>
      </c>
    </row>
    <row r="12" spans="2:10" x14ac:dyDescent="0.3">
      <c r="B12" s="8">
        <f>10+(I11*J11)</f>
        <v>10</v>
      </c>
      <c r="H12" s="8" t="s">
        <v>76</v>
      </c>
      <c r="I12" s="8">
        <v>-1</v>
      </c>
      <c r="J12" s="8">
        <v>2</v>
      </c>
    </row>
    <row r="13" spans="2:10" x14ac:dyDescent="0.3">
      <c r="H13" s="8" t="s">
        <v>77</v>
      </c>
      <c r="I13" s="13">
        <v>0.2</v>
      </c>
      <c r="J13" s="8">
        <v>0</v>
      </c>
    </row>
    <row r="14" spans="2:10" x14ac:dyDescent="0.3">
      <c r="H14" s="8" t="s">
        <v>78</v>
      </c>
      <c r="I14" s="8">
        <v>150</v>
      </c>
      <c r="J14" s="8">
        <v>2</v>
      </c>
    </row>
    <row r="17" spans="10:10" x14ac:dyDescent="0.3">
      <c r="J17" s="5" t="s">
        <v>93</v>
      </c>
    </row>
    <row r="18" spans="10:10" x14ac:dyDescent="0.3">
      <c r="J18" s="4">
        <f>SUM(J14,J13,J12,J11,J9,J10,J6)</f>
        <v>12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37"/>
  <sheetViews>
    <sheetView showGridLines="0" tabSelected="1" zoomScale="85" zoomScaleNormal="85" workbookViewId="0">
      <selection activeCell="K36" sqref="K36"/>
    </sheetView>
  </sheetViews>
  <sheetFormatPr defaultRowHeight="16.5" x14ac:dyDescent="0.3"/>
  <cols>
    <col min="1" max="1" width="2.875" customWidth="1"/>
    <col min="2" max="2" width="12" customWidth="1"/>
    <col min="3" max="3" width="10" customWidth="1"/>
    <col min="4" max="4" width="12.5" customWidth="1"/>
    <col min="5" max="5" width="15.625" customWidth="1"/>
    <col min="6" max="6" width="20.5" customWidth="1"/>
    <col min="7" max="7" width="15.125" customWidth="1"/>
    <col min="8" max="8" width="17.25" customWidth="1"/>
    <col min="9" max="9" width="27" customWidth="1"/>
    <col min="10" max="10" width="13.625" customWidth="1"/>
    <col min="11" max="11" width="14.25" customWidth="1"/>
    <col min="12" max="12" width="8.875" bestFit="1" customWidth="1"/>
    <col min="13" max="14" width="12.75" bestFit="1" customWidth="1"/>
    <col min="15" max="15" width="19.25" bestFit="1" customWidth="1"/>
    <col min="16" max="17" width="12.75" bestFit="1" customWidth="1"/>
    <col min="20" max="20" width="13.125" customWidth="1"/>
    <col min="25" max="25" width="19.75" customWidth="1"/>
    <col min="26" max="26" width="11.75" customWidth="1"/>
    <col min="27" max="27" width="14" customWidth="1"/>
  </cols>
  <sheetData>
    <row r="2" spans="2:27" ht="32.25" customHeight="1" x14ac:dyDescent="0.3">
      <c r="B2" s="45" t="s">
        <v>100</v>
      </c>
    </row>
    <row r="3" spans="2:27" ht="17.25" thickBot="1" x14ac:dyDescent="0.35">
      <c r="B3" t="s">
        <v>21</v>
      </c>
      <c r="I3" s="6"/>
    </row>
    <row r="4" spans="2:27" x14ac:dyDescent="0.3">
      <c r="B4" s="14" t="s">
        <v>9</v>
      </c>
      <c r="C4" s="15" t="s">
        <v>10</v>
      </c>
      <c r="D4" s="15" t="s">
        <v>11</v>
      </c>
      <c r="E4" s="16" t="s">
        <v>22</v>
      </c>
      <c r="F4" s="57" t="s">
        <v>31</v>
      </c>
      <c r="G4" s="51"/>
      <c r="H4" s="49" t="s">
        <v>101</v>
      </c>
    </row>
    <row r="5" spans="2:27" x14ac:dyDescent="0.3">
      <c r="B5" s="17">
        <f>T9</f>
        <v>1100</v>
      </c>
      <c r="C5" s="8">
        <f>U9</f>
        <v>60</v>
      </c>
      <c r="D5" s="8">
        <f>V9</f>
        <v>17</v>
      </c>
      <c r="E5" s="10">
        <f>H28+(H28*1.5)+(H28*0.3)</f>
        <v>28</v>
      </c>
      <c r="F5" s="71">
        <f>((O16-(D5*H28))+(O21-(D5*H28))+(O26-(D5*H28)))</f>
        <v>972</v>
      </c>
      <c r="G5" s="72"/>
      <c r="H5" t="s">
        <v>103</v>
      </c>
      <c r="I5" s="6"/>
    </row>
    <row r="6" spans="2:27" x14ac:dyDescent="0.3">
      <c r="B6" s="60"/>
      <c r="C6" s="61"/>
      <c r="D6" s="61"/>
      <c r="E6" s="62"/>
      <c r="F6" s="73" t="s">
        <v>32</v>
      </c>
      <c r="G6" s="74"/>
      <c r="H6" t="s">
        <v>102</v>
      </c>
    </row>
    <row r="7" spans="2:27" x14ac:dyDescent="0.3">
      <c r="B7" s="63"/>
      <c r="C7" s="64"/>
      <c r="D7" s="64"/>
      <c r="E7" s="65"/>
      <c r="F7" s="71">
        <f>B5+(H22*(H26/2))</f>
        <v>1700</v>
      </c>
      <c r="G7" s="72"/>
      <c r="H7" t="s">
        <v>104</v>
      </c>
      <c r="T7" t="s">
        <v>83</v>
      </c>
      <c r="Y7" t="s">
        <v>92</v>
      </c>
    </row>
    <row r="8" spans="2:27" x14ac:dyDescent="0.3">
      <c r="B8" s="63"/>
      <c r="C8" s="64"/>
      <c r="D8" s="64"/>
      <c r="E8" s="65"/>
      <c r="F8" s="73" t="s">
        <v>33</v>
      </c>
      <c r="G8" s="74"/>
      <c r="H8" t="s">
        <v>105</v>
      </c>
      <c r="T8" s="11" t="s">
        <v>9</v>
      </c>
      <c r="U8" s="48" t="s">
        <v>10</v>
      </c>
      <c r="V8" s="48" t="s">
        <v>11</v>
      </c>
      <c r="Y8" t="s">
        <v>79</v>
      </c>
    </row>
    <row r="9" spans="2:27" ht="17.25" thickBot="1" x14ac:dyDescent="0.35">
      <c r="B9" s="66"/>
      <c r="C9" s="67"/>
      <c r="D9" s="67"/>
      <c r="E9" s="68"/>
      <c r="F9" s="58">
        <f>F7-(F5*(H26/2.5))</f>
        <v>144.79999999999995</v>
      </c>
      <c r="G9" s="59"/>
      <c r="K9" t="s">
        <v>97</v>
      </c>
      <c r="T9" s="47">
        <f>500+(Z19*AA19)</f>
        <v>1100</v>
      </c>
      <c r="U9" s="47">
        <f>30+(Z14*AA14)</f>
        <v>60</v>
      </c>
      <c r="V9" s="47">
        <f>5+(Z15*AA15)</f>
        <v>17</v>
      </c>
      <c r="Y9" t="s">
        <v>81</v>
      </c>
    </row>
    <row r="10" spans="2:27" ht="17.25" thickBot="1" x14ac:dyDescent="0.35">
      <c r="K10" s="11" t="s">
        <v>23</v>
      </c>
      <c r="Y10" s="11" t="s">
        <v>72</v>
      </c>
      <c r="Z10" s="48" t="s">
        <v>84</v>
      </c>
      <c r="AA10" s="11" t="s">
        <v>86</v>
      </c>
    </row>
    <row r="11" spans="2:27" ht="17.25" thickBot="1" x14ac:dyDescent="0.35">
      <c r="B11" s="69" t="s">
        <v>95</v>
      </c>
      <c r="C11" s="70"/>
      <c r="K11" s="8">
        <f>H26</f>
        <v>4</v>
      </c>
      <c r="T11" t="s">
        <v>90</v>
      </c>
      <c r="Y11" s="47" t="s">
        <v>80</v>
      </c>
      <c r="Z11" s="47">
        <v>100</v>
      </c>
      <c r="AA11" s="47">
        <v>0</v>
      </c>
    </row>
    <row r="12" spans="2:27" x14ac:dyDescent="0.3">
      <c r="B12" s="21" t="s">
        <v>94</v>
      </c>
      <c r="C12" s="22"/>
      <c r="D12" s="22"/>
      <c r="E12" s="22"/>
      <c r="F12" s="23"/>
      <c r="T12" s="5" t="s">
        <v>50</v>
      </c>
      <c r="U12" s="9" t="s">
        <v>51</v>
      </c>
      <c r="V12" s="9" t="s">
        <v>52</v>
      </c>
      <c r="Y12" t="s">
        <v>82</v>
      </c>
      <c r="AA12" s="1"/>
    </row>
    <row r="13" spans="2:27" ht="17.25" thickBot="1" x14ac:dyDescent="0.35">
      <c r="B13" s="26" t="s">
        <v>26</v>
      </c>
      <c r="C13" s="27"/>
      <c r="D13" s="27"/>
      <c r="E13" s="27"/>
      <c r="F13" s="28"/>
      <c r="K13" t="s">
        <v>106</v>
      </c>
      <c r="T13" s="47">
        <f>5+(Z17*AA17)</f>
        <v>3</v>
      </c>
      <c r="U13" s="47">
        <f>10+(Z17*AA17)</f>
        <v>8</v>
      </c>
      <c r="V13" s="47">
        <f>20+(Z17*AA17)</f>
        <v>18</v>
      </c>
      <c r="Y13" s="11" t="s">
        <v>72</v>
      </c>
      <c r="Z13" s="48" t="s">
        <v>84</v>
      </c>
      <c r="AA13" s="11" t="s">
        <v>86</v>
      </c>
    </row>
    <row r="14" spans="2:27" ht="17.25" thickBot="1" x14ac:dyDescent="0.35">
      <c r="B14" s="18" t="s">
        <v>27</v>
      </c>
      <c r="C14" s="6"/>
      <c r="D14" s="6"/>
      <c r="E14" s="6"/>
      <c r="F14" s="24"/>
      <c r="K14" s="29" t="s">
        <v>13</v>
      </c>
      <c r="Y14" s="47" t="s">
        <v>45</v>
      </c>
      <c r="Z14" s="47">
        <v>5</v>
      </c>
      <c r="AA14" s="47">
        <v>6</v>
      </c>
    </row>
    <row r="15" spans="2:27" x14ac:dyDescent="0.3">
      <c r="B15" s="26" t="s">
        <v>25</v>
      </c>
      <c r="C15" s="27"/>
      <c r="D15" s="27"/>
      <c r="E15" s="27"/>
      <c r="F15" s="28"/>
      <c r="K15" s="14" t="s">
        <v>12</v>
      </c>
      <c r="L15" s="15" t="s">
        <v>15</v>
      </c>
      <c r="M15" s="15" t="s">
        <v>16</v>
      </c>
      <c r="N15" s="30" t="s">
        <v>11</v>
      </c>
      <c r="O15" s="46" t="s">
        <v>28</v>
      </c>
      <c r="Y15" s="47" t="s">
        <v>74</v>
      </c>
      <c r="Z15" s="47">
        <v>3</v>
      </c>
      <c r="AA15" s="47">
        <v>4</v>
      </c>
    </row>
    <row r="16" spans="2:27" ht="17.25" thickBot="1" x14ac:dyDescent="0.35">
      <c r="B16" s="26"/>
      <c r="C16" s="27"/>
      <c r="D16" s="27"/>
      <c r="E16" s="27"/>
      <c r="F16" s="28"/>
      <c r="K16" s="31">
        <f>B22+(7*K11)</f>
        <v>378</v>
      </c>
      <c r="L16" s="32">
        <f>C22+(1*K11)</f>
        <v>14</v>
      </c>
      <c r="M16" s="32">
        <f>D22+(2*K11)</f>
        <v>28</v>
      </c>
      <c r="N16" s="33">
        <f>E22+(1*K11/2)</f>
        <v>7</v>
      </c>
      <c r="O16" s="34">
        <f>L16+M16 *$H$28</f>
        <v>294</v>
      </c>
      <c r="T16" s="5" t="s">
        <v>75</v>
      </c>
      <c r="Y16" s="47" t="s">
        <v>75</v>
      </c>
      <c r="Z16" s="47">
        <v>1</v>
      </c>
      <c r="AA16" s="47">
        <v>0</v>
      </c>
    </row>
    <row r="17" spans="2:27" ht="17.25" thickBot="1" x14ac:dyDescent="0.35">
      <c r="B17" s="19" t="s">
        <v>99</v>
      </c>
      <c r="C17" s="20"/>
      <c r="D17" s="20"/>
      <c r="E17" s="20"/>
      <c r="F17" s="25"/>
      <c r="T17" s="47">
        <f>10+(Z16*AA16)</f>
        <v>10</v>
      </c>
      <c r="Y17" s="47" t="s">
        <v>76</v>
      </c>
      <c r="Z17" s="47">
        <v>-1</v>
      </c>
      <c r="AA17" s="47">
        <v>2</v>
      </c>
    </row>
    <row r="18" spans="2:27" ht="17.25" thickBot="1" x14ac:dyDescent="0.35">
      <c r="K18" t="s">
        <v>69</v>
      </c>
      <c r="Y18" s="47" t="s">
        <v>77</v>
      </c>
      <c r="Z18" s="13">
        <v>0.2</v>
      </c>
      <c r="AA18" s="47">
        <v>0</v>
      </c>
    </row>
    <row r="19" spans="2:27" ht="17.25" thickBot="1" x14ac:dyDescent="0.35">
      <c r="B19" t="s">
        <v>98</v>
      </c>
      <c r="K19" s="29" t="s">
        <v>17</v>
      </c>
      <c r="Y19" s="47" t="s">
        <v>78</v>
      </c>
      <c r="Z19" s="47">
        <v>150</v>
      </c>
      <c r="AA19" s="47">
        <v>4</v>
      </c>
    </row>
    <row r="20" spans="2:27" ht="17.25" thickBot="1" x14ac:dyDescent="0.35">
      <c r="B20" s="29" t="s">
        <v>13</v>
      </c>
      <c r="H20" t="s">
        <v>19</v>
      </c>
      <c r="K20" s="14" t="s">
        <v>12</v>
      </c>
      <c r="L20" s="15" t="s">
        <v>14</v>
      </c>
      <c r="M20" s="15" t="s">
        <v>16</v>
      </c>
      <c r="N20" s="30" t="s">
        <v>11</v>
      </c>
      <c r="O20" s="46" t="s">
        <v>29</v>
      </c>
    </row>
    <row r="21" spans="2:27" ht="17.25" thickBot="1" x14ac:dyDescent="0.35">
      <c r="B21" s="14" t="s">
        <v>12</v>
      </c>
      <c r="C21" s="15" t="s">
        <v>15</v>
      </c>
      <c r="D21" s="15" t="s">
        <v>16</v>
      </c>
      <c r="E21" s="15" t="s">
        <v>11</v>
      </c>
      <c r="F21" s="30" t="s">
        <v>28</v>
      </c>
      <c r="H21" s="3" t="s">
        <v>20</v>
      </c>
      <c r="K21" s="31">
        <f>B27+(5*K11)</f>
        <v>220</v>
      </c>
      <c r="L21" s="32">
        <f>C27+(1.5*K11)</f>
        <v>26</v>
      </c>
      <c r="M21" s="32">
        <f>D27+(2*K11)</f>
        <v>38</v>
      </c>
      <c r="N21" s="33">
        <f>E27+(1*K11/2)</f>
        <v>7</v>
      </c>
      <c r="O21" s="34">
        <f>((L21*2)+M21) * $H$28</f>
        <v>900</v>
      </c>
    </row>
    <row r="22" spans="2:27" ht="17.25" thickBot="1" x14ac:dyDescent="0.35">
      <c r="B22" s="31">
        <v>350</v>
      </c>
      <c r="C22" s="32">
        <v>10</v>
      </c>
      <c r="D22" s="32">
        <v>20</v>
      </c>
      <c r="E22" s="32">
        <v>5</v>
      </c>
      <c r="F22" s="34">
        <f>C22+D22 *$H$28</f>
        <v>210</v>
      </c>
      <c r="H22" s="2">
        <v>300</v>
      </c>
      <c r="AA22" s="5" t="s">
        <v>93</v>
      </c>
    </row>
    <row r="23" spans="2:27" ht="17.25" thickBot="1" x14ac:dyDescent="0.35">
      <c r="K23" t="s">
        <v>70</v>
      </c>
      <c r="AA23" s="4">
        <f>SUM(AA19,AA18,AA17,AA16,AA14,AA15,AA11)</f>
        <v>16</v>
      </c>
    </row>
    <row r="24" spans="2:27" ht="17.25" thickBot="1" x14ac:dyDescent="0.35">
      <c r="K24" s="29" t="s">
        <v>18</v>
      </c>
    </row>
    <row r="25" spans="2:27" ht="17.25" thickBot="1" x14ac:dyDescent="0.35">
      <c r="B25" s="29" t="s">
        <v>17</v>
      </c>
      <c r="H25" s="5" t="s">
        <v>23</v>
      </c>
      <c r="K25" s="14" t="s">
        <v>12</v>
      </c>
      <c r="L25" s="15" t="s">
        <v>14</v>
      </c>
      <c r="M25" s="15" t="s">
        <v>16</v>
      </c>
      <c r="N25" s="30" t="s">
        <v>11</v>
      </c>
      <c r="O25" s="46" t="s">
        <v>30</v>
      </c>
    </row>
    <row r="26" spans="2:27" ht="17.25" thickBot="1" x14ac:dyDescent="0.35">
      <c r="B26" s="14" t="s">
        <v>12</v>
      </c>
      <c r="C26" s="15" t="s">
        <v>14</v>
      </c>
      <c r="D26" s="15" t="s">
        <v>16</v>
      </c>
      <c r="E26" s="15" t="s">
        <v>11</v>
      </c>
      <c r="F26" s="30" t="s">
        <v>29</v>
      </c>
      <c r="H26" s="4">
        <v>4</v>
      </c>
      <c r="K26" s="31">
        <f>B32+(62.5*K11)</f>
        <v>1250</v>
      </c>
      <c r="L26" s="32">
        <f>C32+(5*K11)</f>
        <v>70</v>
      </c>
      <c r="M26" s="32">
        <f>D32+(1.5*K11)</f>
        <v>26</v>
      </c>
      <c r="N26" s="33">
        <f>E32+(2*K11)</f>
        <v>13</v>
      </c>
      <c r="O26" s="34">
        <f xml:space="preserve"> (L26+M26)*$H$28*0.3</f>
        <v>288</v>
      </c>
    </row>
    <row r="27" spans="2:27" ht="17.25" thickBot="1" x14ac:dyDescent="0.35">
      <c r="B27" s="31">
        <v>200</v>
      </c>
      <c r="C27" s="32">
        <v>20</v>
      </c>
      <c r="D27" s="32">
        <v>30</v>
      </c>
      <c r="E27" s="32">
        <v>5</v>
      </c>
      <c r="F27" s="34">
        <f>((C27*2)+D27) * $H$28</f>
        <v>700</v>
      </c>
      <c r="H27" s="5" t="s">
        <v>24</v>
      </c>
    </row>
    <row r="28" spans="2:27" ht="17.25" thickBot="1" x14ac:dyDescent="0.35">
      <c r="H28" s="4">
        <v>10</v>
      </c>
      <c r="K28" s="12" t="s">
        <v>68</v>
      </c>
    </row>
    <row r="29" spans="2:27" ht="17.25" thickBot="1" x14ac:dyDescent="0.35">
      <c r="K29" s="29" t="s">
        <v>59</v>
      </c>
      <c r="M29" t="s">
        <v>67</v>
      </c>
    </row>
    <row r="30" spans="2:27" ht="17.25" thickBot="1" x14ac:dyDescent="0.35">
      <c r="B30" s="29" t="s">
        <v>18</v>
      </c>
      <c r="K30" s="14" t="s">
        <v>60</v>
      </c>
      <c r="L30" s="15" t="s">
        <v>61</v>
      </c>
      <c r="M30" s="15" t="s">
        <v>62</v>
      </c>
      <c r="N30" s="15" t="s">
        <v>63</v>
      </c>
      <c r="O30" s="15" t="s">
        <v>64</v>
      </c>
      <c r="P30" s="15" t="s">
        <v>65</v>
      </c>
      <c r="Q30" s="30" t="s">
        <v>66</v>
      </c>
    </row>
    <row r="31" spans="2:27" ht="17.25" thickBot="1" x14ac:dyDescent="0.35">
      <c r="B31" s="14" t="s">
        <v>12</v>
      </c>
      <c r="C31" s="15" t="s">
        <v>14</v>
      </c>
      <c r="D31" s="15" t="s">
        <v>16</v>
      </c>
      <c r="E31" s="15" t="s">
        <v>11</v>
      </c>
      <c r="F31" s="30" t="s">
        <v>30</v>
      </c>
      <c r="K31" s="31">
        <f>B37+(500*K11)</f>
        <v>32000</v>
      </c>
      <c r="L31" s="32">
        <f>C37+(10*K11)</f>
        <v>140</v>
      </c>
      <c r="M31" s="32"/>
      <c r="N31" s="32"/>
      <c r="O31" s="32"/>
      <c r="P31" s="32"/>
      <c r="Q31" s="33"/>
    </row>
    <row r="32" spans="2:27" ht="17.25" thickBot="1" x14ac:dyDescent="0.35">
      <c r="B32" s="31">
        <v>1000</v>
      </c>
      <c r="C32" s="32">
        <v>50</v>
      </c>
      <c r="D32" s="32">
        <v>20</v>
      </c>
      <c r="E32" s="32">
        <v>5</v>
      </c>
      <c r="F32" s="34">
        <f xml:space="preserve"> (C32+D32)*$H$28*0.3</f>
        <v>210</v>
      </c>
    </row>
    <row r="34" spans="2:8" ht="17.25" thickBot="1" x14ac:dyDescent="0.35"/>
    <row r="35" spans="2:8" ht="17.25" thickBot="1" x14ac:dyDescent="0.35">
      <c r="B35" s="29" t="s">
        <v>59</v>
      </c>
    </row>
    <row r="36" spans="2:8" x14ac:dyDescent="0.3">
      <c r="B36" s="14" t="s">
        <v>60</v>
      </c>
      <c r="C36" s="15" t="s">
        <v>61</v>
      </c>
      <c r="D36" s="15" t="s">
        <v>62</v>
      </c>
      <c r="E36" s="15" t="s">
        <v>63</v>
      </c>
      <c r="F36" s="15" t="s">
        <v>64</v>
      </c>
      <c r="G36" s="15" t="s">
        <v>65</v>
      </c>
      <c r="H36" s="30" t="s">
        <v>66</v>
      </c>
    </row>
    <row r="37" spans="2:8" ht="17.25" thickBot="1" x14ac:dyDescent="0.35">
      <c r="B37" s="31">
        <v>30000</v>
      </c>
      <c r="C37" s="32">
        <v>100</v>
      </c>
      <c r="D37" s="32"/>
      <c r="E37" s="32"/>
      <c r="F37" s="32"/>
      <c r="G37" s="32"/>
      <c r="H37" s="33"/>
    </row>
  </sheetData>
  <mergeCells count="8">
    <mergeCell ref="F9:G9"/>
    <mergeCell ref="B6:E9"/>
    <mergeCell ref="B11:C11"/>
    <mergeCell ref="F4:G4"/>
    <mergeCell ref="F5:G5"/>
    <mergeCell ref="F6:G6"/>
    <mergeCell ref="F7:G7"/>
    <mergeCell ref="F8:G8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스킬계수</vt:lpstr>
      <vt:lpstr>버프 테스트</vt:lpstr>
      <vt:lpstr>몬스터 대미지 밸런스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2019-10-02T06:32:32Z</dcterms:created>
  <dcterms:modified xsi:type="dcterms:W3CDTF">2019-10-07T13:05:15Z</dcterms:modified>
</cp:coreProperties>
</file>