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maemaharaj/Desktop/"/>
    </mc:Choice>
  </mc:AlternateContent>
  <xr:revisionPtr revIDLastSave="0" documentId="13_ncr:1_{B1152A69-FD4C-8249-B691-3EE771F76AFD}" xr6:coauthVersionLast="47" xr6:coauthVersionMax="47" xr10:uidLastSave="{00000000-0000-0000-0000-000000000000}"/>
  <bookViews>
    <workbookView xWindow="68920" yWindow="500" windowWidth="56180" windowHeight="26640" activeTab="8" xr2:uid="{00000000-000D-0000-FFFF-FFFF00000000}"/>
  </bookViews>
  <sheets>
    <sheet name="Control" sheetId="10" r:id="rId1"/>
    <sheet name="IS" sheetId="9" r:id="rId2"/>
    <sheet name="BS" sheetId="7" r:id="rId3"/>
    <sheet name="CF" sheetId="8" r:id="rId4"/>
    <sheet name="Debt" sheetId="4" r:id="rId5"/>
    <sheet name="DCF" sheetId="6" r:id="rId6"/>
    <sheet name="Capital Structure" sheetId="12" r:id="rId7"/>
    <sheet name="Summary" sheetId="1" r:id="rId8"/>
    <sheet name="Football" sheetId="2" r:id="rId9"/>
  </sheets>
  <definedNames>
    <definedName name="_xlnm.Print_Area" localSheetId="5">DCF!$A$1:$O$46</definedName>
    <definedName name="_xlnm.Print_Area" localSheetId="4">Debt!$A$1:$O$47</definedName>
    <definedName name="_xlnm.Print_Area" localSheetId="8">Football!$A$1:$J$26</definedName>
    <definedName name="_xlnm.Print_Area" localSheetId="7">Summary!$A$1:$Q$46</definedName>
    <definedName name="solver_adj" localSheetId="6" hidden="1">'Capital Structure'!$C$42,'Capital Structure'!$E$42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in" localSheetId="6" hidden="1">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'Capital Structure'!$F$42</definedName>
    <definedName name="solver_pre" localSheetId="6" hidden="1">0.000001</definedName>
    <definedName name="solver_rbv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0.0765</definedName>
    <definedName name="solver_ver" localSheetId="6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2" l="1"/>
  <c r="E30" i="2"/>
  <c r="E31" i="2"/>
  <c r="E28" i="2"/>
  <c r="F31" i="2"/>
  <c r="D31" i="2"/>
  <c r="F30" i="2"/>
  <c r="D30" i="2"/>
  <c r="F29" i="2"/>
  <c r="D29" i="2"/>
  <c r="J14" i="6"/>
  <c r="K14" i="6"/>
  <c r="L14" i="6"/>
  <c r="M14" i="6"/>
  <c r="I14" i="6"/>
  <c r="G23" i="6"/>
  <c r="F23" i="6"/>
  <c r="J20" i="6"/>
  <c r="K20" i="6"/>
  <c r="L20" i="6"/>
  <c r="M20" i="6"/>
  <c r="I20" i="6"/>
  <c r="N17" i="6"/>
  <c r="J13" i="6"/>
  <c r="K13" i="6"/>
  <c r="L13" i="6"/>
  <c r="M13" i="6"/>
  <c r="I13" i="6"/>
  <c r="J12" i="6"/>
  <c r="K12" i="6"/>
  <c r="L12" i="6"/>
  <c r="M12" i="6"/>
  <c r="I12" i="6"/>
  <c r="J11" i="6"/>
  <c r="K11" i="6"/>
  <c r="L11" i="6"/>
  <c r="M11" i="6"/>
  <c r="I11" i="6"/>
  <c r="J10" i="6"/>
  <c r="K10" i="6"/>
  <c r="L10" i="6"/>
  <c r="M10" i="6"/>
  <c r="I10" i="6"/>
  <c r="J9" i="6"/>
  <c r="K9" i="6"/>
  <c r="L9" i="6"/>
  <c r="M9" i="6"/>
  <c r="I9" i="6"/>
  <c r="J8" i="6"/>
  <c r="K8" i="6"/>
  <c r="L8" i="6"/>
  <c r="M8" i="6"/>
  <c r="I8" i="6"/>
  <c r="H19" i="12"/>
  <c r="H15" i="12"/>
  <c r="H13" i="12"/>
  <c r="H12" i="12"/>
  <c r="H9" i="12"/>
  <c r="H8" i="12"/>
  <c r="J41" i="7"/>
  <c r="K41" i="7"/>
  <c r="L41" i="7"/>
  <c r="M41" i="7"/>
  <c r="I41" i="7"/>
  <c r="J40" i="7"/>
  <c r="K40" i="7" s="1"/>
  <c r="L40" i="7" s="1"/>
  <c r="M40" i="7" s="1"/>
  <c r="I40" i="7"/>
  <c r="J42" i="7"/>
  <c r="K42" i="7"/>
  <c r="L42" i="7" s="1"/>
  <c r="M42" i="7" s="1"/>
  <c r="J43" i="7"/>
  <c r="K43" i="7" s="1"/>
  <c r="L43" i="7" s="1"/>
  <c r="M43" i="7" s="1"/>
  <c r="I43" i="7"/>
  <c r="I42" i="7"/>
  <c r="J39" i="7"/>
  <c r="K39" i="7" s="1"/>
  <c r="I39" i="7"/>
  <c r="J32" i="7"/>
  <c r="K32" i="7"/>
  <c r="L32" i="7"/>
  <c r="M32" i="7"/>
  <c r="I32" i="7"/>
  <c r="J33" i="7"/>
  <c r="K33" i="7" s="1"/>
  <c r="J34" i="7"/>
  <c r="K34" i="7"/>
  <c r="L34" i="7"/>
  <c r="M34" i="7"/>
  <c r="J35" i="7"/>
  <c r="K35" i="7"/>
  <c r="L35" i="7" s="1"/>
  <c r="M35" i="7" s="1"/>
  <c r="I34" i="7"/>
  <c r="I35" i="7"/>
  <c r="I33" i="7"/>
  <c r="I52" i="7" s="1"/>
  <c r="M28" i="7"/>
  <c r="J28" i="7"/>
  <c r="K28" i="7"/>
  <c r="L28" i="7"/>
  <c r="M51" i="7"/>
  <c r="I28" i="7"/>
  <c r="I29" i="7"/>
  <c r="J27" i="7"/>
  <c r="K27" i="7" s="1"/>
  <c r="I27" i="7"/>
  <c r="J26" i="7"/>
  <c r="K26" i="7"/>
  <c r="L26" i="7"/>
  <c r="L18" i="8" s="1"/>
  <c r="M26" i="7"/>
  <c r="I26" i="7"/>
  <c r="J25" i="7"/>
  <c r="K25" i="7"/>
  <c r="L25" i="7"/>
  <c r="M25" i="7"/>
  <c r="N25" i="7"/>
  <c r="I25" i="7"/>
  <c r="J24" i="7"/>
  <c r="K24" i="7"/>
  <c r="L24" i="7"/>
  <c r="M24" i="7"/>
  <c r="M53" i="7" s="1"/>
  <c r="I24" i="7"/>
  <c r="J19" i="7"/>
  <c r="K19" i="7"/>
  <c r="L19" i="7"/>
  <c r="L16" i="8" s="1"/>
  <c r="M19" i="7"/>
  <c r="I19" i="7"/>
  <c r="J18" i="7"/>
  <c r="K18" i="7" s="1"/>
  <c r="L18" i="7" s="1"/>
  <c r="M18" i="7" s="1"/>
  <c r="I18" i="7"/>
  <c r="J17" i="7"/>
  <c r="K17" i="7" s="1"/>
  <c r="L17" i="7" s="1"/>
  <c r="M17" i="7" s="1"/>
  <c r="I17" i="7"/>
  <c r="J16" i="7"/>
  <c r="K16" i="7" s="1"/>
  <c r="I16" i="7"/>
  <c r="J13" i="7"/>
  <c r="K13" i="7"/>
  <c r="L13" i="7"/>
  <c r="M13" i="7"/>
  <c r="M14" i="7" s="1"/>
  <c r="I13" i="7"/>
  <c r="J12" i="7"/>
  <c r="K12" i="7"/>
  <c r="L12" i="7"/>
  <c r="M12" i="7"/>
  <c r="I12" i="7"/>
  <c r="J14" i="7"/>
  <c r="K14" i="7"/>
  <c r="I14" i="7"/>
  <c r="J11" i="7"/>
  <c r="K11" i="7"/>
  <c r="L11" i="7"/>
  <c r="M11" i="7"/>
  <c r="N11" i="7"/>
  <c r="I11" i="7"/>
  <c r="J10" i="7"/>
  <c r="K10" i="7"/>
  <c r="K55" i="7" s="1"/>
  <c r="L10" i="7"/>
  <c r="L55" i="7" s="1"/>
  <c r="M10" i="7"/>
  <c r="I10" i="7"/>
  <c r="J75" i="7"/>
  <c r="K75" i="7" s="1"/>
  <c r="L75" i="7" s="1"/>
  <c r="M75" i="7" s="1"/>
  <c r="I75" i="7"/>
  <c r="H75" i="7"/>
  <c r="G75" i="7"/>
  <c r="J74" i="7"/>
  <c r="K74" i="7" s="1"/>
  <c r="L74" i="7" s="1"/>
  <c r="M74" i="7" s="1"/>
  <c r="I74" i="7"/>
  <c r="H74" i="7"/>
  <c r="G74" i="7"/>
  <c r="J73" i="7"/>
  <c r="K73" i="7" s="1"/>
  <c r="L73" i="7" s="1"/>
  <c r="M73" i="7" s="1"/>
  <c r="I73" i="7"/>
  <c r="H73" i="7"/>
  <c r="G73" i="7"/>
  <c r="J72" i="7"/>
  <c r="K72" i="7"/>
  <c r="L72" i="7" s="1"/>
  <c r="M72" i="7" s="1"/>
  <c r="I72" i="7"/>
  <c r="H72" i="7"/>
  <c r="G72" i="7"/>
  <c r="I71" i="7"/>
  <c r="J71" i="7" s="1"/>
  <c r="K71" i="7" s="1"/>
  <c r="L71" i="7" s="1"/>
  <c r="M71" i="7" s="1"/>
  <c r="H71" i="7"/>
  <c r="G71" i="7"/>
  <c r="N71" i="7"/>
  <c r="J70" i="7"/>
  <c r="K70" i="7" s="1"/>
  <c r="L70" i="7" s="1"/>
  <c r="M70" i="7" s="1"/>
  <c r="N70" i="7" s="1"/>
  <c r="I70" i="7"/>
  <c r="H70" i="7"/>
  <c r="G70" i="7"/>
  <c r="H66" i="7"/>
  <c r="I66" i="7"/>
  <c r="J66" i="7"/>
  <c r="K66" i="7"/>
  <c r="L66" i="7"/>
  <c r="M66" i="7"/>
  <c r="H67" i="7"/>
  <c r="I67" i="7"/>
  <c r="J67" i="7"/>
  <c r="K67" i="7"/>
  <c r="L67" i="7"/>
  <c r="M67" i="7"/>
  <c r="H68" i="7"/>
  <c r="I68" i="7"/>
  <c r="J68" i="7"/>
  <c r="K68" i="7"/>
  <c r="L68" i="7"/>
  <c r="M68" i="7"/>
  <c r="G68" i="7"/>
  <c r="G67" i="7"/>
  <c r="G66" i="7"/>
  <c r="J33" i="9"/>
  <c r="K33" i="9"/>
  <c r="L33" i="9"/>
  <c r="L10" i="8" s="1"/>
  <c r="M33" i="9"/>
  <c r="I33" i="9"/>
  <c r="I10" i="8" s="1"/>
  <c r="J28" i="9"/>
  <c r="K28" i="9" s="1"/>
  <c r="L28" i="9" s="1"/>
  <c r="M28" i="9" s="1"/>
  <c r="N28" i="9" s="1"/>
  <c r="I28" i="9"/>
  <c r="J27" i="9"/>
  <c r="K27" i="9" s="1"/>
  <c r="L27" i="9" s="1"/>
  <c r="M27" i="9" s="1"/>
  <c r="I27" i="9"/>
  <c r="J23" i="9"/>
  <c r="K23" i="9"/>
  <c r="L23" i="9"/>
  <c r="M23" i="9" s="1"/>
  <c r="I23" i="9"/>
  <c r="J18" i="9"/>
  <c r="K18" i="9"/>
  <c r="L18" i="9"/>
  <c r="M18" i="9"/>
  <c r="I18" i="9"/>
  <c r="J17" i="9"/>
  <c r="K17" i="9" s="1"/>
  <c r="L17" i="9" s="1"/>
  <c r="M17" i="9" s="1"/>
  <c r="N17" i="9" s="1"/>
  <c r="I17" i="9"/>
  <c r="J14" i="9"/>
  <c r="K14" i="9"/>
  <c r="L14" i="9"/>
  <c r="M14" i="9"/>
  <c r="I14" i="9"/>
  <c r="J12" i="9"/>
  <c r="K12" i="9"/>
  <c r="L12" i="9"/>
  <c r="M12" i="9"/>
  <c r="I12" i="9"/>
  <c r="J10" i="9"/>
  <c r="K10" i="9" s="1"/>
  <c r="L10" i="9" s="1"/>
  <c r="M10" i="9" s="1"/>
  <c r="I10" i="9"/>
  <c r="J9" i="9"/>
  <c r="K9" i="9" s="1"/>
  <c r="I9" i="9"/>
  <c r="J49" i="9"/>
  <c r="K49" i="9" s="1"/>
  <c r="L49" i="9" s="1"/>
  <c r="M49" i="9" s="1"/>
  <c r="I49" i="9"/>
  <c r="G49" i="9"/>
  <c r="H49" i="9"/>
  <c r="F49" i="9"/>
  <c r="H45" i="9"/>
  <c r="G45" i="9"/>
  <c r="J43" i="9"/>
  <c r="K43" i="9" s="1"/>
  <c r="L43" i="9" s="1"/>
  <c r="M43" i="9" s="1"/>
  <c r="I43" i="9"/>
  <c r="G43" i="9"/>
  <c r="H43" i="9"/>
  <c r="F43" i="9"/>
  <c r="J42" i="9"/>
  <c r="K42" i="9"/>
  <c r="L42" i="9" s="1"/>
  <c r="M42" i="9" s="1"/>
  <c r="I42" i="9"/>
  <c r="G42" i="9"/>
  <c r="H42" i="9"/>
  <c r="F42" i="9"/>
  <c r="K40" i="9"/>
  <c r="L40" i="9"/>
  <c r="M40" i="9"/>
  <c r="J40" i="9"/>
  <c r="H40" i="9"/>
  <c r="G40" i="9"/>
  <c r="J39" i="9"/>
  <c r="K39" i="9" s="1"/>
  <c r="L39" i="9" s="1"/>
  <c r="M39" i="9" s="1"/>
  <c r="I39" i="9"/>
  <c r="H39" i="9"/>
  <c r="G39" i="9"/>
  <c r="I62" i="7"/>
  <c r="J61" i="7"/>
  <c r="K61" i="7"/>
  <c r="L61" i="7"/>
  <c r="M61" i="7"/>
  <c r="N61" i="7"/>
  <c r="I61" i="7"/>
  <c r="I59" i="7"/>
  <c r="H63" i="7"/>
  <c r="G63" i="7"/>
  <c r="H56" i="7"/>
  <c r="G56" i="7"/>
  <c r="H55" i="7"/>
  <c r="I55" i="7"/>
  <c r="J55" i="7"/>
  <c r="M55" i="7"/>
  <c r="G55" i="7"/>
  <c r="I51" i="7"/>
  <c r="J51" i="7"/>
  <c r="K51" i="7"/>
  <c r="L51" i="7"/>
  <c r="J52" i="7"/>
  <c r="I53" i="7"/>
  <c r="K53" i="7"/>
  <c r="L53" i="7"/>
  <c r="H51" i="7"/>
  <c r="H52" i="7"/>
  <c r="H53" i="7"/>
  <c r="H54" i="7"/>
  <c r="G54" i="7"/>
  <c r="G53" i="7"/>
  <c r="G52" i="7"/>
  <c r="G51" i="7"/>
  <c r="H50" i="7"/>
  <c r="I50" i="7"/>
  <c r="J50" i="7"/>
  <c r="K50" i="7"/>
  <c r="L50" i="7"/>
  <c r="M50" i="7"/>
  <c r="G50" i="7"/>
  <c r="G47" i="7"/>
  <c r="H44" i="7"/>
  <c r="I44" i="7"/>
  <c r="J44" i="7"/>
  <c r="G44" i="7"/>
  <c r="H30" i="7"/>
  <c r="H36" i="7" s="1"/>
  <c r="G30" i="7"/>
  <c r="G36" i="7" s="1"/>
  <c r="G46" i="7" s="1"/>
  <c r="H20" i="7"/>
  <c r="N20" i="7"/>
  <c r="G20" i="7"/>
  <c r="H14" i="7"/>
  <c r="G14" i="7"/>
  <c r="G35" i="9"/>
  <c r="H35" i="9"/>
  <c r="F35" i="9"/>
  <c r="G34" i="9"/>
  <c r="H34" i="9"/>
  <c r="F34" i="9"/>
  <c r="G30" i="9"/>
  <c r="H30" i="9"/>
  <c r="G31" i="9"/>
  <c r="H31" i="9"/>
  <c r="F31" i="9"/>
  <c r="F30" i="9"/>
  <c r="G24" i="9"/>
  <c r="H24" i="9"/>
  <c r="N24" i="9"/>
  <c r="F24" i="9"/>
  <c r="G21" i="9"/>
  <c r="H21" i="9"/>
  <c r="F21" i="9"/>
  <c r="G15" i="9"/>
  <c r="H15" i="9"/>
  <c r="G13" i="9"/>
  <c r="H13" i="9"/>
  <c r="J13" i="9"/>
  <c r="J15" i="9" s="1"/>
  <c r="G11" i="9"/>
  <c r="H11" i="9"/>
  <c r="I11" i="9"/>
  <c r="I13" i="9" s="1"/>
  <c r="J11" i="9"/>
  <c r="F11" i="9"/>
  <c r="F13" i="9" s="1"/>
  <c r="F15" i="9" s="1"/>
  <c r="G8" i="10"/>
  <c r="H8" i="10"/>
  <c r="I8" i="10"/>
  <c r="J8" i="10"/>
  <c r="K8" i="10"/>
  <c r="L8" i="10"/>
  <c r="M8" i="10"/>
  <c r="F8" i="10"/>
  <c r="G6" i="10"/>
  <c r="H6" i="10"/>
  <c r="I6" i="10"/>
  <c r="J6" i="10"/>
  <c r="K6" i="10"/>
  <c r="L6" i="10"/>
  <c r="M6" i="10"/>
  <c r="F6" i="10"/>
  <c r="H21" i="10"/>
  <c r="L7" i="10"/>
  <c r="M7" i="10"/>
  <c r="K7" i="10"/>
  <c r="J7" i="10"/>
  <c r="I7" i="10"/>
  <c r="H7" i="10"/>
  <c r="G7" i="10"/>
  <c r="F7" i="10"/>
  <c r="E7" i="10"/>
  <c r="H15" i="10"/>
  <c r="H16" i="10"/>
  <c r="H12" i="10"/>
  <c r="K18" i="8"/>
  <c r="J18" i="8"/>
  <c r="I18" i="8"/>
  <c r="M17" i="8"/>
  <c r="L17" i="8"/>
  <c r="K17" i="8"/>
  <c r="J17" i="8"/>
  <c r="I17" i="8"/>
  <c r="M16" i="8"/>
  <c r="K16" i="8"/>
  <c r="J16" i="8"/>
  <c r="I16" i="8"/>
  <c r="M15" i="8"/>
  <c r="L15" i="8"/>
  <c r="K15" i="8"/>
  <c r="J15" i="8"/>
  <c r="I15" i="8"/>
  <c r="M14" i="8"/>
  <c r="L14" i="8"/>
  <c r="K14" i="8"/>
  <c r="J14" i="8"/>
  <c r="I14" i="8"/>
  <c r="M13" i="8"/>
  <c r="L13" i="8"/>
  <c r="K13" i="8"/>
  <c r="J13" i="8"/>
  <c r="I13" i="8"/>
  <c r="M10" i="8"/>
  <c r="K10" i="8"/>
  <c r="J10" i="8"/>
  <c r="H24" i="12" l="1"/>
  <c r="J20" i="7"/>
  <c r="K44" i="7"/>
  <c r="L39" i="7"/>
  <c r="L33" i="7"/>
  <c r="K52" i="7"/>
  <c r="L27" i="7"/>
  <c r="M27" i="7" s="1"/>
  <c r="M18" i="8"/>
  <c r="J53" i="7"/>
  <c r="L16" i="7"/>
  <c r="M16" i="7" s="1"/>
  <c r="M20" i="7" s="1"/>
  <c r="K20" i="7"/>
  <c r="I20" i="7"/>
  <c r="L14" i="7"/>
  <c r="J19" i="8"/>
  <c r="M19" i="8"/>
  <c r="K19" i="8"/>
  <c r="L19" i="8"/>
  <c r="I15" i="9"/>
  <c r="J34" i="9"/>
  <c r="J35" i="9" s="1"/>
  <c r="L9" i="9"/>
  <c r="K11" i="9"/>
  <c r="K13" i="9" s="1"/>
  <c r="K15" i="9" s="1"/>
  <c r="I34" i="9"/>
  <c r="I35" i="9" s="1"/>
  <c r="H46" i="7"/>
  <c r="H47" i="7" s="1"/>
  <c r="I19" i="8"/>
  <c r="B46" i="4"/>
  <c r="M31" i="4"/>
  <c r="L31" i="4"/>
  <c r="K31" i="4"/>
  <c r="J31" i="4"/>
  <c r="I31" i="4"/>
  <c r="M30" i="4"/>
  <c r="L30" i="4"/>
  <c r="K30" i="4"/>
  <c r="J30" i="4"/>
  <c r="I30" i="4"/>
  <c r="M29" i="4"/>
  <c r="L29" i="4"/>
  <c r="K29" i="4"/>
  <c r="J29" i="4"/>
  <c r="I29" i="4"/>
  <c r="I39" i="4" s="1"/>
  <c r="H26" i="4"/>
  <c r="I24" i="4" s="1"/>
  <c r="I43" i="4" s="1"/>
  <c r="H20" i="4"/>
  <c r="I17" i="4" s="1"/>
  <c r="I20" i="4" s="1"/>
  <c r="J17" i="4" s="1"/>
  <c r="M10" i="4"/>
  <c r="L10" i="4"/>
  <c r="K10" i="4"/>
  <c r="J10" i="4"/>
  <c r="I10" i="4"/>
  <c r="M9" i="4"/>
  <c r="L9" i="4"/>
  <c r="K9" i="4"/>
  <c r="J9" i="4"/>
  <c r="J12" i="4" s="1"/>
  <c r="I9" i="4"/>
  <c r="M8" i="4"/>
  <c r="L8" i="4"/>
  <c r="K8" i="4"/>
  <c r="J8" i="4"/>
  <c r="I8" i="4"/>
  <c r="M6" i="4"/>
  <c r="L6" i="4"/>
  <c r="K6" i="4"/>
  <c r="J6" i="4"/>
  <c r="I6" i="4"/>
  <c r="H6" i="4"/>
  <c r="G6" i="4"/>
  <c r="F6" i="4"/>
  <c r="F5" i="4"/>
  <c r="H54" i="4"/>
  <c r="G54" i="4"/>
  <c r="G53" i="4"/>
  <c r="G52" i="4"/>
  <c r="H51" i="4"/>
  <c r="K18" i="4" s="1"/>
  <c r="G51" i="4"/>
  <c r="H50" i="4"/>
  <c r="J18" i="4" s="1"/>
  <c r="J13" i="4" s="1"/>
  <c r="G50" i="4"/>
  <c r="H49" i="4"/>
  <c r="G49" i="4"/>
  <c r="B42" i="4"/>
  <c r="J36" i="4"/>
  <c r="K36" i="4" s="1"/>
  <c r="L36" i="4" s="1"/>
  <c r="M36" i="4" s="1"/>
  <c r="J34" i="4"/>
  <c r="K34" i="4" s="1"/>
  <c r="J19" i="4"/>
  <c r="K19" i="4" s="1"/>
  <c r="M18" i="4"/>
  <c r="L18" i="4"/>
  <c r="I18" i="4"/>
  <c r="I13" i="4"/>
  <c r="M11" i="4"/>
  <c r="L11" i="4"/>
  <c r="K11" i="4"/>
  <c r="J11" i="4"/>
  <c r="I11" i="4"/>
  <c r="H28" i="12" l="1"/>
  <c r="H27" i="12"/>
  <c r="H26" i="12"/>
  <c r="H30" i="12" s="1"/>
  <c r="L20" i="7"/>
  <c r="M39" i="7"/>
  <c r="M44" i="7" s="1"/>
  <c r="L44" i="7"/>
  <c r="M33" i="7"/>
  <c r="M52" i="7" s="1"/>
  <c r="L52" i="7"/>
  <c r="K34" i="9"/>
  <c r="K35" i="9" s="1"/>
  <c r="M9" i="9"/>
  <c r="M11" i="9" s="1"/>
  <c r="M13" i="9" s="1"/>
  <c r="M15" i="9" s="1"/>
  <c r="L11" i="9"/>
  <c r="L13" i="9" s="1"/>
  <c r="L15" i="9" s="1"/>
  <c r="J14" i="4"/>
  <c r="L34" i="4"/>
  <c r="M34" i="4" s="1"/>
  <c r="K39" i="4"/>
  <c r="M12" i="4"/>
  <c r="M39" i="4"/>
  <c r="J39" i="4"/>
  <c r="L12" i="4"/>
  <c r="I12" i="4"/>
  <c r="I14" i="4" s="1"/>
  <c r="I25" i="4" s="1"/>
  <c r="I26" i="4" s="1"/>
  <c r="J24" i="4" s="1"/>
  <c r="J25" i="4" s="1"/>
  <c r="L39" i="4"/>
  <c r="H56" i="4"/>
  <c r="G56" i="4" s="1"/>
  <c r="I35" i="4" s="1"/>
  <c r="J35" i="4" s="1"/>
  <c r="K35" i="4" s="1"/>
  <c r="L35" i="4" s="1"/>
  <c r="M35" i="4" s="1"/>
  <c r="K12" i="4"/>
  <c r="J20" i="4"/>
  <c r="K17" i="4" s="1"/>
  <c r="L19" i="4"/>
  <c r="M19" i="4" s="1"/>
  <c r="M13" i="4" s="1"/>
  <c r="M14" i="4" s="1"/>
  <c r="K13" i="4"/>
  <c r="K14" i="4" s="1"/>
  <c r="I21" i="4"/>
  <c r="L34" i="9" l="1"/>
  <c r="L35" i="9" s="1"/>
  <c r="M34" i="9"/>
  <c r="M35" i="9" s="1"/>
  <c r="I27" i="4"/>
  <c r="J42" i="4"/>
  <c r="J26" i="4"/>
  <c r="K24" i="4" s="1"/>
  <c r="K25" i="4" s="1"/>
  <c r="J43" i="4"/>
  <c r="L13" i="4"/>
  <c r="L14" i="4" s="1"/>
  <c r="I42" i="4"/>
  <c r="I44" i="4" s="1"/>
  <c r="I16" i="9" s="1"/>
  <c r="I21" i="9" s="1"/>
  <c r="K42" i="4"/>
  <c r="K20" i="4"/>
  <c r="L17" i="4" s="1"/>
  <c r="J21" i="4"/>
  <c r="K43" i="4" l="1"/>
  <c r="I22" i="9"/>
  <c r="I24" i="9" s="1"/>
  <c r="J44" i="4"/>
  <c r="J16" i="9" s="1"/>
  <c r="J21" i="9" s="1"/>
  <c r="J27" i="4"/>
  <c r="K44" i="4"/>
  <c r="K16" i="9" s="1"/>
  <c r="K21" i="9" s="1"/>
  <c r="K26" i="4"/>
  <c r="L24" i="4" s="1"/>
  <c r="L43" i="4" s="1"/>
  <c r="K21" i="4"/>
  <c r="L42" i="4"/>
  <c r="L20" i="4"/>
  <c r="M17" i="4" s="1"/>
  <c r="I60" i="7" l="1"/>
  <c r="I63" i="7" s="1"/>
  <c r="J59" i="7" s="1"/>
  <c r="I30" i="9"/>
  <c r="I9" i="8"/>
  <c r="I20" i="8" s="1"/>
  <c r="I31" i="9"/>
  <c r="J22" i="9"/>
  <c r="J24" i="9" s="1"/>
  <c r="K22" i="9"/>
  <c r="K24" i="9" s="1"/>
  <c r="L25" i="4"/>
  <c r="L26" i="4" s="1"/>
  <c r="M24" i="4" s="1"/>
  <c r="L44" i="4"/>
  <c r="L16" i="9" s="1"/>
  <c r="L21" i="9" s="1"/>
  <c r="K27" i="4"/>
  <c r="M20" i="4"/>
  <c r="M21" i="4" s="1"/>
  <c r="M42" i="4"/>
  <c r="L21" i="4"/>
  <c r="K9" i="8" l="1"/>
  <c r="K20" i="8" s="1"/>
  <c r="K31" i="9"/>
  <c r="K60" i="7"/>
  <c r="K30" i="9"/>
  <c r="J60" i="7"/>
  <c r="J63" i="7" s="1"/>
  <c r="K59" i="7" s="1"/>
  <c r="K63" i="7" s="1"/>
  <c r="L59" i="7" s="1"/>
  <c r="J30" i="9"/>
  <c r="J9" i="8"/>
  <c r="J20" i="8" s="1"/>
  <c r="J31" i="9"/>
  <c r="L27" i="4"/>
  <c r="L24" i="9"/>
  <c r="L22" i="9"/>
  <c r="M43" i="4"/>
  <c r="M44" i="4" s="1"/>
  <c r="M16" i="9" s="1"/>
  <c r="M21" i="9" s="1"/>
  <c r="M25" i="4"/>
  <c r="M26" i="4" s="1"/>
  <c r="M27" i="4" s="1"/>
  <c r="L30" i="9" l="1"/>
  <c r="L9" i="8"/>
  <c r="L20" i="8" s="1"/>
  <c r="L31" i="9"/>
  <c r="L60" i="7"/>
  <c r="L63" i="7" s="1"/>
  <c r="M59" i="7" s="1"/>
  <c r="M22" i="9"/>
  <c r="M24" i="9" s="1"/>
  <c r="D42" i="12"/>
  <c r="M9" i="8" l="1"/>
  <c r="M20" i="8" s="1"/>
  <c r="M31" i="9"/>
  <c r="M30" i="9"/>
  <c r="M60" i="7"/>
  <c r="M63" i="7"/>
  <c r="D40" i="12"/>
  <c r="D41" i="12"/>
  <c r="C39" i="12"/>
  <c r="H6" i="12" l="1"/>
  <c r="E39" i="12"/>
  <c r="F41" i="12"/>
  <c r="F40" i="12" l="1"/>
  <c r="F42" i="12" l="1"/>
  <c r="O39" i="9" l="1"/>
  <c r="S32" i="1" l="1"/>
  <c r="B16" i="10"/>
  <c r="B17" i="10"/>
  <c r="O74" i="7"/>
  <c r="O71" i="7"/>
  <c r="O43" i="9" l="1"/>
  <c r="O42" i="9"/>
  <c r="B39" i="12" l="1"/>
  <c r="D39" i="12" s="1"/>
  <c r="F5" i="9"/>
  <c r="F5" i="6"/>
  <c r="E15" i="6" l="1"/>
  <c r="G35" i="6" l="1"/>
  <c r="F35" i="6"/>
  <c r="F39" i="12"/>
  <c r="T9" i="1"/>
  <c r="T33" i="1" s="1"/>
  <c r="U9" i="1"/>
  <c r="U21" i="1" s="1"/>
  <c r="H39" i="1"/>
  <c r="B37" i="6"/>
  <c r="B36" i="6"/>
  <c r="E9" i="6"/>
  <c r="A17" i="6"/>
  <c r="E35" i="2"/>
  <c r="I35" i="2" s="1"/>
  <c r="I28" i="2"/>
  <c r="I29" i="2"/>
  <c r="C32" i="2"/>
  <c r="C31" i="2"/>
  <c r="C30" i="2"/>
  <c r="C29" i="2"/>
  <c r="B46" i="1"/>
  <c r="C46" i="6"/>
  <c r="E48" i="6"/>
  <c r="E49" i="6" s="1"/>
  <c r="C44" i="6"/>
  <c r="G39" i="1"/>
  <c r="H38" i="1"/>
  <c r="G38" i="1"/>
  <c r="S33" i="1"/>
  <c r="E33" i="1" s="1"/>
  <c r="E32" i="1"/>
  <c r="U25" i="1"/>
  <c r="K6" i="1"/>
  <c r="N6" i="1" s="1"/>
  <c r="Q6" i="1" s="1"/>
  <c r="J6" i="1"/>
  <c r="M6" i="1" s="1"/>
  <c r="P6" i="1" s="1"/>
  <c r="B54" i="7"/>
  <c r="B53" i="7"/>
  <c r="B52" i="7"/>
  <c r="B50" i="7"/>
  <c r="B18" i="10"/>
  <c r="B33" i="6"/>
  <c r="A38" i="6"/>
  <c r="A40" i="6"/>
  <c r="A29" i="6"/>
  <c r="A41" i="6" s="1"/>
  <c r="A29" i="9"/>
  <c r="A26" i="9"/>
  <c r="B31" i="9"/>
  <c r="B30" i="9"/>
  <c r="F5" i="7"/>
  <c r="B3" i="10"/>
  <c r="A1" i="10"/>
  <c r="S24" i="1"/>
  <c r="S10" i="1"/>
  <c r="S26" i="1"/>
  <c r="S9" i="1"/>
  <c r="S25" i="1"/>
  <c r="B3" i="8"/>
  <c r="U29" i="1" l="1"/>
  <c r="B3" i="7"/>
  <c r="B3" i="4"/>
  <c r="B3" i="12"/>
  <c r="A1" i="2"/>
  <c r="A1" i="4"/>
  <c r="A1" i="12"/>
  <c r="A1" i="7"/>
  <c r="U18" i="1"/>
  <c r="U41" i="1"/>
  <c r="U32" i="1"/>
  <c r="U10" i="1"/>
  <c r="Q33" i="1"/>
  <c r="P33" i="1"/>
  <c r="J25" i="1"/>
  <c r="K25" i="1"/>
  <c r="B3" i="6"/>
  <c r="U19" i="1"/>
  <c r="U13" i="1"/>
  <c r="J9" i="1"/>
  <c r="M9" i="1" s="1"/>
  <c r="P9" i="1" s="1"/>
  <c r="K9" i="1"/>
  <c r="N9" i="1" s="1"/>
  <c r="Q9" i="1" s="1"/>
  <c r="U38" i="1"/>
  <c r="U16" i="1"/>
  <c r="P32" i="1"/>
  <c r="Q32" i="1"/>
  <c r="U39" i="1"/>
  <c r="U27" i="1"/>
  <c r="K26" i="1"/>
  <c r="J26" i="1"/>
  <c r="U35" i="1"/>
  <c r="U15" i="1"/>
  <c r="U24" i="1"/>
  <c r="U33" i="1"/>
  <c r="K10" i="1"/>
  <c r="J10" i="1"/>
  <c r="K24" i="1"/>
  <c r="J24" i="1"/>
  <c r="B3" i="1"/>
  <c r="U12" i="1"/>
  <c r="U26" i="1"/>
  <c r="A1" i="8"/>
  <c r="A1" i="1"/>
  <c r="A1" i="6"/>
  <c r="A1" i="9"/>
  <c r="T27" i="1"/>
  <c r="T41" i="1"/>
  <c r="T38" i="1"/>
  <c r="T39" i="1"/>
  <c r="B45" i="1"/>
  <c r="B3" i="9"/>
  <c r="B9" i="6"/>
  <c r="T25" i="1"/>
  <c r="T10" i="1"/>
  <c r="S27" i="1"/>
  <c r="T12" i="1"/>
  <c r="C45" i="6"/>
  <c r="T29" i="1"/>
  <c r="T24" i="1"/>
  <c r="T13" i="1"/>
  <c r="T16" i="1"/>
  <c r="T32" i="1"/>
  <c r="T18" i="1"/>
  <c r="T15" i="1"/>
  <c r="T19" i="1"/>
  <c r="T26" i="1"/>
  <c r="T35" i="1"/>
  <c r="T21" i="1"/>
  <c r="B44" i="1"/>
  <c r="B51" i="9"/>
  <c r="B43" i="8"/>
  <c r="B43" i="6"/>
  <c r="B77" i="7"/>
  <c r="B43" i="1"/>
  <c r="F48" i="6"/>
  <c r="F49" i="6" s="1"/>
  <c r="N10" i="1" l="1"/>
  <c r="Q10" i="1" s="1"/>
  <c r="Q27" i="1"/>
  <c r="N27" i="1" s="1"/>
  <c r="K27" i="1" s="1"/>
  <c r="K29" i="1" s="1"/>
  <c r="P27" i="1"/>
  <c r="M27" i="1" s="1"/>
  <c r="J27" i="1" s="1"/>
  <c r="J29" i="1" s="1"/>
  <c r="N24" i="1"/>
  <c r="M25" i="1"/>
  <c r="P25" i="1" s="1"/>
  <c r="M10" i="1"/>
  <c r="P10" i="1" s="1"/>
  <c r="M26" i="1"/>
  <c r="P26" i="1" s="1"/>
  <c r="Q35" i="1"/>
  <c r="N32" i="1"/>
  <c r="M33" i="1"/>
  <c r="J33" i="1" s="1"/>
  <c r="M24" i="1"/>
  <c r="N26" i="1"/>
  <c r="Q26" i="1" s="1"/>
  <c r="P35" i="1"/>
  <c r="M32" i="1"/>
  <c r="N25" i="1"/>
  <c r="Q25" i="1" s="1"/>
  <c r="N33" i="1"/>
  <c r="K33" i="1" s="1"/>
  <c r="G48" i="6"/>
  <c r="G49" i="6" s="1"/>
  <c r="J32" i="1" l="1"/>
  <c r="J35" i="1" s="1"/>
  <c r="M35" i="1"/>
  <c r="N29" i="1"/>
  <c r="Q24" i="1"/>
  <c r="Q29" i="1" s="1"/>
  <c r="M29" i="1"/>
  <c r="P24" i="1"/>
  <c r="P29" i="1" s="1"/>
  <c r="K32" i="1"/>
  <c r="K35" i="1" s="1"/>
  <c r="N35" i="1"/>
  <c r="S15" i="1"/>
  <c r="H48" i="6"/>
  <c r="H49" i="6" s="1"/>
  <c r="F6" i="9"/>
  <c r="F6" i="6"/>
  <c r="F6" i="7"/>
  <c r="K15" i="1" l="1"/>
  <c r="N15" i="1" s="1"/>
  <c r="Q15" i="1" s="1"/>
  <c r="J15" i="1"/>
  <c r="M15" i="1" s="1"/>
  <c r="P15" i="1" s="1"/>
  <c r="S12" i="1"/>
  <c r="S16" i="1"/>
  <c r="G6" i="6"/>
  <c r="G6" i="7"/>
  <c r="G6" i="9"/>
  <c r="K16" i="1" l="1"/>
  <c r="N16" i="1" s="1"/>
  <c r="Q16" i="1" s="1"/>
  <c r="J16" i="1"/>
  <c r="M16" i="1" s="1"/>
  <c r="P16" i="1" s="1"/>
  <c r="K12" i="1"/>
  <c r="N12" i="1" s="1"/>
  <c r="Q12" i="1" s="1"/>
  <c r="J12" i="1"/>
  <c r="M12" i="1" s="1"/>
  <c r="P12" i="1" s="1"/>
  <c r="S13" i="1"/>
  <c r="I48" i="6"/>
  <c r="I49" i="6" s="1"/>
  <c r="I16" i="6" s="1"/>
  <c r="I17" i="6" s="1"/>
  <c r="H6" i="7"/>
  <c r="H6" i="6"/>
  <c r="H6" i="9"/>
  <c r="K13" i="1" l="1"/>
  <c r="N13" i="1" s="1"/>
  <c r="Q13" i="1" s="1"/>
  <c r="J13" i="1"/>
  <c r="M13" i="1" s="1"/>
  <c r="P13" i="1" s="1"/>
  <c r="J48" i="6"/>
  <c r="J49" i="6" s="1"/>
  <c r="J16" i="6" s="1"/>
  <c r="J17" i="6" s="1"/>
  <c r="I6" i="7"/>
  <c r="I6" i="9"/>
  <c r="I6" i="6"/>
  <c r="E9" i="1"/>
  <c r="E12" i="1" s="1"/>
  <c r="E15" i="1" s="1"/>
  <c r="E18" i="1" s="1"/>
  <c r="I6" i="8"/>
  <c r="K48" i="6" l="1"/>
  <c r="K49" i="6" s="1"/>
  <c r="K16" i="6" s="1"/>
  <c r="K17" i="6" s="1"/>
  <c r="J6" i="9"/>
  <c r="E10" i="1"/>
  <c r="E13" i="1" s="1"/>
  <c r="E16" i="1" s="1"/>
  <c r="E19" i="1" s="1"/>
  <c r="J6" i="7"/>
  <c r="J6" i="8"/>
  <c r="J6" i="6"/>
  <c r="L48" i="6" l="1"/>
  <c r="L49" i="6" s="1"/>
  <c r="L16" i="6" s="1"/>
  <c r="L17" i="6" s="1"/>
  <c r="K6" i="8"/>
  <c r="K6" i="9"/>
  <c r="K6" i="7"/>
  <c r="K6" i="6"/>
  <c r="M6" i="8" l="1"/>
  <c r="M48" i="6"/>
  <c r="L6" i="9"/>
  <c r="L6" i="7"/>
  <c r="L6" i="8"/>
  <c r="L6" i="6"/>
  <c r="M6" i="9" l="1"/>
  <c r="M6" i="6"/>
  <c r="C23" i="6" s="1"/>
  <c r="C35" i="6" s="1"/>
  <c r="M6" i="7"/>
  <c r="M49" i="6"/>
  <c r="M16" i="6" s="1"/>
  <c r="G24" i="6" l="1"/>
  <c r="F24" i="6"/>
  <c r="M17" i="6"/>
  <c r="F36" i="6"/>
  <c r="G36" i="6"/>
  <c r="F37" i="6" l="1"/>
  <c r="F38" i="6" s="1"/>
  <c r="F40" i="6" s="1"/>
  <c r="F41" i="6" s="1"/>
  <c r="H63" i="12" s="1"/>
  <c r="F25" i="6"/>
  <c r="F26" i="6" s="1"/>
  <c r="F28" i="6" s="1"/>
  <c r="F29" i="6" s="1"/>
  <c r="P38" i="1" s="1"/>
  <c r="M38" i="1" s="1"/>
  <c r="G25" i="6"/>
  <c r="G26" i="6" s="1"/>
  <c r="G28" i="6" s="1"/>
  <c r="G29" i="6" s="1"/>
  <c r="Q38" i="1" s="1"/>
  <c r="G37" i="6"/>
  <c r="G38" i="6" s="1"/>
  <c r="G40" i="6" s="1"/>
  <c r="G41" i="6" s="1"/>
  <c r="Q39" i="1" s="1"/>
  <c r="N39" i="1" s="1"/>
  <c r="K39" i="1" s="1"/>
  <c r="H48" i="12" l="1"/>
  <c r="H78" i="12"/>
  <c r="P39" i="1"/>
  <c r="M39" i="1" s="1"/>
  <c r="J39" i="1" s="1"/>
  <c r="H93" i="12"/>
  <c r="Q41" i="1"/>
  <c r="F32" i="2" s="1"/>
  <c r="N38" i="1"/>
  <c r="N41" i="1" s="1"/>
  <c r="J38" i="1"/>
  <c r="F33" i="2" l="1"/>
  <c r="K38" i="1"/>
  <c r="K41" i="1" s="1"/>
  <c r="M41" i="1"/>
  <c r="J41" i="1"/>
  <c r="P41" i="1"/>
  <c r="D32" i="2" s="1"/>
  <c r="D33" i="2" s="1"/>
  <c r="S18" i="1"/>
  <c r="E32" i="2" l="1"/>
  <c r="E33" i="2"/>
  <c r="Q18" i="1"/>
  <c r="P18" i="1"/>
  <c r="M18" i="1" l="1"/>
  <c r="N18" i="1"/>
  <c r="K18" i="1" l="1"/>
  <c r="J18" i="1"/>
  <c r="S19" i="1" l="1"/>
  <c r="Q19" i="1" l="1"/>
  <c r="P19" i="1"/>
  <c r="P21" i="1" l="1"/>
  <c r="M19" i="1"/>
  <c r="Q21" i="1"/>
  <c r="N19" i="1"/>
  <c r="N21" i="1" l="1"/>
  <c r="K19" i="1"/>
  <c r="K21" i="1" s="1"/>
  <c r="J19" i="1"/>
  <c r="J21" i="1" s="1"/>
  <c r="M21" i="1"/>
  <c r="N42" i="9"/>
  <c r="I30" i="7"/>
  <c r="I36" i="7" s="1"/>
  <c r="I46" i="7" s="1"/>
  <c r="I47" i="7" s="1"/>
  <c r="I54" i="7"/>
  <c r="I56" i="7" s="1"/>
  <c r="J30" i="7"/>
  <c r="J36" i="7" s="1"/>
  <c r="J46" i="7" s="1"/>
  <c r="J47" i="7" s="1"/>
  <c r="J29" i="7"/>
  <c r="J54" i="7" s="1"/>
  <c r="J56" i="7" s="1"/>
  <c r="K29" i="7"/>
  <c r="K30" i="7" s="1"/>
  <c r="K36" i="7" s="1"/>
  <c r="K46" i="7" s="1"/>
  <c r="K47" i="7" s="1"/>
  <c r="L29" i="7" l="1"/>
  <c r="K54" i="7"/>
  <c r="K56" i="7" s="1"/>
  <c r="L30" i="7" l="1"/>
  <c r="L36" i="7" s="1"/>
  <c r="L46" i="7" s="1"/>
  <c r="L47" i="7" s="1"/>
  <c r="L54" i="7"/>
  <c r="L56" i="7" s="1"/>
  <c r="M29" i="7"/>
  <c r="M54" i="7" l="1"/>
  <c r="M56" i="7" s="1"/>
  <c r="M30" i="7"/>
  <c r="M36" i="7" s="1"/>
  <c r="M46" i="7" s="1"/>
  <c r="M4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tc={A98ABB17-0162-4E21-BD84-0B4EBC0C132C}</author>
  </authors>
  <commentList>
    <comment ref="E15" authorId="0" shapeId="0" xr:uid="{A98ABB17-0162-4E21-BD84-0B4EBC0C132C}">
      <text>
        <t>[Threaded comment]
Your version of Excel allows you to read this threaded comment; however, any edits to it will get removed if the file is opened in a newer version of Excel. Learn more: https://go.microsoft.com/fwlink/?linkid=870924
Comment:
    Pull this in from Capital Structure Worksheet.</t>
      </text>
    </comment>
  </commentList>
</comments>
</file>

<file path=xl/sharedStrings.xml><?xml version="1.0" encoding="utf-8"?>
<sst xmlns="http://schemas.openxmlformats.org/spreadsheetml/2006/main" count="462" uniqueCount="319">
  <si>
    <t>Wal-Mart Stores, Inc.</t>
  </si>
  <si>
    <t>Actual</t>
  </si>
  <si>
    <t>Revenue</t>
  </si>
  <si>
    <t>Sum</t>
  </si>
  <si>
    <t>Assumption</t>
  </si>
  <si>
    <t>EBITDA</t>
  </si>
  <si>
    <t>Assume normalized tax rate</t>
  </si>
  <si>
    <t>Company name</t>
  </si>
  <si>
    <t>Historic year end</t>
  </si>
  <si>
    <t>Currency</t>
  </si>
  <si>
    <t>$</t>
  </si>
  <si>
    <t>Currency units</t>
  </si>
  <si>
    <t>m</t>
  </si>
  <si>
    <t>Controls</t>
  </si>
  <si>
    <t>Income statement</t>
  </si>
  <si>
    <t>Number of historic years</t>
  </si>
  <si>
    <t>Current</t>
  </si>
  <si>
    <t>Forecast</t>
  </si>
  <si>
    <t>Forecast assumptions</t>
  </si>
  <si>
    <t>Net sales</t>
  </si>
  <si>
    <t>Membership &amp; other</t>
  </si>
  <si>
    <t>Total revenue</t>
  </si>
  <si>
    <t>Cost of sales</t>
  </si>
  <si>
    <t>Gross profit</t>
  </si>
  <si>
    <t>Operating, SG&amp;A expenses</t>
  </si>
  <si>
    <t>Operating income</t>
  </si>
  <si>
    <t>Interest expense</t>
  </si>
  <si>
    <t>Capital lease interest expense</t>
  </si>
  <si>
    <t>Interest income</t>
  </si>
  <si>
    <t>Pre-tax income</t>
  </si>
  <si>
    <t>Income taxes</t>
  </si>
  <si>
    <t>Net income</t>
  </si>
  <si>
    <t>Basic</t>
  </si>
  <si>
    <t>Diluted</t>
  </si>
  <si>
    <t>Net sales growth</t>
  </si>
  <si>
    <t>Membership &amp; other growth</t>
  </si>
  <si>
    <t>COGS, % of net sales</t>
  </si>
  <si>
    <t>Op, SG&amp;A, % of revenue</t>
  </si>
  <si>
    <t>Effective tax rate</t>
  </si>
  <si>
    <t>Depreciation &amp; amortization</t>
  </si>
  <si>
    <t>D&amp;A, % of revenue</t>
  </si>
  <si>
    <t>% growth</t>
  </si>
  <si>
    <t>% of net sales</t>
  </si>
  <si>
    <t>% of revenue</t>
  </si>
  <si>
    <t>Debt sweep</t>
  </si>
  <si>
    <t>Tax rate</t>
  </si>
  <si>
    <t>Op. inc + depr + amort</t>
  </si>
  <si>
    <t>EBITDA / revenue</t>
  </si>
  <si>
    <t>EBITDA margin</t>
  </si>
  <si>
    <t>Sum of CFO, CFI and CFF</t>
  </si>
  <si>
    <t>Add: depreciation &amp; amortization</t>
  </si>
  <si>
    <t>From income statement</t>
  </si>
  <si>
    <t>Prior year less current year</t>
  </si>
  <si>
    <t xml:space="preserve">Current year less prior year </t>
  </si>
  <si>
    <t>Sum of all CFF items</t>
  </si>
  <si>
    <t>Changes in working capital</t>
  </si>
  <si>
    <t>(Incr)/decr in receivables</t>
  </si>
  <si>
    <t>(Incr)/decr in inventories</t>
  </si>
  <si>
    <t>(Incr)/decr in prepaid expenses &amp; other</t>
  </si>
  <si>
    <t>(Incr)/decr in other assets &amp; deferred charges</t>
  </si>
  <si>
    <t>Incr/(decr) in accounts payable</t>
  </si>
  <si>
    <t>Incr/(decr) in accrued liabilities</t>
  </si>
  <si>
    <t>Total change in working capital</t>
  </si>
  <si>
    <t>Total cash from operating activities</t>
  </si>
  <si>
    <t>Cash from investing activities</t>
  </si>
  <si>
    <t>Cash from operating</t>
  </si>
  <si>
    <t>Total cash from investing activities</t>
  </si>
  <si>
    <t>Cash from financing</t>
  </si>
  <si>
    <t>Issuance of common stock</t>
  </si>
  <si>
    <t xml:space="preserve">Common stock dividends </t>
  </si>
  <si>
    <t>Net (purchase)/reissuance of treasury stock</t>
  </si>
  <si>
    <t>Cash available/(required) before debt</t>
  </si>
  <si>
    <t>Total cash from financing activities</t>
  </si>
  <si>
    <t>Beginning cash balance</t>
  </si>
  <si>
    <t>Change in cash</t>
  </si>
  <si>
    <t>Ending cash balance</t>
  </si>
  <si>
    <t>Average cash balance</t>
  </si>
  <si>
    <t>Capital expenditure</t>
  </si>
  <si>
    <t>From CF statement</t>
  </si>
  <si>
    <t>Receivables</t>
  </si>
  <si>
    <t>Inventories</t>
  </si>
  <si>
    <t>Net PPE</t>
  </si>
  <si>
    <t>Goodwill</t>
  </si>
  <si>
    <t>Revolver</t>
  </si>
  <si>
    <t>Constant</t>
  </si>
  <si>
    <t>APIC</t>
  </si>
  <si>
    <t>Check</t>
  </si>
  <si>
    <t>Calculation</t>
  </si>
  <si>
    <t>Assets</t>
  </si>
  <si>
    <t>Current assets</t>
  </si>
  <si>
    <t>Cash &amp; equivalents</t>
  </si>
  <si>
    <t>Prepaid expenses &amp; other</t>
  </si>
  <si>
    <t>Total current assets</t>
  </si>
  <si>
    <t>Net capital leases</t>
  </si>
  <si>
    <t>Other assets &amp; deferred charges</t>
  </si>
  <si>
    <t>Total assets</t>
  </si>
  <si>
    <t>Liabilities</t>
  </si>
  <si>
    <t>Current liabilities</t>
  </si>
  <si>
    <t>Accounts payable</t>
  </si>
  <si>
    <t>Accrued liabilities</t>
  </si>
  <si>
    <t>Accrued income taxes</t>
  </si>
  <si>
    <t>Current portion of capital leases</t>
  </si>
  <si>
    <t>Total current liabilities</t>
  </si>
  <si>
    <t>Long-term debt</t>
  </si>
  <si>
    <t>Capital leases</t>
  </si>
  <si>
    <t>Deferred income taxes &amp; other</t>
  </si>
  <si>
    <t>Total liabilities</t>
  </si>
  <si>
    <t>Notes</t>
  </si>
  <si>
    <t>Shareholders' equity</t>
  </si>
  <si>
    <t>Common stock</t>
  </si>
  <si>
    <t>Retained earnings</t>
  </si>
  <si>
    <t>Accumulated other comp. income</t>
  </si>
  <si>
    <t>Total shareholders' equity</t>
  </si>
  <si>
    <t>Total liabilities &amp; shareholders' equity</t>
  </si>
  <si>
    <t>Days receivable outstanding</t>
  </si>
  <si>
    <t>Days inventory outstanding</t>
  </si>
  <si>
    <t>Prepaid as % of revenue</t>
  </si>
  <si>
    <t>Other assets as % of revenue</t>
  </si>
  <si>
    <t>Days payable outstanding</t>
  </si>
  <si>
    <t>Accrued liabilities, as % of revenue</t>
  </si>
  <si>
    <t>Non-controlling interests</t>
  </si>
  <si>
    <t>NCI growth</t>
  </si>
  <si>
    <t>COGS * inventory days / 365</t>
  </si>
  <si>
    <t>Beg bal + Capex - depr</t>
  </si>
  <si>
    <t>From debt sweep</t>
  </si>
  <si>
    <t>Expenses * payable days / 365</t>
  </si>
  <si>
    <t>Revenue * receivable days / 365</t>
  </si>
  <si>
    <t>Beg bal + stock issued</t>
  </si>
  <si>
    <t>Average of beg &amp; end balance</t>
  </si>
  <si>
    <t>Balancing equation</t>
  </si>
  <si>
    <t>From above</t>
  </si>
  <si>
    <t>plus: beginning cash on balance sheet</t>
  </si>
  <si>
    <t>less: minimum cash balance</t>
  </si>
  <si>
    <t>Beginning balance</t>
  </si>
  <si>
    <t>Mandatory debt repayment</t>
  </si>
  <si>
    <t>Borrowings – refinance</t>
  </si>
  <si>
    <t>Ending balance</t>
  </si>
  <si>
    <t>Average balance</t>
  </si>
  <si>
    <t>Interest rates</t>
  </si>
  <si>
    <t>Cash &amp; cash equivalents</t>
  </si>
  <si>
    <t>Total interest expense</t>
  </si>
  <si>
    <t>Balance sheet</t>
  </si>
  <si>
    <t>Cash flow statement</t>
  </si>
  <si>
    <t>Debt schedules</t>
  </si>
  <si>
    <t>EBIT</t>
  </si>
  <si>
    <t>Unlevered free cash flow</t>
  </si>
  <si>
    <t>NOPAT</t>
  </si>
  <si>
    <t>less: capex</t>
  </si>
  <si>
    <t>add: depreciation &amp; amortization</t>
  </si>
  <si>
    <t>EBITDA multiple method</t>
  </si>
  <si>
    <t>DCF range (implied Enterprise Value)</t>
  </si>
  <si>
    <t>Terminal value</t>
  </si>
  <si>
    <t>EBITDA multiple</t>
  </si>
  <si>
    <t>Perpetuity growth rate</t>
  </si>
  <si>
    <t>Valuation date</t>
  </si>
  <si>
    <t>Perpetuity growth method</t>
  </si>
  <si>
    <t>Equity Value *</t>
  </si>
  <si>
    <t>Discounted cash flow</t>
  </si>
  <si>
    <t>EPS</t>
  </si>
  <si>
    <t>WMT</t>
  </si>
  <si>
    <t>NOSH</t>
  </si>
  <si>
    <t>Historic</t>
  </si>
  <si>
    <t>Stock price</t>
  </si>
  <si>
    <t>References - to be used in year headings</t>
  </si>
  <si>
    <t>A</t>
  </si>
  <si>
    <t>P</t>
  </si>
  <si>
    <t>year counters</t>
  </si>
  <si>
    <t>year labels</t>
  </si>
  <si>
    <t>DCF period counters</t>
  </si>
  <si>
    <t>Working - discount periods</t>
  </si>
  <si>
    <t>Working - discount factors</t>
  </si>
  <si>
    <t>Net debt</t>
  </si>
  <si>
    <t>less: cash &amp; equivalents</t>
  </si>
  <si>
    <t>Total net debt</t>
  </si>
  <si>
    <t>High</t>
  </si>
  <si>
    <t>Low</t>
  </si>
  <si>
    <t>Company ticker</t>
  </si>
  <si>
    <t>Methodology</t>
  </si>
  <si>
    <t>LTM</t>
  </si>
  <si>
    <t>Valuation summary</t>
  </si>
  <si>
    <t>Relevant multiple</t>
  </si>
  <si>
    <t>Implied EV</t>
  </si>
  <si>
    <t>Workings</t>
  </si>
  <si>
    <t>Metric</t>
  </si>
  <si>
    <t>ND &amp;</t>
  </si>
  <si>
    <t>other adj</t>
  </si>
  <si>
    <t>Implied ranges</t>
  </si>
  <si>
    <t>Precedent retail acquisitions</t>
  </si>
  <si>
    <t>1 month prior</t>
  </si>
  <si>
    <t>1 day prior</t>
  </si>
  <si>
    <t>Premiums paid</t>
  </si>
  <si>
    <t>Implied Equity Value *</t>
  </si>
  <si>
    <t>Implied stock price **</t>
  </si>
  <si>
    <t>52-week trading range</t>
  </si>
  <si>
    <t>Target valuation</t>
  </si>
  <si>
    <t>Valuation football field</t>
  </si>
  <si>
    <t>Interest expense on debt</t>
  </si>
  <si>
    <t>Assumed constant</t>
  </si>
  <si>
    <t>Net income / basic NOSH</t>
  </si>
  <si>
    <t>Net income / diluted NOSH</t>
  </si>
  <si>
    <t>A/R / revenue * 365, constant</t>
  </si>
  <si>
    <t>Prepaid / revenue, constant</t>
  </si>
  <si>
    <t>Other assets / revenue, constant</t>
  </si>
  <si>
    <t>Accrued liabilities / revenue, constant</t>
  </si>
  <si>
    <t>Other key cash flow metrics</t>
  </si>
  <si>
    <t>Cork-screw</t>
  </si>
  <si>
    <t>1st year from BS; sum goes to BS</t>
  </si>
  <si>
    <t>1st year from BS; sum other years</t>
  </si>
  <si>
    <t>Labels</t>
  </si>
  <si>
    <t xml:space="preserve">Current price </t>
  </si>
  <si>
    <t>Wtd avg estimate (see below)</t>
  </si>
  <si>
    <t>Interest rate workings</t>
  </si>
  <si>
    <t>Sum mandatory pmts &amp; borrowings</t>
  </si>
  <si>
    <t>Beginning of year</t>
  </si>
  <si>
    <t>Dividends</t>
  </si>
  <si>
    <t>Treasury stock</t>
  </si>
  <si>
    <t>End of year</t>
  </si>
  <si>
    <t>From cash flows</t>
  </si>
  <si>
    <t>Working below</t>
  </si>
  <si>
    <t>Discount factor</t>
  </si>
  <si>
    <t>WACC</t>
  </si>
  <si>
    <t>PV of discrete cash flows</t>
  </si>
  <si>
    <t>PV of terminal value</t>
  </si>
  <si>
    <t>Apply normalized tax rate to EBIT</t>
  </si>
  <si>
    <t xml:space="preserve">On basis of time from valuation date </t>
  </si>
  <si>
    <t>FCF * discount factor</t>
  </si>
  <si>
    <t>EBIT + D&amp;A from above</t>
  </si>
  <si>
    <t>EBITDA in final yr * multiple</t>
  </si>
  <si>
    <t>Discounted by final yr discount factor</t>
  </si>
  <si>
    <t>Sum of above</t>
  </si>
  <si>
    <t>Remove ND &amp; other adjustments</t>
  </si>
  <si>
    <t>Divide by NOSH</t>
  </si>
  <si>
    <t>Assumptions</t>
  </si>
  <si>
    <t>= FCF * (1 + g) / (WACC - g)</t>
  </si>
  <si>
    <t>Base data</t>
  </si>
  <si>
    <t>Underlying assumptions</t>
  </si>
  <si>
    <t>Analysis of Selected Publicly Traded Consumer Retailers</t>
  </si>
  <si>
    <t>(Repayment of) Long-Term Debt</t>
  </si>
  <si>
    <t>Proceeds from / (Repayment of) Revolver</t>
  </si>
  <si>
    <t>Cash flow available for financing activities</t>
  </si>
  <si>
    <t>Cash Available for Debt Repayment</t>
  </si>
  <si>
    <t>Long-Term Debt (Repayments)</t>
  </si>
  <si>
    <t>Cash Available for Revolving Credit Facility</t>
  </si>
  <si>
    <t>Discretionary (Paydown) / Borrowings</t>
  </si>
  <si>
    <t>Long term debt</t>
  </si>
  <si>
    <t>Long-Term Debt due within the year</t>
  </si>
  <si>
    <t>Assumption zero</t>
  </si>
  <si>
    <t>less: increase in working capital</t>
  </si>
  <si>
    <t>Range</t>
  </si>
  <si>
    <t>C</t>
  </si>
  <si>
    <t>Fraction of a year between valuation date and historic year end:</t>
  </si>
  <si>
    <t>Assumption Constant</t>
  </si>
  <si>
    <t>Loss on extinguishment of debt</t>
  </si>
  <si>
    <t>Assume zero</t>
  </si>
  <si>
    <t>Assumption given current interest rates environment.</t>
  </si>
  <si>
    <t>Other (gains) and losses</t>
  </si>
  <si>
    <t>Source: SOCF for 2019 and then keep constant</t>
  </si>
  <si>
    <t>Source: current SOCF for 2019 and then keep constant</t>
  </si>
  <si>
    <t>Source: 2019 10k page 45 (ST borrowings rate).  Assumption is stays constant</t>
  </si>
  <si>
    <t>Source: 2019 10k long term debt footnote; pg 45</t>
  </si>
  <si>
    <t>Source: 2019 10k page 45.</t>
  </si>
  <si>
    <t>Assumptions - Typically, perpetuity growth rates range between the historical inflation rate of 2 - 3% and the historical GDP growth rate of 4 - 5%. </t>
  </si>
  <si>
    <t>Apply interest rate to beginning balance</t>
  </si>
  <si>
    <t>Beta</t>
  </si>
  <si>
    <t>Tax Rate</t>
  </si>
  <si>
    <t>Rate on Equity</t>
  </si>
  <si>
    <t>Risk Free Rate</t>
  </si>
  <si>
    <t>Expected Return on the Market</t>
  </si>
  <si>
    <t>Preferred Equity</t>
  </si>
  <si>
    <t>Rate on Preferred</t>
  </si>
  <si>
    <t>Weight on Common Equity</t>
  </si>
  <si>
    <t>Weight on Preferred Equity</t>
  </si>
  <si>
    <t>Weight on Debt</t>
  </si>
  <si>
    <t>From the debt sheet (ending balance)</t>
  </si>
  <si>
    <t>Sum LT Debt, Common Equity, and Preferred Equity</t>
  </si>
  <si>
    <t>Common Equity</t>
  </si>
  <si>
    <t>N/A</t>
  </si>
  <si>
    <t>Wd*Rd*(1-T)+Wce*Rce+Wpe+Rpe</t>
  </si>
  <si>
    <t>Divide Common Equity (CE) by Total Capital</t>
  </si>
  <si>
    <t>Divide Preferred Equity (PE) by Total Capital</t>
  </si>
  <si>
    <t>Divide Debt (D) by Total Capital</t>
  </si>
  <si>
    <t>Analysts' best guess</t>
  </si>
  <si>
    <t>Book Value of Long Term Debt</t>
  </si>
  <si>
    <t>Interest Expense</t>
  </si>
  <si>
    <t>Average Debt Maturity (years)</t>
  </si>
  <si>
    <t>Current Cost of Debt</t>
  </si>
  <si>
    <t>From the Income Statement</t>
  </si>
  <si>
    <t>Market Value of Debt</t>
  </si>
  <si>
    <t xml:space="preserve"> </t>
  </si>
  <si>
    <t>Can find this in the 10k notes.</t>
  </si>
  <si>
    <t>Interest Expense * (1 - (1 / (1 + Current Cost of Debt) ^ Maturity) / Current Cost of Debt) + Book Value of Debt / (1 + Current Cost of Debt)</t>
  </si>
  <si>
    <t>Total Capital (Market Values)</t>
  </si>
  <si>
    <t>Use market values (Calculate market capitalization from Control sheet)</t>
  </si>
  <si>
    <t>Using various costs of Debt, what happens to the Implied Share Price (EBITDA Multiple Method)?</t>
  </si>
  <si>
    <t>Assessing Risk</t>
  </si>
  <si>
    <t>Using various costs of Debt, what happens to the Implied Share Price (Perpetuity Growth Method)?</t>
  </si>
  <si>
    <t>Capital Structure</t>
  </si>
  <si>
    <t>What would it cost to issue new debt?</t>
  </si>
  <si>
    <t>Using various levels of Beta, what happens to the Implied Share Price (Perpetuity Growth method)?</t>
  </si>
  <si>
    <t>Using various levels of Beta, what happens to the Implied Share Price (EBITDA Multiple method)?</t>
  </si>
  <si>
    <t>Effective tax rate (from Income Statement assumptions)</t>
  </si>
  <si>
    <t>Current Capital Structure</t>
  </si>
  <si>
    <t>Highly Leveraged</t>
  </si>
  <si>
    <t>Demonstrating the Effect of Increased Leverage</t>
  </si>
  <si>
    <t>Before-Tax</t>
  </si>
  <si>
    <t>Wd</t>
  </si>
  <si>
    <t>Rd</t>
  </si>
  <si>
    <t>Wce</t>
  </si>
  <si>
    <t>Rce</t>
  </si>
  <si>
    <t>Adding More Leverage</t>
  </si>
  <si>
    <t>Long-run risk-free rate</t>
  </si>
  <si>
    <t>Long-run time series regression</t>
  </si>
  <si>
    <t>When there is an increase in leverage, the cost of debt increases, as does the cost of equity, due to the increased risk on shareholders.</t>
  </si>
  <si>
    <t>These factors offset one another in such a way that WACC remains the same.  For example:</t>
  </si>
  <si>
    <t>Use Solver to determine the Rd and Rce that keeps WACC constant</t>
  </si>
  <si>
    <t>Plug in your Proportion of Debt</t>
  </si>
  <si>
    <t>Created by:</t>
  </si>
  <si>
    <t>Date Created:</t>
  </si>
  <si>
    <t xml:space="preserve">Lamae Maharaj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</si>
</sst>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8" formatCode="&quot;$&quot;#,##0.00_);[Red]\(&quot;$&quot;#,##0.00\)"/>
    <numFmt numFmtId="43" formatCode="_(* #,##0.00_);_(* \(#,##0.00\);_(* &quot;-&quot;??_);_(@_)"/>
    <numFmt numFmtId="164" formatCode="#,##0_);\(#,##0\);\-\-_)"/>
    <numFmt numFmtId="165" formatCode="#,##0\ &quot;bps&quot;_);\(#,##0\ &quot;bps&quot;\);\-\-\ &quot;bps&quot;_);* @_)"/>
    <numFmt numFmtId="166" formatCode="0_);\(0\);0_);* @_)"/>
    <numFmt numFmtId="167" formatCode="0\ &quot;days&quot;_);\(0\ &quot;days&quot;\);\-\-\ &quot;days&quot;_);* @_)"/>
    <numFmt numFmtId="168" formatCode="#,##0.0,,_);\(#,##0.0,,\);\-\-_);* @_)"/>
    <numFmt numFmtId="169" formatCode="0.0\x;&quot;nm&quot;_x;&quot;nm&quot;_x;* @_x"/>
    <numFmt numFmtId="170" formatCode="0.00\x;&quot;nm&quot;_x;&quot;nm&quot;_x;* @_x"/>
    <numFmt numFmtId="171" formatCode="0.00%_);\(0.00%\);\-\-&quot;%&quot;_);* @_)"/>
    <numFmt numFmtId="172" formatCode="0%_);\(0%\);\-\-&quot;%&quot;_);* @_)"/>
    <numFmt numFmtId="173" formatCode="0.0%_);\(0.0%\);\-\-&quot;%&quot;_);* @_)"/>
    <numFmt numFmtId="174" formatCode="#,##0.00_);\(#,##0.00\);\-\-_);* @_)"/>
    <numFmt numFmtId="175" formatCode="0_);&quot;nm&quot;_);0_);* @_)"/>
    <numFmt numFmtId="176" formatCode="#,##0.0,_);\(#,##0.0,\);\-\-_);* @_)"/>
    <numFmt numFmtId="177" formatCode="0\ &quot;years&quot;_);&quot;nm&quot;_);\-\-\ &quot;years&quot;_);* @_)"/>
    <numFmt numFmtId="178" formatCode="mmm\ dd\,\ yyyy;&quot;nm &quot;;&quot;nm &quot;;* @_)"/>
    <numFmt numFmtId="179" formatCode="0.0\ &quot;days&quot;_);\(0.0\ &quot;days&quot;\);\-\-\ &quot;days&quot;_);* @_)"/>
    <numFmt numFmtId="180" formatCode="#,##0.00_);\(#,##0.00\);\-\-_)"/>
  </numFmts>
  <fonts count="16" x14ac:knownFonts="1">
    <font>
      <sz val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i/>
      <sz val="8"/>
      <color indexed="10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b/>
      <sz val="8"/>
      <color indexed="18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56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18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9">
    <xf numFmtId="164" fontId="0" fillId="0" borderId="0"/>
    <xf numFmtId="164" fontId="2" fillId="2" borderId="1" applyNumberFormat="0" applyProtection="0">
      <alignment horizontal="left" vertical="center"/>
    </xf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4" fillId="0" borderId="2" applyNumberFormat="0" applyFill="0" applyProtection="0">
      <alignment horizontal="left"/>
    </xf>
    <xf numFmtId="164" fontId="5" fillId="0" borderId="3" applyNumberFormat="0" applyFill="0" applyProtection="0">
      <alignment horizontal="left"/>
    </xf>
    <xf numFmtId="164" fontId="12" fillId="0" borderId="4" applyNumberFormat="0" applyFill="0" applyProtection="0">
      <alignment horizontal="centerContinuous"/>
    </xf>
    <xf numFmtId="164" fontId="5" fillId="0" borderId="3">
      <alignment horizontal="centerContinuous"/>
    </xf>
    <xf numFmtId="164" fontId="4" fillId="0" borderId="4" applyNumberFormat="0" applyFill="0" applyProtection="0">
      <alignment horizontal="right"/>
    </xf>
    <xf numFmtId="164" fontId="5" fillId="0" borderId="3" applyNumberFormat="0" applyFill="0" applyProtection="0">
      <alignment horizontal="right"/>
    </xf>
    <xf numFmtId="164" fontId="6" fillId="0" borderId="0" applyNumberFormat="0" applyFill="0" applyBorder="0" applyAlignment="0" applyProtection="0"/>
    <xf numFmtId="164" fontId="7" fillId="3" borderId="0" applyNumberFormat="0" applyBorder="0">
      <alignment horizontal="right"/>
      <protection locked="0"/>
    </xf>
    <xf numFmtId="164" fontId="7" fillId="4" borderId="0" applyNumberFormat="0" applyBorder="0">
      <alignment horizontal="right"/>
      <protection locked="0"/>
    </xf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71" fontId="9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5" fontId="7" fillId="3" borderId="0" applyBorder="0" applyAlignment="0">
      <alignment horizontal="right"/>
      <protection locked="0"/>
    </xf>
    <xf numFmtId="176" fontId="3" fillId="0" borderId="0" applyFont="0" applyFill="0" applyBorder="0" applyAlignment="0" applyProtection="0"/>
    <xf numFmtId="164" fontId="10" fillId="0" borderId="0" applyNumberFormat="0" applyFill="0" applyBorder="0" applyProtection="0"/>
    <xf numFmtId="164" fontId="11" fillId="0" borderId="0" applyNumberFormat="0" applyFill="0" applyBorder="0" applyProtection="0"/>
    <xf numFmtId="177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5">
    <xf numFmtId="164" fontId="0" fillId="0" borderId="0" xfId="0"/>
    <xf numFmtId="164" fontId="2" fillId="2" borderId="1" xfId="1">
      <alignment horizontal="left" vertical="center"/>
    </xf>
    <xf numFmtId="164" fontId="7" fillId="3" borderId="0" xfId="13">
      <alignment horizontal="right"/>
      <protection locked="0"/>
    </xf>
    <xf numFmtId="178" fontId="7" fillId="3" borderId="0" xfId="13" applyNumberFormat="1">
      <alignment horizontal="right"/>
      <protection locked="0"/>
    </xf>
    <xf numFmtId="164" fontId="11" fillId="0" borderId="0" xfId="26"/>
    <xf numFmtId="164" fontId="10" fillId="0" borderId="0" xfId="25"/>
    <xf numFmtId="164" fontId="2" fillId="2" borderId="5" xfId="1" applyBorder="1">
      <alignment horizontal="left" vertical="center"/>
    </xf>
    <xf numFmtId="164" fontId="5" fillId="0" borderId="3" xfId="9">
      <alignment horizontal="centerContinuous"/>
    </xf>
    <xf numFmtId="164" fontId="0" fillId="0" borderId="6" xfId="0" applyBorder="1"/>
    <xf numFmtId="164" fontId="5" fillId="0" borderId="0" xfId="9" applyBorder="1">
      <alignment horizontal="centerContinuous"/>
    </xf>
    <xf numFmtId="164" fontId="5" fillId="0" borderId="3" xfId="11">
      <alignment horizontal="right"/>
    </xf>
    <xf numFmtId="166" fontId="5" fillId="0" borderId="3" xfId="11" applyNumberFormat="1">
      <alignment horizontal="right"/>
    </xf>
    <xf numFmtId="164" fontId="5" fillId="0" borderId="3" xfId="7">
      <alignment horizontal="left"/>
    </xf>
    <xf numFmtId="164" fontId="0" fillId="0" borderId="3" xfId="0" applyBorder="1"/>
    <xf numFmtId="174" fontId="0" fillId="0" borderId="0" xfId="22" applyFont="1"/>
    <xf numFmtId="171" fontId="0" fillId="0" borderId="3" xfId="19" applyFont="1" applyBorder="1"/>
    <xf numFmtId="171" fontId="0" fillId="0" borderId="0" xfId="19" applyFont="1"/>
    <xf numFmtId="171" fontId="7" fillId="3" borderId="0" xfId="13" applyNumberFormat="1">
      <alignment horizontal="right"/>
      <protection locked="0"/>
    </xf>
    <xf numFmtId="171" fontId="7" fillId="4" borderId="0" xfId="14" applyNumberFormat="1">
      <alignment horizontal="right"/>
      <protection locked="0"/>
    </xf>
    <xf numFmtId="171" fontId="7" fillId="4" borderId="3" xfId="14" applyNumberFormat="1" applyBorder="1">
      <alignment horizontal="right"/>
      <protection locked="0"/>
    </xf>
    <xf numFmtId="164" fontId="0" fillId="0" borderId="7" xfId="0" applyBorder="1"/>
    <xf numFmtId="164" fontId="0" fillId="0" borderId="8" xfId="0" applyBorder="1"/>
    <xf numFmtId="164" fontId="7" fillId="4" borderId="0" xfId="14">
      <alignment horizontal="right"/>
      <protection locked="0"/>
    </xf>
    <xf numFmtId="171" fontId="0" fillId="0" borderId="8" xfId="19" applyFont="1" applyBorder="1"/>
    <xf numFmtId="169" fontId="7" fillId="3" borderId="0" xfId="16" applyFont="1" applyFill="1" applyAlignment="1" applyProtection="1">
      <alignment horizontal="right"/>
      <protection locked="0"/>
    </xf>
    <xf numFmtId="174" fontId="7" fillId="3" borderId="0" xfId="22" applyFont="1" applyFill="1" applyAlignment="1" applyProtection="1">
      <alignment horizontal="right"/>
      <protection locked="0"/>
    </xf>
    <xf numFmtId="169" fontId="0" fillId="0" borderId="0" xfId="16" applyFont="1"/>
    <xf numFmtId="164" fontId="5" fillId="0" borderId="0" xfId="11" applyBorder="1">
      <alignment horizontal="right"/>
    </xf>
    <xf numFmtId="164" fontId="0" fillId="0" borderId="9" xfId="0" applyBorder="1"/>
    <xf numFmtId="174" fontId="0" fillId="0" borderId="3" xfId="22" applyFont="1" applyBorder="1"/>
    <xf numFmtId="170" fontId="7" fillId="3" borderId="0" xfId="13" applyNumberFormat="1">
      <alignment horizontal="right"/>
      <protection locked="0"/>
    </xf>
    <xf numFmtId="169" fontId="7" fillId="3" borderId="0" xfId="13" applyNumberFormat="1">
      <alignment horizontal="right"/>
      <protection locked="0"/>
    </xf>
    <xf numFmtId="174" fontId="7" fillId="4" borderId="0" xfId="22" applyFont="1" applyFill="1" applyAlignment="1" applyProtection="1">
      <alignment horizontal="right"/>
      <protection locked="0"/>
    </xf>
    <xf numFmtId="173" fontId="7" fillId="3" borderId="0" xfId="13" applyNumberFormat="1">
      <alignment horizontal="right"/>
      <protection locked="0"/>
    </xf>
    <xf numFmtId="167" fontId="0" fillId="0" borderId="0" xfId="5" applyFont="1"/>
    <xf numFmtId="167" fontId="7" fillId="4" borderId="0" xfId="14" applyNumberFormat="1">
      <alignment horizontal="right"/>
      <protection locked="0"/>
    </xf>
    <xf numFmtId="164" fontId="0" fillId="0" borderId="0" xfId="0" applyAlignment="1">
      <alignment horizontal="left" indent="1"/>
    </xf>
    <xf numFmtId="164" fontId="0" fillId="0" borderId="0" xfId="0" quotePrefix="1"/>
    <xf numFmtId="174" fontId="7" fillId="0" borderId="0" xfId="13" applyNumberFormat="1" applyFill="1">
      <alignment horizontal="right"/>
      <protection locked="0"/>
    </xf>
    <xf numFmtId="174" fontId="0" fillId="0" borderId="0" xfId="22" applyFont="1" applyFill="1"/>
    <xf numFmtId="164" fontId="7" fillId="3" borderId="0" xfId="13" applyNumberFormat="1" applyBorder="1">
      <alignment horizontal="right"/>
      <protection locked="0"/>
    </xf>
    <xf numFmtId="171" fontId="7" fillId="0" borderId="0" xfId="13" applyNumberFormat="1" applyFill="1">
      <alignment horizontal="right"/>
      <protection locked="0"/>
    </xf>
    <xf numFmtId="180" fontId="0" fillId="0" borderId="0" xfId="0" applyNumberFormat="1"/>
    <xf numFmtId="164" fontId="13" fillId="0" borderId="0" xfId="0" applyFont="1"/>
    <xf numFmtId="164" fontId="13" fillId="0" borderId="3" xfId="0" applyFont="1" applyBorder="1"/>
    <xf numFmtId="166" fontId="5" fillId="0" borderId="8" xfId="11" applyNumberFormat="1" applyBorder="1">
      <alignment horizontal="right"/>
    </xf>
    <xf numFmtId="164" fontId="5" fillId="0" borderId="10" xfId="9" applyBorder="1">
      <alignment horizontal="centerContinuous"/>
    </xf>
    <xf numFmtId="164" fontId="5" fillId="0" borderId="8" xfId="9" applyBorder="1">
      <alignment horizontal="centerContinuous"/>
    </xf>
    <xf numFmtId="164" fontId="5" fillId="0" borderId="11" xfId="9" applyBorder="1">
      <alignment horizontal="centerContinuous"/>
    </xf>
    <xf numFmtId="164" fontId="0" fillId="0" borderId="10" xfId="0" applyBorder="1"/>
    <xf numFmtId="166" fontId="5" fillId="0" borderId="10" xfId="11" applyNumberFormat="1" applyBorder="1">
      <alignment horizontal="right"/>
    </xf>
    <xf numFmtId="164" fontId="0" fillId="0" borderId="12" xfId="0" applyBorder="1"/>
    <xf numFmtId="164" fontId="7" fillId="3" borderId="12" xfId="13" applyBorder="1">
      <alignment horizontal="right"/>
      <protection locked="0"/>
    </xf>
    <xf numFmtId="171" fontId="7" fillId="3" borderId="12" xfId="13" applyNumberFormat="1" applyBorder="1">
      <alignment horizontal="right"/>
      <protection locked="0"/>
    </xf>
    <xf numFmtId="164" fontId="7" fillId="0" borderId="0" xfId="13" applyFill="1">
      <alignment horizontal="right"/>
      <protection locked="0"/>
    </xf>
    <xf numFmtId="164" fontId="5" fillId="0" borderId="0" xfId="0" applyFont="1"/>
    <xf numFmtId="164" fontId="5" fillId="0" borderId="7" xfId="0" applyFont="1" applyBorder="1"/>
    <xf numFmtId="164" fontId="14" fillId="0" borderId="0" xfId="0" applyFont="1"/>
    <xf numFmtId="164" fontId="5" fillId="0" borderId="9" xfId="0" applyFont="1" applyBorder="1"/>
    <xf numFmtId="164" fontId="0" fillId="5" borderId="0" xfId="0" applyFill="1"/>
    <xf numFmtId="164" fontId="5" fillId="0" borderId="0" xfId="11" applyFill="1" applyBorder="1">
      <alignment horizontal="right"/>
    </xf>
    <xf numFmtId="179" fontId="7" fillId="0" borderId="0" xfId="13" applyNumberFormat="1" applyFill="1" applyBorder="1">
      <alignment horizontal="right"/>
      <protection locked="0"/>
    </xf>
    <xf numFmtId="171" fontId="7" fillId="0" borderId="0" xfId="19" applyFont="1" applyFill="1" applyBorder="1" applyAlignment="1" applyProtection="1">
      <alignment horizontal="right"/>
      <protection locked="0"/>
    </xf>
    <xf numFmtId="180" fontId="7" fillId="3" borderId="3" xfId="13" applyNumberFormat="1" applyBorder="1">
      <alignment horizontal="right"/>
      <protection locked="0"/>
    </xf>
    <xf numFmtId="164" fontId="5" fillId="0" borderId="3" xfId="11" applyAlignment="1">
      <alignment horizontal="center"/>
    </xf>
    <xf numFmtId="164" fontId="5" fillId="0" borderId="0" xfId="0" applyFont="1" applyAlignment="1">
      <alignment horizontal="center"/>
    </xf>
    <xf numFmtId="164" fontId="15" fillId="0" borderId="0" xfId="0" applyFont="1"/>
    <xf numFmtId="173" fontId="7" fillId="3" borderId="0" xfId="19" applyNumberFormat="1" applyFont="1" applyFill="1" applyAlignment="1" applyProtection="1">
      <alignment horizontal="right"/>
      <protection locked="0"/>
    </xf>
    <xf numFmtId="43" fontId="7" fillId="3" borderId="0" xfId="28" applyFont="1" applyFill="1" applyAlignment="1" applyProtection="1">
      <alignment horizontal="right"/>
      <protection locked="0"/>
    </xf>
    <xf numFmtId="10" fontId="0" fillId="0" borderId="0" xfId="0" applyNumberFormat="1"/>
    <xf numFmtId="4" fontId="0" fillId="0" borderId="0" xfId="0" applyNumberFormat="1"/>
    <xf numFmtId="4" fontId="14" fillId="6" borderId="0" xfId="0" applyNumberFormat="1" applyFont="1" applyFill="1"/>
    <xf numFmtId="10" fontId="14" fillId="6" borderId="0" xfId="0" applyNumberFormat="1" applyFont="1" applyFill="1"/>
    <xf numFmtId="3" fontId="7" fillId="4" borderId="0" xfId="14" applyNumberFormat="1">
      <alignment horizontal="right"/>
      <protection locked="0"/>
    </xf>
    <xf numFmtId="8" fontId="0" fillId="6" borderId="0" xfId="0" applyNumberFormat="1" applyFill="1"/>
    <xf numFmtId="8" fontId="7" fillId="4" borderId="0" xfId="14" applyNumberFormat="1">
      <alignment horizontal="right"/>
      <protection locked="0"/>
    </xf>
    <xf numFmtId="173" fontId="0" fillId="0" borderId="0" xfId="19" applyNumberFormat="1" applyFont="1"/>
    <xf numFmtId="171" fontId="7" fillId="0" borderId="0" xfId="14" applyNumberFormat="1" applyFill="1">
      <alignment horizontal="right"/>
      <protection locked="0"/>
    </xf>
    <xf numFmtId="173" fontId="14" fillId="6" borderId="0" xfId="0" applyNumberFormat="1" applyFont="1" applyFill="1"/>
    <xf numFmtId="173" fontId="7" fillId="4" borderId="0" xfId="14" applyNumberFormat="1">
      <alignment horizontal="right"/>
      <protection locked="0"/>
    </xf>
    <xf numFmtId="14" fontId="7" fillId="3" borderId="0" xfId="22" applyNumberFormat="1" applyFont="1" applyFill="1" applyAlignment="1" applyProtection="1">
      <alignment horizontal="right"/>
      <protection locked="0"/>
    </xf>
    <xf numFmtId="164" fontId="7" fillId="6" borderId="0" xfId="13" applyFill="1">
      <alignment horizontal="right"/>
      <protection locked="0"/>
    </xf>
    <xf numFmtId="164" fontId="0" fillId="6" borderId="0" xfId="0" applyFill="1"/>
    <xf numFmtId="164" fontId="14" fillId="6" borderId="0" xfId="0" applyFont="1" applyFill="1"/>
    <xf numFmtId="3" fontId="7" fillId="0" borderId="0" xfId="14" applyNumberFormat="1" applyFill="1">
      <alignment horizontal="right"/>
      <protection locked="0"/>
    </xf>
  </cellXfs>
  <cellStyles count="29">
    <cellStyle name="banner" xfId="1" xr:uid="{00000000-0005-0000-0000-000000000000}"/>
    <cellStyle name="bps" xfId="2" xr:uid="{00000000-0005-0000-0000-000001000000}"/>
    <cellStyle name="Comma" xfId="28" builtinId="3"/>
    <cellStyle name="comma missing" xfId="3" xr:uid="{00000000-0005-0000-0000-000002000000}"/>
    <cellStyle name="date" xfId="4" xr:uid="{00000000-0005-0000-0000-000003000000}"/>
    <cellStyle name="days" xfId="5" xr:uid="{00000000-0005-0000-0000-000004000000}"/>
    <cellStyle name="heading1" xfId="6" xr:uid="{00000000-0005-0000-0000-000005000000}"/>
    <cellStyle name="heading2" xfId="7" xr:uid="{00000000-0005-0000-0000-000006000000}"/>
    <cellStyle name="headingCentral1" xfId="8" xr:uid="{00000000-0005-0000-0000-000007000000}"/>
    <cellStyle name="headingCentral2" xfId="9" xr:uid="{00000000-0005-0000-0000-000008000000}"/>
    <cellStyle name="headingColumn1" xfId="10" xr:uid="{00000000-0005-0000-0000-000009000000}"/>
    <cellStyle name="headingColumn2" xfId="11" xr:uid="{00000000-0005-0000-0000-00000A000000}"/>
    <cellStyle name="hidden" xfId="12" xr:uid="{00000000-0005-0000-0000-00000B000000}"/>
    <cellStyle name="Input" xfId="13" builtinId="20" customBuiltin="1"/>
    <cellStyle name="inputOptional" xfId="14" xr:uid="{00000000-0005-0000-0000-00000D000000}"/>
    <cellStyle name="millions" xfId="15" xr:uid="{00000000-0005-0000-0000-00000E000000}"/>
    <cellStyle name="multiple1" xfId="16" xr:uid="{00000000-0005-0000-0000-00000F000000}"/>
    <cellStyle name="multiple2" xfId="17" xr:uid="{00000000-0005-0000-0000-000010000000}"/>
    <cellStyle name="name" xfId="18" xr:uid="{00000000-0005-0000-0000-000011000000}"/>
    <cellStyle name="Normal" xfId="0" builtinId="0"/>
    <cellStyle name="Percent" xfId="19" builtinId="5"/>
    <cellStyle name="percent0" xfId="20" xr:uid="{00000000-0005-0000-0000-000014000000}"/>
    <cellStyle name="percent1" xfId="21" xr:uid="{00000000-0005-0000-0000-000015000000}"/>
    <cellStyle name="price" xfId="22" xr:uid="{00000000-0005-0000-0000-000016000000}"/>
    <cellStyle name="switch" xfId="23" xr:uid="{00000000-0005-0000-0000-000017000000}"/>
    <cellStyle name="thousands" xfId="24" xr:uid="{00000000-0005-0000-0000-000018000000}"/>
    <cellStyle name="title1" xfId="25" xr:uid="{00000000-0005-0000-0000-000019000000}"/>
    <cellStyle name="title2" xfId="26" xr:uid="{00000000-0005-0000-0000-00001A000000}"/>
    <cellStyle name="years" xfId="27" xr:uid="{00000000-0005-0000-0000-00001B000000}"/>
  </cellStyles>
  <dxfs count="0"/>
  <tableStyles count="0" defaultTableStyle="TableStyleMedium9" defaultPivotStyle="PivotStyleLight16"/>
  <colors>
    <mruColors>
      <color rgb="FF0000FF"/>
      <color rgb="FFFF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</a:t>
            </a:r>
            <a:r>
              <a:rPr lang="en-US" baseline="0"/>
              <a:t>mart's Stock Price 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Football!$C$28:$C$33</c:f>
              <c:strCache>
                <c:ptCount val="6"/>
                <c:pt idx="0">
                  <c:v>52-week trading range</c:v>
                </c:pt>
                <c:pt idx="1">
                  <c:v>Analysis of Selected Publicly Traded Consumer Retailers</c:v>
                </c:pt>
                <c:pt idx="2">
                  <c:v>Precedent retail acquisitions</c:v>
                </c:pt>
                <c:pt idx="3">
                  <c:v>Premiums paid</c:v>
                </c:pt>
                <c:pt idx="4">
                  <c:v>Discounted cash flow</c:v>
                </c:pt>
                <c:pt idx="5">
                  <c:v>Target valuation</c:v>
                </c:pt>
              </c:strCache>
            </c:strRef>
          </c:cat>
          <c:val>
            <c:numRef>
              <c:f>Football!$D$28:$D$33</c:f>
              <c:numCache>
                <c:formatCode>#,##0.00_);\(#,##0.00\);\-\-_);* @_)</c:formatCode>
                <c:ptCount val="6"/>
                <c:pt idx="0">
                  <c:v>117.27</c:v>
                </c:pt>
                <c:pt idx="1">
                  <c:v>19.674572953360503</c:v>
                </c:pt>
                <c:pt idx="2">
                  <c:v>18.301543187303444</c:v>
                </c:pt>
                <c:pt idx="3">
                  <c:v>141.42822000000001</c:v>
                </c:pt>
                <c:pt idx="4">
                  <c:v>27.036642112300278</c:v>
                </c:pt>
                <c:pt idx="5">
                  <c:v>64.742195650592848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8-6342-ABA7-90016F7FDF0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Football!$C$28:$C$33</c:f>
              <c:strCache>
                <c:ptCount val="6"/>
                <c:pt idx="0">
                  <c:v>52-week trading range</c:v>
                </c:pt>
                <c:pt idx="1">
                  <c:v>Analysis of Selected Publicly Traded Consumer Retailers</c:v>
                </c:pt>
                <c:pt idx="2">
                  <c:v>Precedent retail acquisitions</c:v>
                </c:pt>
                <c:pt idx="3">
                  <c:v>Premiums paid</c:v>
                </c:pt>
                <c:pt idx="4">
                  <c:v>Discounted cash flow</c:v>
                </c:pt>
                <c:pt idx="5">
                  <c:v>Target valuation</c:v>
                </c:pt>
              </c:strCache>
            </c:strRef>
          </c:cat>
          <c:val>
            <c:numRef>
              <c:f>Football!$E$28:$E$33</c:f>
              <c:numCache>
                <c:formatCode>#,##0.00_);\(#,##0.00\);\-\-_);* @_)</c:formatCode>
                <c:ptCount val="6"/>
                <c:pt idx="0">
                  <c:v>43.500000000000014</c:v>
                </c:pt>
                <c:pt idx="1">
                  <c:v>115.40430660755698</c:v>
                </c:pt>
                <c:pt idx="2">
                  <c:v>98.686692106814178</c:v>
                </c:pt>
                <c:pt idx="3">
                  <c:v>16.491779999999977</c:v>
                </c:pt>
                <c:pt idx="4">
                  <c:v>17.508545746364106</c:v>
                </c:pt>
                <c:pt idx="5">
                  <c:v>58.318264892147042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48-6342-ABA7-90016F7FDF0A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Football!$C$28:$C$33</c:f>
              <c:strCache>
                <c:ptCount val="6"/>
                <c:pt idx="0">
                  <c:v>52-week trading range</c:v>
                </c:pt>
                <c:pt idx="1">
                  <c:v>Analysis of Selected Publicly Traded Consumer Retailers</c:v>
                </c:pt>
                <c:pt idx="2">
                  <c:v>Precedent retail acquisitions</c:v>
                </c:pt>
                <c:pt idx="3">
                  <c:v>Premiums paid</c:v>
                </c:pt>
                <c:pt idx="4">
                  <c:v>Discounted cash flow</c:v>
                </c:pt>
                <c:pt idx="5">
                  <c:v>Target valuation</c:v>
                </c:pt>
              </c:strCache>
            </c:strRef>
          </c:cat>
          <c:val>
            <c:numRef>
              <c:f>Football!$F$28:$F$33</c:f>
              <c:numCache>
                <c:formatCode>#,##0.00_);\(#,##0.00\);\-\-_);* @_)</c:formatCode>
                <c:ptCount val="6"/>
                <c:pt idx="0">
                  <c:v>160.77000000000001</c:v>
                </c:pt>
                <c:pt idx="1">
                  <c:v>135.07887956091747</c:v>
                </c:pt>
                <c:pt idx="2">
                  <c:v>116.98823529411763</c:v>
                </c:pt>
                <c:pt idx="3">
                  <c:v>157.91999999999999</c:v>
                </c:pt>
                <c:pt idx="4">
                  <c:v>44.545187858664384</c:v>
                </c:pt>
                <c:pt idx="5">
                  <c:v>123.06046054273989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48-6342-ABA7-90016F7FD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4879839"/>
        <c:axId val="314789823"/>
      </c:barChart>
      <c:catAx>
        <c:axId val="314879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89823"/>
        <c:crosses val="autoZero"/>
        <c:auto val="1"/>
        <c:lblAlgn val="ctr"/>
        <c:lblOffset val="100"/>
        <c:noMultiLvlLbl val="0"/>
      </c:catAx>
      <c:valAx>
        <c:axId val="314789823"/>
        <c:scaling>
          <c:orientation val="minMax"/>
          <c:max val="17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;\-\-_);* 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7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45527</xdr:colOff>
      <xdr:row>5</xdr:row>
      <xdr:rowOff>9586</xdr:rowOff>
    </xdr:from>
    <xdr:to>
      <xdr:col>16</xdr:col>
      <xdr:colOff>297133</xdr:colOff>
      <xdr:row>24</xdr:row>
      <xdr:rowOff>112145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E758D3-65CB-E14F-0408-D5DAF629A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a Marshall" id="{C663D58B-4B8D-4928-943A-E4A7AA3EAF51}" userId="257030db36a8d82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5" dT="2019-09-12T23:59:05.95" personId="{C663D58B-4B8D-4928-943A-E4A7AA3EAF51}" id="{A98ABB17-0162-4E21-BD84-0B4EBC0C132C}">
    <text>Pull this in from Capital Structure Worksheet.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29"/>
  <sheetViews>
    <sheetView showGridLines="0" zoomScale="160" zoomScaleNormal="130" workbookViewId="0">
      <selection activeCell="K30" sqref="K30"/>
    </sheetView>
  </sheetViews>
  <sheetFormatPr baseColWidth="10" defaultColWidth="8.75" defaultRowHeight="11" x14ac:dyDescent="0.15"/>
  <cols>
    <col min="1" max="2" width="1.75" customWidth="1"/>
    <col min="3" max="3" width="25.75" customWidth="1"/>
    <col min="4" max="4" width="3.5" customWidth="1"/>
    <col min="5" max="5" width="18.25" customWidth="1"/>
    <col min="6" max="6" width="11.5" bestFit="1" customWidth="1"/>
    <col min="8" max="8" width="9.5" bestFit="1" customWidth="1"/>
    <col min="14" max="14" width="1" customWidth="1"/>
    <col min="15" max="15" width="18" bestFit="1" customWidth="1"/>
  </cols>
  <sheetData>
    <row r="1" spans="1:15" ht="13" x14ac:dyDescent="0.15">
      <c r="A1" s="4" t="str">
        <f>E10</f>
        <v>Wal-Mart Stores, Inc.</v>
      </c>
    </row>
    <row r="3" spans="1:15" x14ac:dyDescent="0.15">
      <c r="B3" t="str">
        <f>"(in "&amp;E13&amp;E14&amp;", except per share)"</f>
        <v>(in $m, except per share)</v>
      </c>
    </row>
    <row r="4" spans="1:15" x14ac:dyDescent="0.15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15">
      <c r="F5" s="7" t="s">
        <v>1</v>
      </c>
      <c r="G5" s="7"/>
      <c r="H5" s="7"/>
      <c r="I5" s="9" t="s">
        <v>16</v>
      </c>
      <c r="J5" s="7" t="s">
        <v>17</v>
      </c>
      <c r="K5" s="7"/>
      <c r="L5" s="7"/>
      <c r="M5" s="7"/>
    </row>
    <row r="6" spans="1:15" x14ac:dyDescent="0.15">
      <c r="A6" s="10"/>
      <c r="B6" s="10"/>
      <c r="C6" s="12"/>
      <c r="D6" s="10"/>
      <c r="E6" s="10"/>
      <c r="F6" s="11" t="str">
        <f>YEAR($E$12)+F7&amp;IF(F7&lt;=0,$E$23,IF(F7=1,$E$24,$E$25))</f>
        <v>2020A</v>
      </c>
      <c r="G6" s="11" t="str">
        <f t="shared" ref="G6:M6" si="0">YEAR($E$12)+G7&amp;IF(G7&lt;=0,$E$23,IF(G7=1,$E$24,$E$25))</f>
        <v>2021A</v>
      </c>
      <c r="H6" s="11" t="str">
        <f t="shared" si="0"/>
        <v>2022A</v>
      </c>
      <c r="I6" s="11" t="str">
        <f t="shared" si="0"/>
        <v>2023C</v>
      </c>
      <c r="J6" s="11" t="str">
        <f t="shared" si="0"/>
        <v>2024P</v>
      </c>
      <c r="K6" s="11" t="str">
        <f t="shared" si="0"/>
        <v>2025P</v>
      </c>
      <c r="L6" s="11" t="str">
        <f t="shared" si="0"/>
        <v>2026P</v>
      </c>
      <c r="M6" s="11" t="str">
        <f t="shared" si="0"/>
        <v>2027P</v>
      </c>
      <c r="O6" t="s">
        <v>167</v>
      </c>
    </row>
    <row r="7" spans="1:15" x14ac:dyDescent="0.15">
      <c r="E7" s="8">
        <f>-E21</f>
        <v>-3</v>
      </c>
      <c r="F7">
        <f t="shared" ref="F7:M7" si="1">E7+1</f>
        <v>-2</v>
      </c>
      <c r="G7">
        <f t="shared" si="1"/>
        <v>-1</v>
      </c>
      <c r="H7">
        <f t="shared" si="1"/>
        <v>0</v>
      </c>
      <c r="I7">
        <f t="shared" si="1"/>
        <v>1</v>
      </c>
      <c r="J7">
        <f t="shared" si="1"/>
        <v>2</v>
      </c>
      <c r="K7">
        <f t="shared" si="1"/>
        <v>3</v>
      </c>
      <c r="L7">
        <f t="shared" si="1"/>
        <v>4</v>
      </c>
      <c r="M7">
        <f t="shared" si="1"/>
        <v>5</v>
      </c>
      <c r="O7" t="s">
        <v>166</v>
      </c>
    </row>
    <row r="8" spans="1:15" x14ac:dyDescent="0.15">
      <c r="F8" s="14">
        <f>MAX(F7-$H$21,0)</f>
        <v>0</v>
      </c>
      <c r="G8" s="14">
        <f t="shared" ref="G8:M8" si="2">MAX(G7-$H$21,0)</f>
        <v>0</v>
      </c>
      <c r="H8" s="14">
        <f t="shared" si="2"/>
        <v>0</v>
      </c>
      <c r="I8" s="14">
        <f t="shared" si="2"/>
        <v>0.34520547945205482</v>
      </c>
      <c r="J8" s="14">
        <f t="shared" si="2"/>
        <v>1.3452054794520549</v>
      </c>
      <c r="K8" s="14">
        <f t="shared" si="2"/>
        <v>2.3452054794520549</v>
      </c>
      <c r="L8" s="14">
        <f t="shared" si="2"/>
        <v>3.3452054794520549</v>
      </c>
      <c r="M8" s="14">
        <f t="shared" si="2"/>
        <v>4.3452054794520549</v>
      </c>
      <c r="O8" t="s">
        <v>168</v>
      </c>
    </row>
    <row r="9" spans="1:15" x14ac:dyDescent="0.15">
      <c r="A9" s="12" t="s">
        <v>234</v>
      </c>
      <c r="B9" s="12"/>
      <c r="C9" s="12"/>
      <c r="F9" s="14"/>
      <c r="G9" s="14"/>
      <c r="H9" s="14"/>
      <c r="I9" s="14"/>
      <c r="J9" s="14"/>
      <c r="K9" s="14"/>
      <c r="L9" s="14"/>
      <c r="M9" s="14"/>
    </row>
    <row r="10" spans="1:15" x14ac:dyDescent="0.15">
      <c r="B10" t="s">
        <v>7</v>
      </c>
      <c r="E10" s="2" t="s">
        <v>0</v>
      </c>
    </row>
    <row r="11" spans="1:15" x14ac:dyDescent="0.15">
      <c r="C11" t="s">
        <v>176</v>
      </c>
      <c r="E11" s="2" t="s">
        <v>159</v>
      </c>
    </row>
    <row r="12" spans="1:15" x14ac:dyDescent="0.15">
      <c r="B12" t="s">
        <v>8</v>
      </c>
      <c r="E12" s="3">
        <v>44592</v>
      </c>
      <c r="H12" t="str">
        <f>"Note: Fiscal year ends"&amp;TEXT(E12," mmmm d")</f>
        <v>Note: Fiscal year ends January 31</v>
      </c>
    </row>
    <row r="13" spans="1:15" x14ac:dyDescent="0.15">
      <c r="B13" t="s">
        <v>9</v>
      </c>
      <c r="E13" s="2" t="s">
        <v>10</v>
      </c>
    </row>
    <row r="14" spans="1:15" x14ac:dyDescent="0.15">
      <c r="C14" t="s">
        <v>11</v>
      </c>
      <c r="E14" s="2" t="s">
        <v>12</v>
      </c>
    </row>
    <row r="15" spans="1:15" x14ac:dyDescent="0.15">
      <c r="B15" t="s">
        <v>154</v>
      </c>
      <c r="E15" s="3">
        <v>44831</v>
      </c>
      <c r="H15" t="str">
        <f>"Valuation as of "&amp;TEXT(E15," mmmm d yyyy")</f>
        <v>Valuation as of  September 27 2022</v>
      </c>
    </row>
    <row r="16" spans="1:15" x14ac:dyDescent="0.15">
      <c r="B16" t="str">
        <f>"Stock price today "&amp;E13</f>
        <v>Stock price today $</v>
      </c>
      <c r="E16" s="25">
        <v>130.71</v>
      </c>
      <c r="H16" t="str">
        <f>"Market data as of"&amp;TEXT(E15, " mmmm d yyyy")</f>
        <v>Market data as of September 27 2022</v>
      </c>
    </row>
    <row r="17" spans="1:8" x14ac:dyDescent="0.15">
      <c r="B17" t="str">
        <f>"Stock price one month ago "&amp;E13</f>
        <v>Stock price one month ago $</v>
      </c>
      <c r="E17" s="25">
        <v>131.6</v>
      </c>
    </row>
    <row r="18" spans="1:8" x14ac:dyDescent="0.15">
      <c r="B18" t="str">
        <f>"Shares outstanding - "&amp;E14</f>
        <v>Shares outstanding - m</v>
      </c>
      <c r="E18" s="25">
        <v>13673</v>
      </c>
    </row>
    <row r="20" spans="1:8" x14ac:dyDescent="0.15">
      <c r="A20" s="12" t="s">
        <v>235</v>
      </c>
      <c r="B20" s="12"/>
      <c r="C20" s="12"/>
      <c r="H20" s="66" t="s">
        <v>250</v>
      </c>
    </row>
    <row r="21" spans="1:8" x14ac:dyDescent="0.15">
      <c r="C21" t="s">
        <v>15</v>
      </c>
      <c r="E21" s="8">
        <v>3</v>
      </c>
      <c r="H21" s="67">
        <f>YEARFRAC(E12,E15,1)</f>
        <v>0.65479452054794518</v>
      </c>
    </row>
    <row r="22" spans="1:8" x14ac:dyDescent="0.15">
      <c r="B22" t="s">
        <v>163</v>
      </c>
    </row>
    <row r="23" spans="1:8" x14ac:dyDescent="0.15">
      <c r="C23" t="s">
        <v>161</v>
      </c>
      <c r="E23" s="2" t="s">
        <v>164</v>
      </c>
    </row>
    <row r="24" spans="1:8" x14ac:dyDescent="0.15">
      <c r="C24" t="s">
        <v>16</v>
      </c>
      <c r="E24" s="2" t="s">
        <v>249</v>
      </c>
    </row>
    <row r="25" spans="1:8" x14ac:dyDescent="0.15">
      <c r="C25" t="s">
        <v>17</v>
      </c>
      <c r="E25" s="2" t="s">
        <v>165</v>
      </c>
    </row>
    <row r="28" spans="1:8" x14ac:dyDescent="0.15">
      <c r="C28" t="s">
        <v>316</v>
      </c>
      <c r="E28" s="25" t="s">
        <v>318</v>
      </c>
    </row>
    <row r="29" spans="1:8" x14ac:dyDescent="0.15">
      <c r="C29" t="s">
        <v>317</v>
      </c>
      <c r="E29" s="80">
        <v>44831</v>
      </c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51"/>
  <sheetViews>
    <sheetView showGridLines="0" topLeftCell="A2" zoomScale="184" zoomScaleNormal="150" workbookViewId="0">
      <selection activeCell="R36" sqref="R36"/>
    </sheetView>
  </sheetViews>
  <sheetFormatPr baseColWidth="10" defaultColWidth="8.75" defaultRowHeight="11" x14ac:dyDescent="0.15"/>
  <cols>
    <col min="1" max="2" width="1.75" customWidth="1"/>
    <col min="3" max="3" width="25.75" customWidth="1"/>
    <col min="4" max="4" width="1" customWidth="1"/>
    <col min="6" max="6" width="12" customWidth="1"/>
    <col min="7" max="7" width="12.5" customWidth="1"/>
    <col min="8" max="8" width="12.75" customWidth="1"/>
    <col min="9" max="9" width="12.5" customWidth="1"/>
    <col min="10" max="12" width="12.25" customWidth="1"/>
    <col min="13" max="13" width="8.75" customWidth="1"/>
    <col min="14" max="14" width="1" customWidth="1"/>
    <col min="15" max="15" width="33.25" customWidth="1"/>
  </cols>
  <sheetData>
    <row r="1" spans="1:15" ht="13" x14ac:dyDescent="0.15">
      <c r="A1" s="5" t="str">
        <f>Control!A1</f>
        <v>Wal-Mart Stores, Inc.</v>
      </c>
    </row>
    <row r="3" spans="1:15" x14ac:dyDescent="0.15">
      <c r="B3" t="str">
        <f>Control!B3</f>
        <v>(in $m, except per share)</v>
      </c>
    </row>
    <row r="4" spans="1:15" x14ac:dyDescent="0.15">
      <c r="A4" s="1" t="s">
        <v>14</v>
      </c>
      <c r="B4" s="1"/>
      <c r="C4" s="1"/>
      <c r="D4" s="1"/>
      <c r="E4" s="1"/>
      <c r="F4" s="1"/>
      <c r="G4" s="6"/>
      <c r="H4" s="6"/>
      <c r="I4" s="6"/>
      <c r="J4" s="6"/>
      <c r="K4" s="1"/>
      <c r="L4" s="1"/>
      <c r="M4" s="1"/>
      <c r="N4" s="1"/>
      <c r="O4" s="1"/>
    </row>
    <row r="5" spans="1:15" x14ac:dyDescent="0.15">
      <c r="F5" s="46" t="str">
        <f>Control!F5</f>
        <v>Actual</v>
      </c>
      <c r="G5" s="7"/>
      <c r="H5" s="7"/>
      <c r="I5" s="46" t="s">
        <v>17</v>
      </c>
      <c r="J5" s="47"/>
      <c r="K5" s="47"/>
      <c r="L5" s="47"/>
      <c r="M5" s="48"/>
      <c r="O5" t="s">
        <v>107</v>
      </c>
    </row>
    <row r="6" spans="1:15" x14ac:dyDescent="0.15">
      <c r="A6" s="10"/>
      <c r="B6" s="10"/>
      <c r="C6" s="10"/>
      <c r="D6" s="10"/>
      <c r="E6" s="10"/>
      <c r="F6" s="11" t="str">
        <f>Control!F6</f>
        <v>2020A</v>
      </c>
      <c r="G6" s="11" t="str">
        <f>Control!G6</f>
        <v>2021A</v>
      </c>
      <c r="H6" s="11" t="str">
        <f>Control!H6</f>
        <v>2022A</v>
      </c>
      <c r="I6" s="11" t="str">
        <f>Control!I6</f>
        <v>2023C</v>
      </c>
      <c r="J6" s="11" t="str">
        <f>Control!J6</f>
        <v>2024P</v>
      </c>
      <c r="K6" s="11" t="str">
        <f>Control!K6</f>
        <v>2025P</v>
      </c>
      <c r="L6" s="11" t="str">
        <f>Control!L6</f>
        <v>2026P</v>
      </c>
      <c r="M6" s="11" t="str">
        <f>Control!M6</f>
        <v>2027P</v>
      </c>
    </row>
    <row r="8" spans="1:15" x14ac:dyDescent="0.15">
      <c r="A8" t="s">
        <v>2</v>
      </c>
    </row>
    <row r="9" spans="1:15" x14ac:dyDescent="0.15">
      <c r="B9" t="s">
        <v>19</v>
      </c>
      <c r="F9" s="83">
        <v>519926</v>
      </c>
      <c r="G9" s="83">
        <v>555233</v>
      </c>
      <c r="H9" s="83">
        <v>567762</v>
      </c>
      <c r="I9">
        <f>H9*(1+I39)</f>
        <v>579722.07766141603</v>
      </c>
      <c r="J9">
        <f t="shared" ref="J9:M9" si="0">I9*(1+J39)</f>
        <v>591064.51484721247</v>
      </c>
      <c r="K9">
        <f t="shared" si="0"/>
        <v>601742.27346304769</v>
      </c>
      <c r="L9">
        <f t="shared" si="0"/>
        <v>611710.31559650926</v>
      </c>
      <c r="M9">
        <f t="shared" si="0"/>
        <v>620925.91587902431</v>
      </c>
      <c r="O9" t="s">
        <v>41</v>
      </c>
    </row>
    <row r="10" spans="1:15" x14ac:dyDescent="0.15">
      <c r="B10" t="s">
        <v>20</v>
      </c>
      <c r="F10" s="83">
        <v>4038</v>
      </c>
      <c r="G10" s="83">
        <v>3918</v>
      </c>
      <c r="H10" s="83">
        <v>4992</v>
      </c>
      <c r="I10">
        <f>H10*(1+I40)</f>
        <v>5141.76</v>
      </c>
      <c r="J10">
        <f t="shared" ref="J10:M10" si="1">I10*(1+J40)</f>
        <v>5296.0128000000004</v>
      </c>
      <c r="K10">
        <f t="shared" si="1"/>
        <v>5454.8931840000005</v>
      </c>
      <c r="L10">
        <f t="shared" si="1"/>
        <v>5618.539979520001</v>
      </c>
      <c r="M10">
        <f t="shared" si="1"/>
        <v>5787.0961789056009</v>
      </c>
      <c r="O10" t="s">
        <v>41</v>
      </c>
    </row>
    <row r="11" spans="1:15" x14ac:dyDescent="0.15">
      <c r="A11" t="s">
        <v>21</v>
      </c>
      <c r="F11" s="20">
        <f>SUM(F9:F10)</f>
        <v>523964</v>
      </c>
      <c r="G11" s="20">
        <f t="shared" ref="G11:M11" si="2">SUM(G9:G10)</f>
        <v>559151</v>
      </c>
      <c r="H11" s="20">
        <f t="shared" si="2"/>
        <v>572754</v>
      </c>
      <c r="I11" s="20">
        <f t="shared" si="2"/>
        <v>584863.83766141604</v>
      </c>
      <c r="J11" s="20">
        <f t="shared" si="2"/>
        <v>596360.5276472125</v>
      </c>
      <c r="K11" s="20">
        <f t="shared" si="2"/>
        <v>607197.16664704774</v>
      </c>
      <c r="L11" s="20">
        <f t="shared" si="2"/>
        <v>617328.85557602928</v>
      </c>
      <c r="M11" s="20">
        <f t="shared" si="2"/>
        <v>626713.01205792988</v>
      </c>
      <c r="O11" t="s">
        <v>3</v>
      </c>
    </row>
    <row r="12" spans="1:15" x14ac:dyDescent="0.15">
      <c r="B12" t="s">
        <v>22</v>
      </c>
      <c r="F12" s="83">
        <v>394605</v>
      </c>
      <c r="G12" s="83">
        <v>420315</v>
      </c>
      <c r="H12" s="83">
        <v>429000</v>
      </c>
      <c r="I12">
        <f>I9*I42</f>
        <v>436297.84807362215</v>
      </c>
      <c r="J12">
        <f t="shared" ref="J12:M12" si="3">J9*J42</f>
        <v>443060.95343292091</v>
      </c>
      <c r="K12">
        <f t="shared" si="3"/>
        <v>449259.75628107222</v>
      </c>
      <c r="L12">
        <f t="shared" si="3"/>
        <v>454866.74861025921</v>
      </c>
      <c r="M12">
        <f t="shared" si="3"/>
        <v>459856.67553364229</v>
      </c>
      <c r="O12" t="s">
        <v>42</v>
      </c>
    </row>
    <row r="13" spans="1:15" x14ac:dyDescent="0.15">
      <c r="A13" t="s">
        <v>23</v>
      </c>
      <c r="F13" s="20">
        <f>F11-F12</f>
        <v>129359</v>
      </c>
      <c r="G13" s="20">
        <f t="shared" ref="G13:M13" si="4">G11-G12</f>
        <v>138836</v>
      </c>
      <c r="H13" s="20">
        <f t="shared" si="4"/>
        <v>143754</v>
      </c>
      <c r="I13" s="20">
        <f t="shared" si="4"/>
        <v>148565.98958779388</v>
      </c>
      <c r="J13" s="20">
        <f t="shared" si="4"/>
        <v>153299.57421429158</v>
      </c>
      <c r="K13" s="20">
        <f t="shared" si="4"/>
        <v>157937.41036597552</v>
      </c>
      <c r="L13" s="20">
        <f t="shared" si="4"/>
        <v>162462.10696577007</v>
      </c>
      <c r="M13" s="20">
        <f t="shared" si="4"/>
        <v>166856.33652428759</v>
      </c>
      <c r="O13" t="s">
        <v>3</v>
      </c>
    </row>
    <row r="14" spans="1:15" x14ac:dyDescent="0.15">
      <c r="B14" t="s">
        <v>24</v>
      </c>
      <c r="F14" s="2">
        <v>108791</v>
      </c>
      <c r="G14" s="2">
        <v>116288</v>
      </c>
      <c r="H14" s="2">
        <v>117812</v>
      </c>
      <c r="I14">
        <f>I11*I43</f>
        <v>121472.647327681</v>
      </c>
      <c r="J14">
        <f t="shared" ref="J14:M14" si="5">J11*J43</f>
        <v>125053.1606829138</v>
      </c>
      <c r="K14">
        <f t="shared" si="5"/>
        <v>128539.93203528316</v>
      </c>
      <c r="L14">
        <f t="shared" si="5"/>
        <v>131919.40641862983</v>
      </c>
      <c r="M14">
        <f t="shared" si="5"/>
        <v>135178.16937402642</v>
      </c>
      <c r="O14" t="s">
        <v>43</v>
      </c>
    </row>
    <row r="15" spans="1:15" x14ac:dyDescent="0.15">
      <c r="A15" t="s">
        <v>25</v>
      </c>
      <c r="F15" s="20">
        <f>F13-F14</f>
        <v>20568</v>
      </c>
      <c r="G15" s="20">
        <f t="shared" ref="G15:M15" si="6">G13-G14</f>
        <v>22548</v>
      </c>
      <c r="H15" s="20">
        <f t="shared" si="6"/>
        <v>25942</v>
      </c>
      <c r="I15" s="20">
        <f t="shared" si="6"/>
        <v>27093.342260112884</v>
      </c>
      <c r="J15" s="20">
        <f t="shared" si="6"/>
        <v>28246.413531377781</v>
      </c>
      <c r="K15" s="20">
        <f t="shared" si="6"/>
        <v>29397.478330692364</v>
      </c>
      <c r="L15" s="20">
        <f t="shared" si="6"/>
        <v>30542.700547140237</v>
      </c>
      <c r="M15" s="20">
        <f t="shared" si="6"/>
        <v>31678.167150261172</v>
      </c>
      <c r="O15" t="s">
        <v>3</v>
      </c>
    </row>
    <row r="16" spans="1:15" x14ac:dyDescent="0.15">
      <c r="B16" t="s">
        <v>196</v>
      </c>
      <c r="F16" s="2">
        <v>2262</v>
      </c>
      <c r="G16" s="2">
        <v>1976</v>
      </c>
      <c r="H16" s="2">
        <v>1674</v>
      </c>
      <c r="I16">
        <f>Debt!I44</f>
        <v>1385.7182002041836</v>
      </c>
      <c r="J16">
        <f>Debt!J44</f>
        <v>1601.5100266946647</v>
      </c>
      <c r="K16">
        <f>Debt!K44</f>
        <v>1618.2415342877364</v>
      </c>
      <c r="L16">
        <f>Debt!L44</f>
        <v>1656.4976673318099</v>
      </c>
      <c r="M16">
        <f>Debt!M44</f>
        <v>1696.9945642075713</v>
      </c>
      <c r="O16" t="s">
        <v>44</v>
      </c>
    </row>
    <row r="17" spans="1:15" x14ac:dyDescent="0.15">
      <c r="B17" t="s">
        <v>27</v>
      </c>
      <c r="F17" s="81">
        <v>337</v>
      </c>
      <c r="G17" s="2">
        <v>339</v>
      </c>
      <c r="H17" s="2">
        <v>320</v>
      </c>
      <c r="I17">
        <f>H17</f>
        <v>320</v>
      </c>
      <c r="J17">
        <f t="shared" ref="J17:N17" si="7">I17</f>
        <v>320</v>
      </c>
      <c r="K17">
        <f t="shared" si="7"/>
        <v>320</v>
      </c>
      <c r="L17">
        <f t="shared" si="7"/>
        <v>320</v>
      </c>
      <c r="M17">
        <f t="shared" si="7"/>
        <v>320</v>
      </c>
      <c r="N17">
        <f t="shared" si="7"/>
        <v>320</v>
      </c>
      <c r="O17" t="s">
        <v>197</v>
      </c>
    </row>
    <row r="18" spans="1:15" x14ac:dyDescent="0.15">
      <c r="B18" t="s">
        <v>28</v>
      </c>
      <c r="F18" s="2">
        <v>-189</v>
      </c>
      <c r="G18" s="2">
        <v>-121</v>
      </c>
      <c r="H18" s="2">
        <v>-158</v>
      </c>
      <c r="I18" s="82">
        <f>Debt!I39</f>
        <v>0</v>
      </c>
      <c r="J18" s="82">
        <f>Debt!J39</f>
        <v>0</v>
      </c>
      <c r="K18" s="82">
        <f>Debt!K39</f>
        <v>0</v>
      </c>
      <c r="L18" s="82">
        <f>Debt!L39</f>
        <v>0</v>
      </c>
      <c r="M18" s="82">
        <f>Debt!M39</f>
        <v>0</v>
      </c>
      <c r="O18" t="s">
        <v>44</v>
      </c>
    </row>
    <row r="19" spans="1:15" x14ac:dyDescent="0.15">
      <c r="B19" t="s">
        <v>252</v>
      </c>
      <c r="F19" s="2">
        <v>0</v>
      </c>
      <c r="G19" s="2">
        <v>0</v>
      </c>
      <c r="H19" s="2">
        <v>2410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O19" t="s">
        <v>253</v>
      </c>
    </row>
    <row r="20" spans="1:15" x14ac:dyDescent="0.15">
      <c r="B20" t="s">
        <v>255</v>
      </c>
      <c r="F20" s="2">
        <v>-1958</v>
      </c>
      <c r="G20" s="2">
        <v>-210</v>
      </c>
      <c r="H20" s="2">
        <v>3000</v>
      </c>
      <c r="I20" s="81">
        <v>0</v>
      </c>
      <c r="J20" s="81">
        <v>0</v>
      </c>
      <c r="K20" s="81">
        <v>0</v>
      </c>
      <c r="L20" s="82">
        <v>0</v>
      </c>
      <c r="M20" s="82">
        <v>0</v>
      </c>
      <c r="O20" t="s">
        <v>253</v>
      </c>
    </row>
    <row r="21" spans="1:15" x14ac:dyDescent="0.15">
      <c r="A21" t="s">
        <v>29</v>
      </c>
      <c r="F21" s="20">
        <f>F15-SUM(F16:F20)</f>
        <v>20116</v>
      </c>
      <c r="G21" s="20">
        <f t="shared" ref="G21:M21" si="8">G15-SUM(G16:G20)</f>
        <v>20564</v>
      </c>
      <c r="H21" s="20">
        <f t="shared" si="8"/>
        <v>18696</v>
      </c>
      <c r="I21" s="20">
        <f t="shared" si="8"/>
        <v>25387.6240599087</v>
      </c>
      <c r="J21" s="20">
        <f t="shared" si="8"/>
        <v>26324.903504683116</v>
      </c>
      <c r="K21" s="20">
        <f t="shared" si="8"/>
        <v>27459.236796404628</v>
      </c>
      <c r="L21" s="20">
        <f t="shared" si="8"/>
        <v>28566.202879808428</v>
      </c>
      <c r="M21" s="20">
        <f t="shared" si="8"/>
        <v>29661.172586053599</v>
      </c>
      <c r="O21" t="s">
        <v>3</v>
      </c>
    </row>
    <row r="22" spans="1:15" x14ac:dyDescent="0.15">
      <c r="B22" t="s">
        <v>30</v>
      </c>
      <c r="F22" s="2">
        <v>4915</v>
      </c>
      <c r="G22" s="2">
        <v>6858</v>
      </c>
      <c r="H22" s="2">
        <v>4756</v>
      </c>
      <c r="I22">
        <f>I21*I47</f>
        <v>6854.6584961753497</v>
      </c>
      <c r="J22">
        <f t="shared" ref="J22:M22" si="9">J21*J47</f>
        <v>7107.723946264442</v>
      </c>
      <c r="K22">
        <f t="shared" si="9"/>
        <v>7413.9939350292498</v>
      </c>
      <c r="L22">
        <f t="shared" si="9"/>
        <v>7712.8747775482761</v>
      </c>
      <c r="M22">
        <f t="shared" si="9"/>
        <v>8008.5165982344724</v>
      </c>
      <c r="O22" t="s">
        <v>45</v>
      </c>
    </row>
    <row r="23" spans="1:15" x14ac:dyDescent="0.15">
      <c r="B23" t="s">
        <v>120</v>
      </c>
      <c r="F23" s="2">
        <v>-320</v>
      </c>
      <c r="G23" s="2">
        <v>-196</v>
      </c>
      <c r="H23" s="2">
        <v>-267</v>
      </c>
      <c r="I23">
        <f>H23*(1+I45)</f>
        <v>-269.67</v>
      </c>
      <c r="J23">
        <f t="shared" ref="J23:M23" si="10">I23*(1+J45)</f>
        <v>-272.36670000000004</v>
      </c>
      <c r="K23">
        <f t="shared" si="10"/>
        <v>-275.09036700000001</v>
      </c>
      <c r="L23">
        <f t="shared" si="10"/>
        <v>-277.84127067000003</v>
      </c>
      <c r="M23">
        <f t="shared" si="10"/>
        <v>-280.61968337670004</v>
      </c>
      <c r="O23" t="s">
        <v>41</v>
      </c>
    </row>
    <row r="24" spans="1:15" x14ac:dyDescent="0.15">
      <c r="A24" t="s">
        <v>31</v>
      </c>
      <c r="F24" s="21">
        <f>F21-F22+F23</f>
        <v>14881</v>
      </c>
      <c r="G24" s="21">
        <f t="shared" ref="G24:N24" si="11">G21-G22+G23</f>
        <v>13510</v>
      </c>
      <c r="H24" s="21">
        <f t="shared" si="11"/>
        <v>13673</v>
      </c>
      <c r="I24" s="21">
        <f t="shared" si="11"/>
        <v>18263.295563733351</v>
      </c>
      <c r="J24" s="21">
        <f t="shared" si="11"/>
        <v>18944.812858418674</v>
      </c>
      <c r="K24" s="21">
        <f t="shared" si="11"/>
        <v>19770.152494375379</v>
      </c>
      <c r="L24" s="21">
        <f t="shared" si="11"/>
        <v>20575.486831590151</v>
      </c>
      <c r="M24" s="21">
        <f t="shared" si="11"/>
        <v>21372.036304442427</v>
      </c>
      <c r="N24" s="21">
        <f t="shared" si="11"/>
        <v>0</v>
      </c>
      <c r="O24" t="s">
        <v>3</v>
      </c>
    </row>
    <row r="26" spans="1:15" x14ac:dyDescent="0.15">
      <c r="A26" t="str">
        <f>"Shares outstanding - in "&amp;Control!E14</f>
        <v>Shares outstanding - in m</v>
      </c>
    </row>
    <row r="27" spans="1:15" x14ac:dyDescent="0.15">
      <c r="B27" t="s">
        <v>32</v>
      </c>
      <c r="F27" s="2">
        <v>2850</v>
      </c>
      <c r="G27" s="2">
        <v>2831</v>
      </c>
      <c r="H27" s="2">
        <v>2792</v>
      </c>
      <c r="I27">
        <f>H27</f>
        <v>2792</v>
      </c>
      <c r="J27">
        <f t="shared" ref="J27:M27" si="12">I27</f>
        <v>2792</v>
      </c>
      <c r="K27">
        <f t="shared" si="12"/>
        <v>2792</v>
      </c>
      <c r="L27">
        <f t="shared" si="12"/>
        <v>2792</v>
      </c>
      <c r="M27">
        <f t="shared" si="12"/>
        <v>2792</v>
      </c>
      <c r="O27" t="s">
        <v>197</v>
      </c>
    </row>
    <row r="28" spans="1:15" x14ac:dyDescent="0.15">
      <c r="B28" t="s">
        <v>33</v>
      </c>
      <c r="F28" s="2">
        <v>2868</v>
      </c>
      <c r="G28" s="2">
        <v>2847</v>
      </c>
      <c r="H28" s="2">
        <v>2805</v>
      </c>
      <c r="I28">
        <f>H28</f>
        <v>2805</v>
      </c>
      <c r="J28">
        <f t="shared" ref="J28:N28" si="13">I28</f>
        <v>2805</v>
      </c>
      <c r="K28">
        <f t="shared" si="13"/>
        <v>2805</v>
      </c>
      <c r="L28">
        <f t="shared" si="13"/>
        <v>2805</v>
      </c>
      <c r="M28">
        <f t="shared" si="13"/>
        <v>2805</v>
      </c>
      <c r="N28">
        <f t="shared" si="13"/>
        <v>2805</v>
      </c>
      <c r="O28" t="s">
        <v>197</v>
      </c>
    </row>
    <row r="29" spans="1:15" x14ac:dyDescent="0.15">
      <c r="A29" t="str">
        <f>"EPS - in "&amp;Control!E13</f>
        <v>EPS - in $</v>
      </c>
    </row>
    <row r="30" spans="1:15" x14ac:dyDescent="0.15">
      <c r="B30" t="str">
        <f>B27</f>
        <v>Basic</v>
      </c>
      <c r="F30" s="14">
        <f>F24/F27</f>
        <v>5.2214035087719299</v>
      </c>
      <c r="G30" s="14">
        <f t="shared" ref="G30:M30" si="14">G24/G27</f>
        <v>4.7721653126103849</v>
      </c>
      <c r="H30" s="14">
        <f t="shared" si="14"/>
        <v>4.8972063037249285</v>
      </c>
      <c r="I30" s="14">
        <f t="shared" si="14"/>
        <v>6.5412949726838647</v>
      </c>
      <c r="J30" s="14">
        <f t="shared" si="14"/>
        <v>6.7853914249350549</v>
      </c>
      <c r="K30" s="14">
        <f t="shared" si="14"/>
        <v>7.081000177068546</v>
      </c>
      <c r="L30" s="14">
        <f t="shared" si="14"/>
        <v>7.3694437075895953</v>
      </c>
      <c r="M30" s="14">
        <f t="shared" si="14"/>
        <v>7.6547407967200671</v>
      </c>
      <c r="O30" t="s">
        <v>198</v>
      </c>
    </row>
    <row r="31" spans="1:15" x14ac:dyDescent="0.15">
      <c r="B31" t="str">
        <f>B28</f>
        <v>Diluted</v>
      </c>
      <c r="F31" s="14">
        <f>F24/F28</f>
        <v>5.1886331938633194</v>
      </c>
      <c r="G31" s="14">
        <f t="shared" ref="G31:M31" si="15">G24/G28</f>
        <v>4.7453459782226908</v>
      </c>
      <c r="H31" s="14">
        <f t="shared" si="15"/>
        <v>4.8745098039215682</v>
      </c>
      <c r="I31" s="14">
        <f t="shared" si="15"/>
        <v>6.5109788106001254</v>
      </c>
      <c r="J31" s="14">
        <f t="shared" si="15"/>
        <v>6.7539439780458732</v>
      </c>
      <c r="K31" s="14">
        <f t="shared" si="15"/>
        <v>7.0481827074422032</v>
      </c>
      <c r="L31" s="14">
        <f t="shared" si="15"/>
        <v>7.3352894230267918</v>
      </c>
      <c r="M31" s="14">
        <f t="shared" si="15"/>
        <v>7.6192642796586192</v>
      </c>
      <c r="O31" t="s">
        <v>199</v>
      </c>
    </row>
    <row r="33" spans="1:15" x14ac:dyDescent="0.15">
      <c r="B33" t="s">
        <v>39</v>
      </c>
      <c r="F33" s="2">
        <v>10987</v>
      </c>
      <c r="G33" s="2">
        <v>11512</v>
      </c>
      <c r="H33" s="2">
        <v>10658</v>
      </c>
      <c r="I33">
        <f>I11*I49</f>
        <v>10883.343951845596</v>
      </c>
      <c r="J33">
        <f t="shared" ref="J33:M33" si="16">J11*J49</f>
        <v>11097.278244523812</v>
      </c>
      <c r="K33">
        <f t="shared" si="16"/>
        <v>11298.930085384363</v>
      </c>
      <c r="L33">
        <f t="shared" si="16"/>
        <v>11487.46397708147</v>
      </c>
      <c r="M33">
        <f t="shared" si="16"/>
        <v>11662.087532367155</v>
      </c>
      <c r="O33" t="s">
        <v>43</v>
      </c>
    </row>
    <row r="34" spans="1:15" x14ac:dyDescent="0.15">
      <c r="B34" t="s">
        <v>5</v>
      </c>
      <c r="F34" s="20">
        <f>F15+F33</f>
        <v>31555</v>
      </c>
      <c r="G34" s="20">
        <f t="shared" ref="G34:M34" si="17">G15+G33</f>
        <v>34060</v>
      </c>
      <c r="H34" s="20">
        <f t="shared" si="17"/>
        <v>36600</v>
      </c>
      <c r="I34" s="20">
        <f t="shared" si="17"/>
        <v>37976.686211958484</v>
      </c>
      <c r="J34" s="20">
        <f t="shared" si="17"/>
        <v>39343.691775901592</v>
      </c>
      <c r="K34" s="20">
        <f t="shared" si="17"/>
        <v>40696.408416076723</v>
      </c>
      <c r="L34" s="20">
        <f t="shared" si="17"/>
        <v>42030.164524221706</v>
      </c>
      <c r="M34" s="20">
        <f t="shared" si="17"/>
        <v>43340.254682628329</v>
      </c>
      <c r="O34" t="s">
        <v>46</v>
      </c>
    </row>
    <row r="35" spans="1:15" x14ac:dyDescent="0.15">
      <c r="A35" s="13"/>
      <c r="B35" s="13"/>
      <c r="C35" s="13" t="s">
        <v>48</v>
      </c>
      <c r="D35" s="13"/>
      <c r="E35" s="13"/>
      <c r="F35" s="15">
        <f>F34/F11</f>
        <v>6.0223603148307901E-2</v>
      </c>
      <c r="G35" s="15">
        <f t="shared" ref="G35:M35" si="18">G34/G11</f>
        <v>6.0913778210179362E-2</v>
      </c>
      <c r="H35" s="15">
        <f t="shared" si="18"/>
        <v>6.3901779821703558E-2</v>
      </c>
      <c r="I35" s="15">
        <f t="shared" si="18"/>
        <v>6.4932525771825192E-2</v>
      </c>
      <c r="J35" s="15">
        <f t="shared" si="18"/>
        <v>6.5972997795682484E-2</v>
      </c>
      <c r="K35" s="15">
        <f t="shared" si="18"/>
        <v>6.7023383262479516E-2</v>
      </c>
      <c r="L35" s="15">
        <f t="shared" si="18"/>
        <v>6.8083913694595363E-2</v>
      </c>
      <c r="M35" s="15">
        <f t="shared" si="18"/>
        <v>6.9154866499919102E-2</v>
      </c>
      <c r="O35" t="s">
        <v>47</v>
      </c>
    </row>
    <row r="37" spans="1:15" x14ac:dyDescent="0.15">
      <c r="A37" s="12" t="s">
        <v>18</v>
      </c>
      <c r="B37" s="12"/>
      <c r="C37" s="12"/>
    </row>
    <row r="39" spans="1:15" x14ac:dyDescent="0.15">
      <c r="B39" t="s">
        <v>34</v>
      </c>
      <c r="E39" s="17">
        <v>1.5E-3</v>
      </c>
      <c r="F39" s="16"/>
      <c r="G39" s="16">
        <f>G9/F9-1</f>
        <v>6.7907740716948162E-2</v>
      </c>
      <c r="H39" s="16">
        <f>H9/G9-1</f>
        <v>2.2565301414001038E-2</v>
      </c>
      <c r="I39" s="17">
        <f>H39-$E$39</f>
        <v>2.1065301414001036E-2</v>
      </c>
      <c r="J39" s="17">
        <f t="shared" ref="J39:M39" si="19">I39-$E$39</f>
        <v>1.9565301414001035E-2</v>
      </c>
      <c r="K39" s="17">
        <f t="shared" si="19"/>
        <v>1.8065301414001034E-2</v>
      </c>
      <c r="L39" s="17">
        <f t="shared" si="19"/>
        <v>1.6565301414001032E-2</v>
      </c>
      <c r="M39" s="17">
        <f t="shared" si="19"/>
        <v>1.5065301414001033E-2</v>
      </c>
      <c r="O39" t="str">
        <f>"Decrease by "&amp;TEXT(E39*10000,"0")&amp;" bps each year"</f>
        <v>Decrease by 15 bps each year</v>
      </c>
    </row>
    <row r="40" spans="1:15" x14ac:dyDescent="0.15">
      <c r="B40" t="s">
        <v>35</v>
      </c>
      <c r="E40" s="41"/>
      <c r="F40" s="16"/>
      <c r="G40" s="16">
        <f>G10/F10-1</f>
        <v>-2.9717682020802383E-2</v>
      </c>
      <c r="H40" s="16">
        <f>H10/G10-1</f>
        <v>0.27411944869831539</v>
      </c>
      <c r="I40" s="17">
        <v>0.03</v>
      </c>
      <c r="J40" s="18">
        <f>I40</f>
        <v>0.03</v>
      </c>
      <c r="K40" s="18">
        <f t="shared" ref="K40:M40" si="20">J40</f>
        <v>0.03</v>
      </c>
      <c r="L40" s="18">
        <f t="shared" si="20"/>
        <v>0.03</v>
      </c>
      <c r="M40" s="18">
        <f t="shared" si="20"/>
        <v>0.03</v>
      </c>
      <c r="O40" t="s">
        <v>251</v>
      </c>
    </row>
    <row r="41" spans="1:15" x14ac:dyDescent="0.15">
      <c r="F41" s="16"/>
      <c r="G41" s="16"/>
      <c r="H41" s="16"/>
      <c r="I41" s="16"/>
      <c r="J41" s="16"/>
      <c r="K41" s="16"/>
      <c r="L41" s="16"/>
      <c r="M41" s="16"/>
    </row>
    <row r="42" spans="1:15" x14ac:dyDescent="0.15">
      <c r="B42" t="s">
        <v>36</v>
      </c>
      <c r="E42" s="17">
        <v>3.0000000000000001E-3</v>
      </c>
      <c r="F42" s="16">
        <f>F12/F9</f>
        <v>0.75896377561422201</v>
      </c>
      <c r="G42" s="16">
        <f t="shared" ref="G42:N42" si="21">G12/G9</f>
        <v>0.75700651798434171</v>
      </c>
      <c r="H42" s="16">
        <f t="shared" si="21"/>
        <v>0.75559829646929522</v>
      </c>
      <c r="I42" s="16">
        <f>H42-$E$42</f>
        <v>0.75259829646929521</v>
      </c>
      <c r="J42" s="16">
        <f t="shared" ref="J42:M42" si="22">I42-$E$42</f>
        <v>0.74959829646929521</v>
      </c>
      <c r="K42" s="16">
        <f t="shared" si="22"/>
        <v>0.74659829646929521</v>
      </c>
      <c r="L42" s="16">
        <f t="shared" si="22"/>
        <v>0.74359829646929521</v>
      </c>
      <c r="M42" s="16">
        <f t="shared" si="22"/>
        <v>0.7405982964692952</v>
      </c>
      <c r="N42" s="16" t="e">
        <f t="shared" si="21"/>
        <v>#DIV/0!</v>
      </c>
      <c r="O42" t="str">
        <f>"Decrease by "&amp;TEXT(E42*10000,"0")&amp;" bps each year"</f>
        <v>Decrease by 30 bps each year</v>
      </c>
    </row>
    <row r="43" spans="1:15" x14ac:dyDescent="0.15">
      <c r="B43" t="s">
        <v>37</v>
      </c>
      <c r="E43" s="17">
        <v>2E-3</v>
      </c>
      <c r="F43" s="16">
        <f>F14/F11</f>
        <v>0.20763067691673473</v>
      </c>
      <c r="G43" s="16">
        <f t="shared" ref="G43:H43" si="23">G14/G11</f>
        <v>0.20797244393732642</v>
      </c>
      <c r="H43" s="16">
        <f t="shared" si="23"/>
        <v>0.20569389301515137</v>
      </c>
      <c r="I43" s="18">
        <f>H43+$E$43</f>
        <v>0.20769389301515137</v>
      </c>
      <c r="J43" s="18">
        <f t="shared" ref="J43:M43" si="24">I43+$E$43</f>
        <v>0.20969389301515137</v>
      </c>
      <c r="K43" s="18">
        <f t="shared" si="24"/>
        <v>0.21169389301515137</v>
      </c>
      <c r="L43" s="18">
        <f t="shared" si="24"/>
        <v>0.21369389301515138</v>
      </c>
      <c r="M43" s="18">
        <f t="shared" si="24"/>
        <v>0.21569389301515138</v>
      </c>
      <c r="O43" t="str">
        <f>"Increase by "&amp;TEXT(E43*10000,"0")&amp;" bps each year"</f>
        <v>Increase by 20 bps each year</v>
      </c>
    </row>
    <row r="44" spans="1:15" x14ac:dyDescent="0.15">
      <c r="F44" s="16"/>
      <c r="G44" s="16"/>
      <c r="H44" s="16"/>
      <c r="I44" s="16"/>
      <c r="J44" s="16"/>
      <c r="K44" s="16"/>
      <c r="L44" s="16"/>
      <c r="M44" s="16"/>
    </row>
    <row r="45" spans="1:15" x14ac:dyDescent="0.15">
      <c r="B45" t="s">
        <v>121</v>
      </c>
      <c r="E45" s="16"/>
      <c r="F45" s="16"/>
      <c r="G45" s="16">
        <f>G23/F23-1</f>
        <v>-0.38749999999999996</v>
      </c>
      <c r="H45" s="16">
        <f>H23/G23-1</f>
        <v>0.36224489795918369</v>
      </c>
      <c r="I45" s="17">
        <v>0.01</v>
      </c>
      <c r="J45" s="17">
        <v>0.01</v>
      </c>
      <c r="K45" s="17">
        <v>0.01</v>
      </c>
      <c r="L45" s="17">
        <v>0.01</v>
      </c>
      <c r="M45" s="17">
        <v>0.01</v>
      </c>
      <c r="O45" t="s">
        <v>251</v>
      </c>
    </row>
    <row r="46" spans="1:15" x14ac:dyDescent="0.15">
      <c r="F46" s="16"/>
      <c r="G46" s="16"/>
      <c r="H46" s="16"/>
      <c r="I46" s="16"/>
      <c r="J46" s="16"/>
      <c r="K46" s="16"/>
      <c r="L46" s="16"/>
      <c r="M46" s="16"/>
    </row>
    <row r="47" spans="1:15" x14ac:dyDescent="0.15">
      <c r="B47" t="s">
        <v>38</v>
      </c>
      <c r="F47" s="16"/>
      <c r="G47" s="16"/>
      <c r="H47" s="16"/>
      <c r="I47" s="17">
        <v>0.27</v>
      </c>
      <c r="J47" s="17">
        <v>0.27</v>
      </c>
      <c r="K47" s="17">
        <v>0.27</v>
      </c>
      <c r="L47" s="17">
        <v>0.27</v>
      </c>
      <c r="M47" s="17">
        <v>0.27</v>
      </c>
      <c r="O47" t="s">
        <v>6</v>
      </c>
    </row>
    <row r="48" spans="1:15" x14ac:dyDescent="0.15">
      <c r="F48" s="16"/>
      <c r="G48" s="16"/>
      <c r="H48" s="16"/>
      <c r="I48" s="16"/>
      <c r="J48" s="16"/>
      <c r="K48" s="16"/>
      <c r="L48" s="16"/>
      <c r="M48" s="16"/>
    </row>
    <row r="49" spans="1:15" x14ac:dyDescent="0.15">
      <c r="A49" s="13"/>
      <c r="B49" s="13" t="s">
        <v>40</v>
      </c>
      <c r="C49" s="13"/>
      <c r="D49" s="13"/>
      <c r="E49" s="13"/>
      <c r="F49" s="15">
        <f>F33/F11</f>
        <v>2.0968997870082679E-2</v>
      </c>
      <c r="G49" s="15">
        <f t="shared" ref="G49:H49" si="25">G33/G11</f>
        <v>2.0588356275853929E-2</v>
      </c>
      <c r="H49" s="15">
        <f t="shared" si="25"/>
        <v>1.8608337960101546E-2</v>
      </c>
      <c r="I49" s="19">
        <f>H49</f>
        <v>1.8608337960101546E-2</v>
      </c>
      <c r="J49" s="19">
        <f t="shared" ref="J49:M49" si="26">I49</f>
        <v>1.8608337960101546E-2</v>
      </c>
      <c r="K49" s="19">
        <f t="shared" si="26"/>
        <v>1.8608337960101546E-2</v>
      </c>
      <c r="L49" s="19">
        <f t="shared" si="26"/>
        <v>1.8608337960101546E-2</v>
      </c>
      <c r="M49" s="19">
        <f t="shared" si="26"/>
        <v>1.8608337960101546E-2</v>
      </c>
      <c r="O49" t="s">
        <v>251</v>
      </c>
    </row>
    <row r="51" spans="1:15" x14ac:dyDescent="0.15">
      <c r="B51" t="str">
        <f>Control!H12</f>
        <v>Note: Fiscal year ends January 31</v>
      </c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scale="85" orientation="landscape" r:id="rId1"/>
  <headerFooter alignWithMargins="0">
    <oddHeader>&amp;L&amp;F&amp;R&amp;A</oddHeader>
  </headerFooter>
  <ignoredErrors>
    <ignoredError sqref="I14 J14:M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O77"/>
  <sheetViews>
    <sheetView showGridLines="0" zoomScale="150" zoomScaleNormal="150" workbookViewId="0">
      <selection activeCell="I59" sqref="I59"/>
    </sheetView>
  </sheetViews>
  <sheetFormatPr baseColWidth="10" defaultColWidth="8.75" defaultRowHeight="11" x14ac:dyDescent="0.15"/>
  <cols>
    <col min="1" max="2" width="1.75" customWidth="1"/>
    <col min="3" max="3" width="25.75" customWidth="1"/>
    <col min="4" max="4" width="1" customWidth="1"/>
    <col min="6" max="6" width="9.5" bestFit="1" customWidth="1"/>
    <col min="7" max="7" width="10.25" customWidth="1"/>
    <col min="8" max="8" width="11.75" customWidth="1"/>
    <col min="9" max="9" width="10.5" bestFit="1" customWidth="1"/>
    <col min="10" max="10" width="10.25" customWidth="1"/>
    <col min="11" max="11" width="13.5" customWidth="1"/>
    <col min="12" max="12" width="10.5" customWidth="1"/>
    <col min="13" max="13" width="12.75" customWidth="1"/>
    <col min="14" max="14" width="1" customWidth="1"/>
    <col min="15" max="15" width="33.25" customWidth="1"/>
  </cols>
  <sheetData>
    <row r="1" spans="1:15" ht="13" x14ac:dyDescent="0.15">
      <c r="A1" s="5" t="str">
        <f>Control!A1</f>
        <v>Wal-Mart Stores, Inc.</v>
      </c>
    </row>
    <row r="3" spans="1:15" x14ac:dyDescent="0.15">
      <c r="B3" t="str">
        <f>Control!B3</f>
        <v>(in $m, except per share)</v>
      </c>
    </row>
    <row r="4" spans="1:15" x14ac:dyDescent="0.15">
      <c r="A4" s="1" t="s">
        <v>141</v>
      </c>
      <c r="B4" s="1"/>
      <c r="C4" s="1"/>
      <c r="D4" s="1"/>
      <c r="E4" s="1"/>
      <c r="F4" s="6"/>
      <c r="G4" s="6"/>
      <c r="H4" s="6"/>
      <c r="I4" s="6"/>
      <c r="J4" s="6"/>
      <c r="K4" s="6"/>
      <c r="L4" s="6"/>
      <c r="M4" s="6"/>
      <c r="N4" s="1"/>
      <c r="O4" s="1"/>
    </row>
    <row r="5" spans="1:15" x14ac:dyDescent="0.15">
      <c r="F5" s="46" t="str">
        <f>Control!F5</f>
        <v>Actual</v>
      </c>
      <c r="G5" s="47"/>
      <c r="H5" s="48"/>
      <c r="I5" s="46" t="s">
        <v>17</v>
      </c>
      <c r="J5" s="47"/>
      <c r="K5" s="47"/>
      <c r="L5" s="47"/>
      <c r="M5" s="48"/>
      <c r="O5" t="s">
        <v>107</v>
      </c>
    </row>
    <row r="6" spans="1:15" x14ac:dyDescent="0.15">
      <c r="A6" s="10"/>
      <c r="B6" s="10"/>
      <c r="C6" s="10"/>
      <c r="D6" s="10"/>
      <c r="E6" s="10"/>
      <c r="F6" s="11" t="str">
        <f>Control!F6</f>
        <v>2020A</v>
      </c>
      <c r="G6" s="11" t="str">
        <f>Control!G6</f>
        <v>2021A</v>
      </c>
      <c r="H6" s="11" t="str">
        <f>Control!H6</f>
        <v>2022A</v>
      </c>
      <c r="I6" s="45" t="str">
        <f>Control!I6</f>
        <v>2023C</v>
      </c>
      <c r="J6" s="11" t="str">
        <f>Control!J6</f>
        <v>2024P</v>
      </c>
      <c r="K6" s="11" t="str">
        <f>Control!K6</f>
        <v>2025P</v>
      </c>
      <c r="L6" s="11" t="str">
        <f>Control!L6</f>
        <v>2026P</v>
      </c>
      <c r="M6" s="11" t="str">
        <f>Control!M6</f>
        <v>2027P</v>
      </c>
    </row>
    <row r="8" spans="1:15" x14ac:dyDescent="0.15">
      <c r="A8" t="s">
        <v>88</v>
      </c>
    </row>
    <row r="9" spans="1:15" x14ac:dyDescent="0.15">
      <c r="B9" t="s">
        <v>89</v>
      </c>
    </row>
    <row r="10" spans="1:15" x14ac:dyDescent="0.15">
      <c r="C10" t="s">
        <v>90</v>
      </c>
      <c r="G10" s="2">
        <v>17741</v>
      </c>
      <c r="H10" s="2">
        <v>14760</v>
      </c>
      <c r="I10">
        <f>CF!I36</f>
        <v>0</v>
      </c>
      <c r="J10">
        <f>CF!J36</f>
        <v>0</v>
      </c>
      <c r="K10">
        <f>CF!K36</f>
        <v>0</v>
      </c>
      <c r="L10">
        <f>CF!L36</f>
        <v>0</v>
      </c>
      <c r="M10">
        <f>CF!M36</f>
        <v>0</v>
      </c>
      <c r="O10" t="s">
        <v>78</v>
      </c>
    </row>
    <row r="11" spans="1:15" x14ac:dyDescent="0.15">
      <c r="C11" t="s">
        <v>79</v>
      </c>
      <c r="G11" s="2">
        <v>6516</v>
      </c>
      <c r="H11" s="2">
        <v>8280</v>
      </c>
      <c r="I11">
        <f>I70/365*I66</f>
        <v>8481.4354619771766</v>
      </c>
      <c r="J11">
        <f t="shared" ref="J11:N11" si="0">J70/365*J66</f>
        <v>8660.759930388258</v>
      </c>
      <c r="K11">
        <f t="shared" si="0"/>
        <v>8831.0048071431866</v>
      </c>
      <c r="L11">
        <f t="shared" si="0"/>
        <v>8991.475540305848</v>
      </c>
      <c r="M11">
        <f t="shared" si="0"/>
        <v>9141.5072568403211</v>
      </c>
      <c r="N11">
        <f t="shared" si="0"/>
        <v>0</v>
      </c>
      <c r="O11" t="s">
        <v>126</v>
      </c>
    </row>
    <row r="12" spans="1:15" x14ac:dyDescent="0.15">
      <c r="C12" t="s">
        <v>80</v>
      </c>
      <c r="G12" s="2">
        <v>44949</v>
      </c>
      <c r="H12" s="2">
        <v>56511</v>
      </c>
      <c r="I12">
        <f>I67*I71/365</f>
        <v>47691.552277090683</v>
      </c>
      <c r="J12">
        <f t="shared" ref="J12:M12" si="1">J67*J71/365</f>
        <v>47905.179336844842</v>
      </c>
      <c r="K12">
        <f t="shared" si="1"/>
        <v>48040.830464095285</v>
      </c>
      <c r="L12">
        <f t="shared" si="1"/>
        <v>48097.538573671343</v>
      </c>
      <c r="M12">
        <f t="shared" si="1"/>
        <v>48074.715404789735</v>
      </c>
      <c r="O12" t="s">
        <v>122</v>
      </c>
    </row>
    <row r="13" spans="1:15" x14ac:dyDescent="0.15">
      <c r="C13" t="s">
        <v>91</v>
      </c>
      <c r="G13" s="2">
        <v>20861</v>
      </c>
      <c r="H13" s="2">
        <v>1519</v>
      </c>
      <c r="I13">
        <f>I72*I66</f>
        <v>1555.9541626501605</v>
      </c>
      <c r="J13">
        <f t="shared" ref="J13:M13" si="2">J72*J66</f>
        <v>1588.8519727366863</v>
      </c>
      <c r="K13">
        <f t="shared" si="2"/>
        <v>1620.0840944505433</v>
      </c>
      <c r="L13">
        <f t="shared" si="2"/>
        <v>1649.5231093870268</v>
      </c>
      <c r="M13">
        <f t="shared" si="2"/>
        <v>1677.0470438575419</v>
      </c>
      <c r="O13" t="s">
        <v>43</v>
      </c>
    </row>
    <row r="14" spans="1:15" x14ac:dyDescent="0.15">
      <c r="B14" t="s">
        <v>92</v>
      </c>
      <c r="G14" s="20">
        <f>SUM(G10:G13)</f>
        <v>90067</v>
      </c>
      <c r="H14" s="20">
        <f>SUM(H10:H13)</f>
        <v>81070</v>
      </c>
      <c r="I14" s="20">
        <f>SUM(I10:I13)</f>
        <v>57728.941901718019</v>
      </c>
      <c r="J14" s="20">
        <f t="shared" ref="J14:M14" si="3">SUM(J10:J13)</f>
        <v>58154.791239969789</v>
      </c>
      <c r="K14" s="20">
        <f t="shared" si="3"/>
        <v>58491.919365689013</v>
      </c>
      <c r="L14" s="20">
        <f t="shared" si="3"/>
        <v>58738.537223364212</v>
      </c>
      <c r="M14" s="20">
        <f t="shared" si="3"/>
        <v>58893.269705487597</v>
      </c>
      <c r="O14" t="s">
        <v>3</v>
      </c>
    </row>
    <row r="16" spans="1:15" x14ac:dyDescent="0.15">
      <c r="B16" t="s">
        <v>81</v>
      </c>
      <c r="G16" s="2">
        <v>92201</v>
      </c>
      <c r="H16" s="2">
        <v>94515</v>
      </c>
      <c r="I16">
        <f>H16+-CF!I23-CF!I10</f>
        <v>96737.6560481544</v>
      </c>
      <c r="J16">
        <f>I16+-CF!J23-CF!J10</f>
        <v>98746.377803630588</v>
      </c>
      <c r="K16">
        <f>J16+-CF!K23-CF!K10</f>
        <v>100553.44771824623</v>
      </c>
      <c r="L16">
        <f>K16+-CF!L23-CF!L10</f>
        <v>102171.98374116476</v>
      </c>
      <c r="M16">
        <f>L16+-CF!M23-CF!M10</f>
        <v>103615.89620879761</v>
      </c>
      <c r="O16" t="s">
        <v>123</v>
      </c>
    </row>
    <row r="17" spans="1:15" x14ac:dyDescent="0.15">
      <c r="B17" t="s">
        <v>93</v>
      </c>
      <c r="G17" s="2">
        <v>17647</v>
      </c>
      <c r="H17" s="2">
        <v>18109</v>
      </c>
      <c r="I17" s="22">
        <f>H17</f>
        <v>18109</v>
      </c>
      <c r="J17" s="22">
        <f t="shared" ref="J17:M17" si="4">I17</f>
        <v>18109</v>
      </c>
      <c r="K17" s="22">
        <f t="shared" si="4"/>
        <v>18109</v>
      </c>
      <c r="L17" s="22">
        <f t="shared" si="4"/>
        <v>18109</v>
      </c>
      <c r="M17" s="22">
        <f t="shared" si="4"/>
        <v>18109</v>
      </c>
      <c r="O17" t="s">
        <v>84</v>
      </c>
    </row>
    <row r="18" spans="1:15" x14ac:dyDescent="0.15">
      <c r="B18" t="s">
        <v>82</v>
      </c>
      <c r="G18" s="2">
        <v>28983</v>
      </c>
      <c r="H18" s="2">
        <v>29014</v>
      </c>
      <c r="I18" s="22">
        <f>H18</f>
        <v>29014</v>
      </c>
      <c r="J18" s="22">
        <f t="shared" ref="J18:M18" si="5">I18</f>
        <v>29014</v>
      </c>
      <c r="K18" s="22">
        <f t="shared" si="5"/>
        <v>29014</v>
      </c>
      <c r="L18" s="22">
        <f t="shared" si="5"/>
        <v>29014</v>
      </c>
      <c r="M18" s="22">
        <f t="shared" si="5"/>
        <v>29014</v>
      </c>
      <c r="O18" t="s">
        <v>84</v>
      </c>
    </row>
    <row r="19" spans="1:15" x14ac:dyDescent="0.15">
      <c r="B19" t="s">
        <v>94</v>
      </c>
      <c r="G19" s="2">
        <v>23598</v>
      </c>
      <c r="H19" s="2">
        <v>22152</v>
      </c>
      <c r="I19">
        <f>I66*I73</f>
        <v>22690.912844651979</v>
      </c>
      <c r="J19">
        <f t="shared" ref="J19:M19" si="6">J66*J73</f>
        <v>23170.670770285105</v>
      </c>
      <c r="K19">
        <f t="shared" si="6"/>
        <v>23626.137498530898</v>
      </c>
      <c r="L19">
        <f t="shared" si="6"/>
        <v>24055.454851311006</v>
      </c>
      <c r="M19">
        <f t="shared" si="6"/>
        <v>24456.844052358309</v>
      </c>
      <c r="O19" t="s">
        <v>43</v>
      </c>
    </row>
    <row r="20" spans="1:15" x14ac:dyDescent="0.15">
      <c r="A20" t="s">
        <v>95</v>
      </c>
      <c r="G20" s="21">
        <f>SUM(G16:G19)+G14</f>
        <v>252496</v>
      </c>
      <c r="H20" s="21">
        <f t="shared" ref="H20:N20" si="7">SUM(H16:H19)+H14</f>
        <v>244860</v>
      </c>
      <c r="I20" s="21">
        <f t="shared" si="7"/>
        <v>224280.51079452439</v>
      </c>
      <c r="J20" s="21">
        <f t="shared" si="7"/>
        <v>227194.83981388548</v>
      </c>
      <c r="K20" s="21">
        <f t="shared" si="7"/>
        <v>229794.50458246615</v>
      </c>
      <c r="L20" s="21">
        <f t="shared" si="7"/>
        <v>232088.97581584001</v>
      </c>
      <c r="M20" s="21">
        <f t="shared" si="7"/>
        <v>234089.0099666435</v>
      </c>
      <c r="N20" s="21">
        <f t="shared" si="7"/>
        <v>0</v>
      </c>
      <c r="O20" t="s">
        <v>3</v>
      </c>
    </row>
    <row r="22" spans="1:15" x14ac:dyDescent="0.15">
      <c r="A22" t="s">
        <v>96</v>
      </c>
    </row>
    <row r="23" spans="1:15" x14ac:dyDescent="0.15">
      <c r="B23" t="s">
        <v>97</v>
      </c>
    </row>
    <row r="24" spans="1:15" x14ac:dyDescent="0.15">
      <c r="C24" t="s">
        <v>83</v>
      </c>
      <c r="G24" s="2">
        <v>224</v>
      </c>
      <c r="H24" s="2">
        <v>410</v>
      </c>
      <c r="I24">
        <f>Debt!I27</f>
        <v>5674</v>
      </c>
      <c r="J24">
        <f>Debt!J27</f>
        <v>14861.5</v>
      </c>
      <c r="K24">
        <f>Debt!K27</f>
        <v>21575</v>
      </c>
      <c r="L24">
        <f>Debt!L27</f>
        <v>27037</v>
      </c>
      <c r="M24">
        <f>Debt!M27</f>
        <v>44786</v>
      </c>
      <c r="O24" t="s">
        <v>124</v>
      </c>
    </row>
    <row r="25" spans="1:15" x14ac:dyDescent="0.15">
      <c r="C25" t="s">
        <v>98</v>
      </c>
      <c r="G25" s="2">
        <v>49141</v>
      </c>
      <c r="H25" s="2">
        <v>55261</v>
      </c>
      <c r="I25">
        <f>I68*I74/365</f>
        <v>56227.296602577633</v>
      </c>
      <c r="J25">
        <f t="shared" ref="J25:N25" si="8">J68*J74/365</f>
        <v>58223.989086838003</v>
      </c>
      <c r="K25">
        <f t="shared" si="8"/>
        <v>60197.151037582538</v>
      </c>
      <c r="L25">
        <f t="shared" si="8"/>
        <v>62139.70998511037</v>
      </c>
      <c r="M25">
        <f t="shared" si="8"/>
        <v>64044.507374640496</v>
      </c>
      <c r="N25">
        <f t="shared" si="8"/>
        <v>0</v>
      </c>
      <c r="O25" t="s">
        <v>125</v>
      </c>
    </row>
    <row r="26" spans="1:15" x14ac:dyDescent="0.15">
      <c r="C26" t="s">
        <v>99</v>
      </c>
      <c r="G26" s="2">
        <v>37966</v>
      </c>
      <c r="H26" s="2">
        <v>26060</v>
      </c>
      <c r="I26">
        <f>I75*I66</f>
        <v>26693.98649023251</v>
      </c>
      <c r="J26">
        <f t="shared" ref="J26:M26" si="9">J75*J66</f>
        <v>27258.382099748549</v>
      </c>
      <c r="K26">
        <f t="shared" si="9"/>
        <v>27794.201120066595</v>
      </c>
      <c r="L26">
        <f t="shared" si="9"/>
        <v>28299.257558015746</v>
      </c>
      <c r="M26">
        <f t="shared" si="9"/>
        <v>28771.458830103715</v>
      </c>
      <c r="O26" t="s">
        <v>43</v>
      </c>
    </row>
    <row r="27" spans="1:15" x14ac:dyDescent="0.15">
      <c r="C27" t="s">
        <v>100</v>
      </c>
      <c r="G27" s="2">
        <v>242</v>
      </c>
      <c r="H27" s="2">
        <v>851</v>
      </c>
      <c r="I27" s="22">
        <f>H27</f>
        <v>851</v>
      </c>
      <c r="J27" s="22">
        <f t="shared" ref="J27:M27" si="10">I27</f>
        <v>851</v>
      </c>
      <c r="K27" s="22">
        <f t="shared" si="10"/>
        <v>851</v>
      </c>
      <c r="L27" s="22">
        <f t="shared" si="10"/>
        <v>851</v>
      </c>
      <c r="M27" s="22">
        <f t="shared" si="10"/>
        <v>851</v>
      </c>
      <c r="O27" t="s">
        <v>84</v>
      </c>
    </row>
    <row r="28" spans="1:15" x14ac:dyDescent="0.15">
      <c r="C28" t="s">
        <v>245</v>
      </c>
      <c r="G28" s="2">
        <v>3115</v>
      </c>
      <c r="H28" s="2">
        <v>2803</v>
      </c>
      <c r="I28" s="22">
        <f>-Debt!J18</f>
        <v>5347</v>
      </c>
      <c r="J28" s="22">
        <f>-Debt!K18</f>
        <v>3080</v>
      </c>
      <c r="K28" s="22">
        <f>-Debt!L18</f>
        <v>2844</v>
      </c>
      <c r="L28" s="22">
        <f>-Debt!M18</f>
        <v>27654</v>
      </c>
      <c r="M28" s="22">
        <f>L28</f>
        <v>27654</v>
      </c>
      <c r="O28" t="s">
        <v>124</v>
      </c>
    </row>
    <row r="29" spans="1:15" x14ac:dyDescent="0.15">
      <c r="C29" t="s">
        <v>101</v>
      </c>
      <c r="G29" s="2">
        <v>1957</v>
      </c>
      <c r="H29" s="2">
        <v>1994</v>
      </c>
      <c r="I29" s="22">
        <f>H29</f>
        <v>1994</v>
      </c>
      <c r="J29" s="22">
        <f t="shared" ref="J29:M29" si="11">I29</f>
        <v>1994</v>
      </c>
      <c r="K29" s="22">
        <f t="shared" si="11"/>
        <v>1994</v>
      </c>
      <c r="L29" s="22">
        <f t="shared" si="11"/>
        <v>1994</v>
      </c>
      <c r="M29" s="22">
        <f t="shared" si="11"/>
        <v>1994</v>
      </c>
      <c r="O29" t="s">
        <v>84</v>
      </c>
    </row>
    <row r="30" spans="1:15" x14ac:dyDescent="0.15">
      <c r="B30" t="s">
        <v>102</v>
      </c>
      <c r="G30" s="20">
        <f>SUM(G24:G29)</f>
        <v>92645</v>
      </c>
      <c r="H30" s="20">
        <f t="shared" ref="H30:M30" si="12">SUM(H24:H29)</f>
        <v>87379</v>
      </c>
      <c r="I30" s="20">
        <f t="shared" si="12"/>
        <v>96787.283092810147</v>
      </c>
      <c r="J30" s="20">
        <f t="shared" si="12"/>
        <v>106268.87118658655</v>
      </c>
      <c r="K30" s="20">
        <f t="shared" si="12"/>
        <v>115255.35215764915</v>
      </c>
      <c r="L30" s="20">
        <f t="shared" si="12"/>
        <v>147974.96754312611</v>
      </c>
      <c r="M30" s="20">
        <f t="shared" si="12"/>
        <v>168100.96620474421</v>
      </c>
      <c r="O30" t="s">
        <v>3</v>
      </c>
    </row>
    <row r="32" spans="1:15" x14ac:dyDescent="0.15">
      <c r="B32" t="s">
        <v>103</v>
      </c>
      <c r="G32" s="2">
        <v>41194</v>
      </c>
      <c r="H32" s="2">
        <v>34864</v>
      </c>
      <c r="I32">
        <f>Debt!I20-BS!H28</f>
        <v>32988</v>
      </c>
      <c r="J32">
        <f>Debt!J20-BS!I28</f>
        <v>25097</v>
      </c>
      <c r="K32">
        <f>Debt!K20-BS!J28</f>
        <v>24284</v>
      </c>
      <c r="L32">
        <f>Debt!L20-BS!K28</f>
        <v>21676</v>
      </c>
      <c r="M32">
        <f>Debt!M20-BS!L28</f>
        <v>-30788</v>
      </c>
      <c r="O32" t="s">
        <v>124</v>
      </c>
    </row>
    <row r="33" spans="1:15" x14ac:dyDescent="0.15">
      <c r="B33" t="s">
        <v>104</v>
      </c>
      <c r="G33" s="2">
        <v>16756</v>
      </c>
      <c r="H33" s="2">
        <v>17252</v>
      </c>
      <c r="I33" s="22">
        <f>H33</f>
        <v>17252</v>
      </c>
      <c r="J33" s="22">
        <f t="shared" ref="J33:M33" si="13">I33</f>
        <v>17252</v>
      </c>
      <c r="K33" s="22">
        <f t="shared" si="13"/>
        <v>17252</v>
      </c>
      <c r="L33" s="22">
        <f t="shared" si="13"/>
        <v>17252</v>
      </c>
      <c r="M33" s="22">
        <f t="shared" si="13"/>
        <v>17252</v>
      </c>
      <c r="O33" t="s">
        <v>84</v>
      </c>
    </row>
    <row r="34" spans="1:15" x14ac:dyDescent="0.15">
      <c r="B34" t="s">
        <v>105</v>
      </c>
      <c r="G34" s="2">
        <v>14370</v>
      </c>
      <c r="H34" s="2">
        <v>13474</v>
      </c>
      <c r="I34" s="22">
        <f t="shared" ref="I34:M35" si="14">H34</f>
        <v>13474</v>
      </c>
      <c r="J34" s="22">
        <f t="shared" si="14"/>
        <v>13474</v>
      </c>
      <c r="K34" s="22">
        <f t="shared" si="14"/>
        <v>13474</v>
      </c>
      <c r="L34" s="22">
        <f t="shared" si="14"/>
        <v>13474</v>
      </c>
      <c r="M34" s="22">
        <f t="shared" si="14"/>
        <v>13474</v>
      </c>
      <c r="O34" t="s">
        <v>84</v>
      </c>
    </row>
    <row r="35" spans="1:15" x14ac:dyDescent="0.15">
      <c r="B35" t="s">
        <v>120</v>
      </c>
      <c r="G35" s="2">
        <v>0</v>
      </c>
      <c r="H35" s="2">
        <v>0</v>
      </c>
      <c r="I35" s="22">
        <f t="shared" si="14"/>
        <v>0</v>
      </c>
      <c r="J35" s="22">
        <f t="shared" si="14"/>
        <v>0</v>
      </c>
      <c r="K35" s="22">
        <f t="shared" si="14"/>
        <v>0</v>
      </c>
      <c r="L35" s="22">
        <f t="shared" si="14"/>
        <v>0</v>
      </c>
      <c r="M35" s="22">
        <f t="shared" si="14"/>
        <v>0</v>
      </c>
      <c r="O35" t="s">
        <v>84</v>
      </c>
    </row>
    <row r="36" spans="1:15" x14ac:dyDescent="0.15">
      <c r="A36" t="s">
        <v>106</v>
      </c>
      <c r="G36" s="20">
        <f>SUM(G32:G35)+G30</f>
        <v>164965</v>
      </c>
      <c r="H36" s="20">
        <f t="shared" ref="H36:M36" si="15">SUM(H32:H35)+H30</f>
        <v>152969</v>
      </c>
      <c r="I36" s="20">
        <f t="shared" si="15"/>
        <v>160501.28309281013</v>
      </c>
      <c r="J36" s="20">
        <f t="shared" si="15"/>
        <v>162091.87118658656</v>
      </c>
      <c r="K36" s="20">
        <f t="shared" si="15"/>
        <v>170265.35215764915</v>
      </c>
      <c r="L36" s="20">
        <f t="shared" si="15"/>
        <v>200376.96754312611</v>
      </c>
      <c r="M36" s="20">
        <f t="shared" si="15"/>
        <v>168038.96620474421</v>
      </c>
      <c r="O36" t="s">
        <v>3</v>
      </c>
    </row>
    <row r="38" spans="1:15" x14ac:dyDescent="0.15">
      <c r="A38" t="s">
        <v>108</v>
      </c>
    </row>
    <row r="39" spans="1:15" x14ac:dyDescent="0.15">
      <c r="B39" t="s">
        <v>109</v>
      </c>
      <c r="G39" s="2">
        <v>282</v>
      </c>
      <c r="H39" s="2">
        <v>276</v>
      </c>
      <c r="I39" s="22">
        <f>H39</f>
        <v>276</v>
      </c>
      <c r="J39" s="22">
        <f t="shared" ref="J39:M39" si="16">I39</f>
        <v>276</v>
      </c>
      <c r="K39" s="22">
        <f t="shared" si="16"/>
        <v>276</v>
      </c>
      <c r="L39" s="22">
        <f t="shared" si="16"/>
        <v>276</v>
      </c>
      <c r="M39" s="22">
        <f t="shared" si="16"/>
        <v>276</v>
      </c>
      <c r="O39" t="s">
        <v>84</v>
      </c>
    </row>
    <row r="40" spans="1:15" x14ac:dyDescent="0.15">
      <c r="B40" t="s">
        <v>85</v>
      </c>
      <c r="G40" s="2">
        <v>3646</v>
      </c>
      <c r="H40" s="2">
        <v>4839</v>
      </c>
      <c r="I40">
        <f>H40+CF!I27</f>
        <v>4839</v>
      </c>
      <c r="J40">
        <f>I40+CF!J27</f>
        <v>4839</v>
      </c>
      <c r="K40">
        <f>J40+CF!K27</f>
        <v>4839</v>
      </c>
      <c r="L40">
        <f>K40+CF!L27</f>
        <v>4839</v>
      </c>
      <c r="M40">
        <f>L40+CF!M27</f>
        <v>4839</v>
      </c>
      <c r="O40" t="s">
        <v>127</v>
      </c>
    </row>
    <row r="41" spans="1:15" x14ac:dyDescent="0.15">
      <c r="B41" t="s">
        <v>110</v>
      </c>
      <c r="G41" s="2">
        <v>88763</v>
      </c>
      <c r="H41" s="2">
        <v>86904</v>
      </c>
      <c r="I41">
        <f>I63</f>
        <v>99015.295563733351</v>
      </c>
      <c r="J41">
        <f t="shared" ref="J41:M41" si="17">J63</f>
        <v>117960.10842215203</v>
      </c>
      <c r="K41">
        <f t="shared" si="17"/>
        <v>137730.26091652742</v>
      </c>
      <c r="L41">
        <f t="shared" si="17"/>
        <v>158305.74774811757</v>
      </c>
      <c r="M41">
        <f t="shared" si="17"/>
        <v>179677.78405255999</v>
      </c>
      <c r="O41" t="s">
        <v>218</v>
      </c>
    </row>
    <row r="42" spans="1:15" x14ac:dyDescent="0.15">
      <c r="B42" t="s">
        <v>111</v>
      </c>
      <c r="G42" s="2">
        <v>-11766</v>
      </c>
      <c r="H42" s="2">
        <v>-8766</v>
      </c>
      <c r="I42" s="22">
        <f>H42</f>
        <v>-8766</v>
      </c>
      <c r="J42" s="22">
        <f t="shared" ref="J42:M42" si="18">I42</f>
        <v>-8766</v>
      </c>
      <c r="K42" s="22">
        <f t="shared" si="18"/>
        <v>-8766</v>
      </c>
      <c r="L42" s="22">
        <f t="shared" si="18"/>
        <v>-8766</v>
      </c>
      <c r="M42" s="22">
        <f t="shared" si="18"/>
        <v>-8766</v>
      </c>
      <c r="O42" t="s">
        <v>84</v>
      </c>
    </row>
    <row r="43" spans="1:15" x14ac:dyDescent="0.15">
      <c r="B43" t="s">
        <v>120</v>
      </c>
      <c r="G43" s="2">
        <v>6606</v>
      </c>
      <c r="H43" s="2">
        <v>8638</v>
      </c>
      <c r="I43" s="22">
        <f>H43</f>
        <v>8638</v>
      </c>
      <c r="J43" s="22">
        <f t="shared" ref="J43:M43" si="19">I43</f>
        <v>8638</v>
      </c>
      <c r="K43" s="22">
        <f t="shared" si="19"/>
        <v>8638</v>
      </c>
      <c r="L43" s="22">
        <f t="shared" si="19"/>
        <v>8638</v>
      </c>
      <c r="M43" s="22">
        <f t="shared" si="19"/>
        <v>8638</v>
      </c>
      <c r="O43" t="s">
        <v>84</v>
      </c>
    </row>
    <row r="44" spans="1:15" x14ac:dyDescent="0.15">
      <c r="A44" t="s">
        <v>112</v>
      </c>
      <c r="G44" s="20">
        <f>SUM(G39:G43)</f>
        <v>87531</v>
      </c>
      <c r="H44" s="20">
        <f t="shared" ref="H44:M44" si="20">SUM(H39:H43)</f>
        <v>91891</v>
      </c>
      <c r="I44" s="20">
        <f t="shared" si="20"/>
        <v>104002.29556373335</v>
      </c>
      <c r="J44" s="20">
        <f t="shared" si="20"/>
        <v>122947.10842215203</v>
      </c>
      <c r="K44" s="20">
        <f t="shared" si="20"/>
        <v>142717.26091652742</v>
      </c>
      <c r="L44" s="20">
        <f t="shared" si="20"/>
        <v>163292.74774811757</v>
      </c>
      <c r="M44" s="20">
        <f t="shared" si="20"/>
        <v>184664.78405255999</v>
      </c>
      <c r="O44" t="s">
        <v>3</v>
      </c>
    </row>
    <row r="46" spans="1:15" x14ac:dyDescent="0.15">
      <c r="A46" t="s">
        <v>113</v>
      </c>
      <c r="G46" s="21">
        <f>G36+G44</f>
        <v>252496</v>
      </c>
      <c r="H46" s="21">
        <f t="shared" ref="H46:M46" si="21">H36+H44</f>
        <v>244860</v>
      </c>
      <c r="I46" s="21">
        <f t="shared" si="21"/>
        <v>264503.57865654351</v>
      </c>
      <c r="J46" s="21">
        <f t="shared" si="21"/>
        <v>285038.97960873856</v>
      </c>
      <c r="K46" s="21">
        <f t="shared" si="21"/>
        <v>312982.6130741766</v>
      </c>
      <c r="L46" s="21">
        <f t="shared" si="21"/>
        <v>363669.71529124369</v>
      </c>
      <c r="M46" s="21">
        <f t="shared" si="21"/>
        <v>352703.75025730417</v>
      </c>
      <c r="O46" t="s">
        <v>3</v>
      </c>
    </row>
    <row r="47" spans="1:15" x14ac:dyDescent="0.15">
      <c r="A47" s="13"/>
      <c r="B47" s="13"/>
      <c r="C47" s="13" t="s">
        <v>86</v>
      </c>
      <c r="D47" s="13"/>
      <c r="E47" s="13"/>
      <c r="F47" s="13"/>
      <c r="G47" s="13">
        <f>G20-G46</f>
        <v>0</v>
      </c>
      <c r="H47" s="13">
        <f t="shared" ref="H47:M47" si="22">H20-H46</f>
        <v>0</v>
      </c>
      <c r="I47" s="13">
        <f t="shared" si="22"/>
        <v>-40223.067862019117</v>
      </c>
      <c r="J47" s="13">
        <f t="shared" si="22"/>
        <v>-57844.139794853079</v>
      </c>
      <c r="K47" s="13">
        <f t="shared" si="22"/>
        <v>-83188.108491710445</v>
      </c>
      <c r="L47" s="13">
        <f t="shared" si="22"/>
        <v>-131580.73947540368</v>
      </c>
      <c r="M47" s="13">
        <f t="shared" si="22"/>
        <v>-118614.74029066067</v>
      </c>
      <c r="O47" t="s">
        <v>87</v>
      </c>
    </row>
    <row r="49" spans="1:15" x14ac:dyDescent="0.15">
      <c r="A49" s="12" t="s">
        <v>171</v>
      </c>
      <c r="B49" s="12"/>
      <c r="C49" s="12"/>
    </row>
    <row r="50" spans="1:15" x14ac:dyDescent="0.15">
      <c r="B50" t="str">
        <f>B32</f>
        <v>Long-term debt</v>
      </c>
      <c r="G50">
        <f>G32</f>
        <v>41194</v>
      </c>
      <c r="H50">
        <f t="shared" ref="H50:M50" si="23">H32</f>
        <v>34864</v>
      </c>
      <c r="I50">
        <f t="shared" si="23"/>
        <v>32988</v>
      </c>
      <c r="J50">
        <f t="shared" si="23"/>
        <v>25097</v>
      </c>
      <c r="K50">
        <f t="shared" si="23"/>
        <v>24284</v>
      </c>
      <c r="L50">
        <f t="shared" si="23"/>
        <v>21676</v>
      </c>
      <c r="M50">
        <f t="shared" si="23"/>
        <v>-30788</v>
      </c>
      <c r="O50" t="s">
        <v>130</v>
      </c>
    </row>
    <row r="51" spans="1:15" x14ac:dyDescent="0.15">
      <c r="B51" t="s">
        <v>245</v>
      </c>
      <c r="G51">
        <f>G28</f>
        <v>3115</v>
      </c>
      <c r="H51">
        <f>H28</f>
        <v>2803</v>
      </c>
      <c r="I51">
        <f t="shared" ref="I51:M51" si="24">I28</f>
        <v>5347</v>
      </c>
      <c r="J51">
        <f t="shared" si="24"/>
        <v>3080</v>
      </c>
      <c r="K51">
        <f t="shared" si="24"/>
        <v>2844</v>
      </c>
      <c r="L51">
        <f t="shared" si="24"/>
        <v>27654</v>
      </c>
      <c r="M51">
        <f t="shared" si="24"/>
        <v>27654</v>
      </c>
      <c r="O51" t="s">
        <v>130</v>
      </c>
    </row>
    <row r="52" spans="1:15" x14ac:dyDescent="0.15">
      <c r="B52" t="str">
        <f>B33</f>
        <v>Capital leases</v>
      </c>
      <c r="G52">
        <f>G33</f>
        <v>16756</v>
      </c>
      <c r="H52">
        <f>H33</f>
        <v>17252</v>
      </c>
      <c r="I52">
        <f t="shared" ref="I52:M52" si="25">I33</f>
        <v>17252</v>
      </c>
      <c r="J52">
        <f t="shared" si="25"/>
        <v>17252</v>
      </c>
      <c r="K52">
        <f t="shared" si="25"/>
        <v>17252</v>
      </c>
      <c r="L52">
        <f t="shared" si="25"/>
        <v>17252</v>
      </c>
      <c r="M52">
        <f t="shared" si="25"/>
        <v>17252</v>
      </c>
      <c r="O52" t="s">
        <v>130</v>
      </c>
    </row>
    <row r="53" spans="1:15" x14ac:dyDescent="0.15">
      <c r="B53" t="str">
        <f>C24</f>
        <v>Revolver</v>
      </c>
      <c r="G53">
        <f>G24</f>
        <v>224</v>
      </c>
      <c r="H53">
        <f>H24</f>
        <v>410</v>
      </c>
      <c r="I53">
        <f t="shared" ref="I53:M53" si="26">I24</f>
        <v>5674</v>
      </c>
      <c r="J53">
        <f t="shared" si="26"/>
        <v>14861.5</v>
      </c>
      <c r="K53">
        <f t="shared" si="26"/>
        <v>21575</v>
      </c>
      <c r="L53">
        <f t="shared" si="26"/>
        <v>27037</v>
      </c>
      <c r="M53">
        <f t="shared" si="26"/>
        <v>44786</v>
      </c>
      <c r="O53" t="s">
        <v>130</v>
      </c>
    </row>
    <row r="54" spans="1:15" x14ac:dyDescent="0.15">
      <c r="B54" t="str">
        <f>C29</f>
        <v>Current portion of capital leases</v>
      </c>
      <c r="G54">
        <f>G29</f>
        <v>1957</v>
      </c>
      <c r="H54">
        <f>H29</f>
        <v>1994</v>
      </c>
      <c r="I54">
        <f t="shared" ref="I54:M54" si="27">I29</f>
        <v>1994</v>
      </c>
      <c r="J54">
        <f t="shared" si="27"/>
        <v>1994</v>
      </c>
      <c r="K54">
        <f t="shared" si="27"/>
        <v>1994</v>
      </c>
      <c r="L54">
        <f t="shared" si="27"/>
        <v>1994</v>
      </c>
      <c r="M54">
        <f t="shared" si="27"/>
        <v>1994</v>
      </c>
      <c r="O54" t="s">
        <v>130</v>
      </c>
    </row>
    <row r="55" spans="1:15" x14ac:dyDescent="0.15">
      <c r="B55" t="s">
        <v>172</v>
      </c>
      <c r="G55">
        <f>-G10</f>
        <v>-17741</v>
      </c>
      <c r="H55">
        <f t="shared" ref="H55:M55" si="28">-H10</f>
        <v>-14760</v>
      </c>
      <c r="I55">
        <f t="shared" si="28"/>
        <v>0</v>
      </c>
      <c r="J55">
        <f t="shared" si="28"/>
        <v>0</v>
      </c>
      <c r="K55">
        <f t="shared" si="28"/>
        <v>0</v>
      </c>
      <c r="L55">
        <f t="shared" si="28"/>
        <v>0</v>
      </c>
      <c r="M55">
        <f t="shared" si="28"/>
        <v>0</v>
      </c>
      <c r="O55" t="s">
        <v>130</v>
      </c>
    </row>
    <row r="56" spans="1:15" x14ac:dyDescent="0.15">
      <c r="B56" t="s">
        <v>173</v>
      </c>
      <c r="G56" s="21">
        <f>SUM(G50:G55)</f>
        <v>45505</v>
      </c>
      <c r="H56" s="21">
        <f t="shared" ref="H56:M56" si="29">SUM(H50:H55)</f>
        <v>42563</v>
      </c>
      <c r="I56" s="21">
        <f t="shared" si="29"/>
        <v>63255</v>
      </c>
      <c r="J56" s="21">
        <f t="shared" si="29"/>
        <v>62284.5</v>
      </c>
      <c r="K56" s="21">
        <f t="shared" si="29"/>
        <v>67949</v>
      </c>
      <c r="L56" s="21">
        <f t="shared" si="29"/>
        <v>95613</v>
      </c>
      <c r="M56" s="21">
        <f t="shared" si="29"/>
        <v>60898</v>
      </c>
      <c r="O56" t="s">
        <v>3</v>
      </c>
    </row>
    <row r="58" spans="1:15" x14ac:dyDescent="0.15">
      <c r="A58" s="12" t="s">
        <v>110</v>
      </c>
      <c r="B58" s="12"/>
      <c r="C58" s="12"/>
    </row>
    <row r="59" spans="1:15" x14ac:dyDescent="0.15">
      <c r="B59" t="s">
        <v>213</v>
      </c>
      <c r="G59" s="59"/>
      <c r="H59" s="59"/>
      <c r="I59">
        <f>H63</f>
        <v>86904</v>
      </c>
      <c r="J59">
        <f t="shared" ref="J59:M59" si="30">I63</f>
        <v>99015.295563733351</v>
      </c>
      <c r="K59">
        <f t="shared" si="30"/>
        <v>117960.10842215203</v>
      </c>
      <c r="L59">
        <f t="shared" si="30"/>
        <v>137730.26091652742</v>
      </c>
      <c r="M59">
        <f t="shared" si="30"/>
        <v>158305.74774811757</v>
      </c>
      <c r="O59" t="s">
        <v>205</v>
      </c>
    </row>
    <row r="60" spans="1:15" x14ac:dyDescent="0.15">
      <c r="C60" t="s">
        <v>31</v>
      </c>
      <c r="G60" s="59"/>
      <c r="H60" s="59"/>
      <c r="I60">
        <f>IS!I24</f>
        <v>18263.295563733351</v>
      </c>
      <c r="J60">
        <f>IS!J24</f>
        <v>18944.812858418674</v>
      </c>
      <c r="K60">
        <f>IS!K24</f>
        <v>19770.152494375379</v>
      </c>
      <c r="L60">
        <f>IS!L24</f>
        <v>20575.486831590151</v>
      </c>
      <c r="M60">
        <f>IS!M24</f>
        <v>21372.036304442427</v>
      </c>
      <c r="O60" t="s">
        <v>51</v>
      </c>
    </row>
    <row r="61" spans="1:15" x14ac:dyDescent="0.15">
      <c r="C61" t="s">
        <v>214</v>
      </c>
      <c r="E61" s="43"/>
      <c r="G61" s="59"/>
      <c r="H61" s="59"/>
      <c r="I61">
        <f>CF!I28</f>
        <v>-6152</v>
      </c>
      <c r="J61">
        <f>CF!J28</f>
        <v>0</v>
      </c>
      <c r="K61">
        <f>CF!K28</f>
        <v>0</v>
      </c>
      <c r="L61">
        <f>CF!L28</f>
        <v>0</v>
      </c>
      <c r="M61">
        <f>CF!M28</f>
        <v>0</v>
      </c>
      <c r="N61">
        <f>CF!N28</f>
        <v>0</v>
      </c>
      <c r="O61" t="s">
        <v>217</v>
      </c>
    </row>
    <row r="62" spans="1:15" x14ac:dyDescent="0.15">
      <c r="C62" t="s">
        <v>215</v>
      </c>
      <c r="E62" s="43"/>
      <c r="G62" s="59"/>
      <c r="H62" s="59"/>
      <c r="I62">
        <f>CF!I29</f>
        <v>0</v>
      </c>
      <c r="O62" t="s">
        <v>217</v>
      </c>
    </row>
    <row r="63" spans="1:15" x14ac:dyDescent="0.15">
      <c r="A63" s="13"/>
      <c r="B63" s="13" t="s">
        <v>216</v>
      </c>
      <c r="C63" s="13"/>
      <c r="D63" s="13"/>
      <c r="E63" s="13"/>
      <c r="F63" s="13"/>
      <c r="G63" s="13">
        <f>G41</f>
        <v>88763</v>
      </c>
      <c r="H63" s="13">
        <f>H41</f>
        <v>86904</v>
      </c>
      <c r="I63" s="13">
        <f>SUM(I59:I62)</f>
        <v>99015.295563733351</v>
      </c>
      <c r="J63" s="13">
        <f t="shared" ref="J63:M63" si="31">SUM(J59:J62)</f>
        <v>117960.10842215203</v>
      </c>
      <c r="K63" s="13">
        <f t="shared" si="31"/>
        <v>137730.26091652742</v>
      </c>
      <c r="L63" s="13">
        <f t="shared" si="31"/>
        <v>158305.74774811757</v>
      </c>
      <c r="M63" s="13">
        <f t="shared" si="31"/>
        <v>179677.78405255999</v>
      </c>
      <c r="O63" t="s">
        <v>3</v>
      </c>
    </row>
    <row r="65" spans="1:15" x14ac:dyDescent="0.15">
      <c r="A65" s="12" t="s">
        <v>18</v>
      </c>
      <c r="B65" s="12"/>
      <c r="C65" s="12"/>
    </row>
    <row r="66" spans="1:15" x14ac:dyDescent="0.15">
      <c r="B66" t="s">
        <v>21</v>
      </c>
      <c r="G66">
        <f>IS!F11</f>
        <v>523964</v>
      </c>
      <c r="H66">
        <f>IS!G11</f>
        <v>559151</v>
      </c>
      <c r="I66">
        <f>IS!H11</f>
        <v>572754</v>
      </c>
      <c r="J66">
        <f>IS!I11</f>
        <v>584863.83766141604</v>
      </c>
      <c r="K66">
        <f>IS!J11</f>
        <v>596360.5276472125</v>
      </c>
      <c r="L66">
        <f>IS!K11</f>
        <v>607197.16664704774</v>
      </c>
      <c r="M66">
        <f>IS!L11</f>
        <v>617328.85557602928</v>
      </c>
      <c r="O66" t="s">
        <v>51</v>
      </c>
    </row>
    <row r="67" spans="1:15" x14ac:dyDescent="0.15">
      <c r="B67" t="s">
        <v>22</v>
      </c>
      <c r="G67">
        <f>IS!F12</f>
        <v>394605</v>
      </c>
      <c r="H67">
        <f>IS!G12</f>
        <v>420315</v>
      </c>
      <c r="I67">
        <f>IS!H12</f>
        <v>429000</v>
      </c>
      <c r="J67">
        <f>IS!I12</f>
        <v>436297.84807362215</v>
      </c>
      <c r="K67">
        <f>IS!J12</f>
        <v>443060.95343292091</v>
      </c>
      <c r="L67">
        <f>IS!K12</f>
        <v>449259.75628107222</v>
      </c>
      <c r="M67">
        <f>IS!L12</f>
        <v>454866.74861025921</v>
      </c>
      <c r="O67" t="s">
        <v>51</v>
      </c>
    </row>
    <row r="68" spans="1:15" x14ac:dyDescent="0.15">
      <c r="B68" t="s">
        <v>24</v>
      </c>
      <c r="G68">
        <f>IS!F14</f>
        <v>108791</v>
      </c>
      <c r="H68">
        <f>IS!G14</f>
        <v>116288</v>
      </c>
      <c r="I68">
        <f>IS!H14</f>
        <v>117812</v>
      </c>
      <c r="J68">
        <f>IS!I14</f>
        <v>121472.647327681</v>
      </c>
      <c r="K68">
        <f>IS!J14</f>
        <v>125053.1606829138</v>
      </c>
      <c r="L68">
        <f>IS!K14</f>
        <v>128539.93203528316</v>
      </c>
      <c r="M68">
        <f>IS!L14</f>
        <v>131919.40641862983</v>
      </c>
      <c r="O68" t="s">
        <v>51</v>
      </c>
    </row>
    <row r="69" spans="1:15" x14ac:dyDescent="0.15">
      <c r="F69" s="60"/>
    </row>
    <row r="70" spans="1:15" x14ac:dyDescent="0.15">
      <c r="B70" t="s">
        <v>114</v>
      </c>
      <c r="F70" s="61"/>
      <c r="G70" s="34">
        <f>G11/G66*365</f>
        <v>4.5391286424258155</v>
      </c>
      <c r="H70" s="34">
        <f>H11/H66*365</f>
        <v>5.4049800501116874</v>
      </c>
      <c r="I70" s="35">
        <f>H70</f>
        <v>5.4049800501116874</v>
      </c>
      <c r="J70" s="35">
        <f t="shared" ref="J70:N70" si="32">I70</f>
        <v>5.4049800501116874</v>
      </c>
      <c r="K70" s="35">
        <f t="shared" si="32"/>
        <v>5.4049800501116874</v>
      </c>
      <c r="L70" s="35">
        <f t="shared" si="32"/>
        <v>5.4049800501116874</v>
      </c>
      <c r="M70" s="35">
        <f t="shared" si="32"/>
        <v>5.4049800501116874</v>
      </c>
      <c r="N70" s="35">
        <f t="shared" si="32"/>
        <v>5.4049800501116874</v>
      </c>
      <c r="O70" t="s">
        <v>200</v>
      </c>
    </row>
    <row r="71" spans="1:15" x14ac:dyDescent="0.15">
      <c r="B71" t="s">
        <v>115</v>
      </c>
      <c r="E71" s="68">
        <v>0.5</v>
      </c>
      <c r="F71" s="61"/>
      <c r="G71" s="34">
        <f>G12/G67*365</f>
        <v>41.57672862736154</v>
      </c>
      <c r="H71" s="34">
        <f>G71-0.5</f>
        <v>41.07672862736154</v>
      </c>
      <c r="I71" s="34">
        <f t="shared" ref="I71:M71" si="33">H71-0.5</f>
        <v>40.57672862736154</v>
      </c>
      <c r="J71" s="34">
        <f t="shared" si="33"/>
        <v>40.07672862736154</v>
      </c>
      <c r="K71" s="34">
        <f t="shared" si="33"/>
        <v>39.57672862736154</v>
      </c>
      <c r="L71" s="34">
        <f t="shared" si="33"/>
        <v>39.07672862736154</v>
      </c>
      <c r="M71" s="34">
        <f t="shared" si="33"/>
        <v>38.57672862736154</v>
      </c>
      <c r="N71" s="34" t="e">
        <f t="shared" ref="N71" si="34">N12/N67*365-0.5</f>
        <v>#DIV/0!</v>
      </c>
      <c r="O71" t="str">
        <f>"Inventory / COGS * 365, decrease by "&amp;E71&amp;" days"</f>
        <v>Inventory / COGS * 365, decrease by 0.5 days</v>
      </c>
    </row>
    <row r="72" spans="1:15" x14ac:dyDescent="0.15">
      <c r="B72" t="s">
        <v>116</v>
      </c>
      <c r="F72" s="62"/>
      <c r="G72" s="16">
        <f>G13/G66</f>
        <v>3.981380400180165E-2</v>
      </c>
      <c r="H72" s="16">
        <f t="shared" ref="H72" si="35">H13/H66</f>
        <v>2.7166185878233248E-3</v>
      </c>
      <c r="I72" s="16">
        <f>H72</f>
        <v>2.7166185878233248E-3</v>
      </c>
      <c r="J72" s="16">
        <f t="shared" ref="J72:M72" si="36">I72</f>
        <v>2.7166185878233248E-3</v>
      </c>
      <c r="K72" s="16">
        <f t="shared" si="36"/>
        <v>2.7166185878233248E-3</v>
      </c>
      <c r="L72" s="16">
        <f t="shared" si="36"/>
        <v>2.7166185878233248E-3</v>
      </c>
      <c r="M72" s="16">
        <f t="shared" si="36"/>
        <v>2.7166185878233248E-3</v>
      </c>
      <c r="O72" t="s">
        <v>201</v>
      </c>
    </row>
    <row r="73" spans="1:15" x14ac:dyDescent="0.15">
      <c r="B73" t="s">
        <v>117</v>
      </c>
      <c r="F73" s="62"/>
      <c r="G73" s="16">
        <f>G19/G66</f>
        <v>4.5037445320670888E-2</v>
      </c>
      <c r="H73" s="16">
        <f>H19/H66</f>
        <v>3.961720537028459E-2</v>
      </c>
      <c r="I73" s="18">
        <f>H73</f>
        <v>3.961720537028459E-2</v>
      </c>
      <c r="J73" s="18">
        <f t="shared" ref="J73:M73" si="37">I73</f>
        <v>3.961720537028459E-2</v>
      </c>
      <c r="K73" s="18">
        <f t="shared" si="37"/>
        <v>3.961720537028459E-2</v>
      </c>
      <c r="L73" s="18">
        <f t="shared" si="37"/>
        <v>3.961720537028459E-2</v>
      </c>
      <c r="M73" s="18">
        <f t="shared" si="37"/>
        <v>3.961720537028459E-2</v>
      </c>
      <c r="O73" t="s">
        <v>202</v>
      </c>
    </row>
    <row r="74" spans="1:15" x14ac:dyDescent="0.15">
      <c r="B74" t="s">
        <v>118</v>
      </c>
      <c r="E74" s="68">
        <v>0.75</v>
      </c>
      <c r="F74" s="61"/>
      <c r="G74" s="34">
        <f>G25/G68*365</f>
        <v>164.8708532874962</v>
      </c>
      <c r="H74" s="34">
        <f>H25/H68*365</f>
        <v>173.45095796642818</v>
      </c>
      <c r="I74" s="35">
        <f>H74+$E$74</f>
        <v>174.20095796642818</v>
      </c>
      <c r="J74" s="35">
        <f t="shared" ref="J74:M74" si="38">I74+$E$74</f>
        <v>174.95095796642818</v>
      </c>
      <c r="K74" s="35">
        <f t="shared" si="38"/>
        <v>175.70095796642818</v>
      </c>
      <c r="L74" s="35">
        <f t="shared" si="38"/>
        <v>176.45095796642818</v>
      </c>
      <c r="M74" s="35">
        <f t="shared" si="38"/>
        <v>177.20095796642818</v>
      </c>
      <c r="O74" t="str">
        <f>"A/P / total Operating expenses * 365, increase by "&amp;E74&amp;" day"</f>
        <v>A/P / total Operating expenses * 365, increase by 0.75 day</v>
      </c>
    </row>
    <row r="75" spans="1:15" x14ac:dyDescent="0.15">
      <c r="A75" s="13"/>
      <c r="B75" s="13" t="s">
        <v>119</v>
      </c>
      <c r="C75" s="13"/>
      <c r="D75" s="13"/>
      <c r="E75" s="13"/>
      <c r="F75" s="13"/>
      <c r="G75" s="15">
        <f>G26/G66</f>
        <v>7.2459176584650856E-2</v>
      </c>
      <c r="H75" s="15">
        <f>H26/H66</f>
        <v>4.6606372876020964E-2</v>
      </c>
      <c r="I75" s="19">
        <f>H75</f>
        <v>4.6606372876020964E-2</v>
      </c>
      <c r="J75" s="19">
        <f t="shared" ref="J75:M75" si="39">I75</f>
        <v>4.6606372876020964E-2</v>
      </c>
      <c r="K75" s="19">
        <f t="shared" si="39"/>
        <v>4.6606372876020964E-2</v>
      </c>
      <c r="L75" s="19">
        <f t="shared" si="39"/>
        <v>4.6606372876020964E-2</v>
      </c>
      <c r="M75" s="19">
        <f t="shared" si="39"/>
        <v>4.6606372876020964E-2</v>
      </c>
      <c r="O75" t="s">
        <v>203</v>
      </c>
    </row>
    <row r="77" spans="1:15" x14ac:dyDescent="0.15">
      <c r="B77" t="str">
        <f>Control!H12</f>
        <v>Note: Fiscal year ends January 31</v>
      </c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scale="56" orientation="landscape" r:id="rId1"/>
  <headerFooter alignWithMargins="0">
    <oddHeader>&amp;L&amp;F&amp;R&amp;A</oddHeader>
  </headerFooter>
  <ignoredErrors>
    <ignoredError sqref="I70:M70 I17:M18 I27:M27 M28 I33:M35 I39:M39 I42:M43" unlockedFormula="1"/>
    <ignoredError sqref="I71:M72" formula="1"/>
    <ignoredError sqref="I73:M75 I29:M29 I28:L28" formula="1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O43"/>
  <sheetViews>
    <sheetView showGridLines="0" topLeftCell="A4" zoomScale="191" zoomScaleNormal="150" workbookViewId="0">
      <selection activeCell="I23" sqref="I23"/>
    </sheetView>
  </sheetViews>
  <sheetFormatPr baseColWidth="10" defaultColWidth="8.75" defaultRowHeight="11" x14ac:dyDescent="0.15"/>
  <cols>
    <col min="1" max="2" width="1.75" customWidth="1"/>
    <col min="3" max="3" width="25.75" customWidth="1"/>
    <col min="4" max="4" width="1" customWidth="1"/>
    <col min="14" max="14" width="1" customWidth="1"/>
    <col min="15" max="15" width="33.25" customWidth="1"/>
  </cols>
  <sheetData>
    <row r="1" spans="1:15" ht="13" x14ac:dyDescent="0.15">
      <c r="A1" s="5" t="str">
        <f>Control!A1</f>
        <v>Wal-Mart Stores, Inc.</v>
      </c>
    </row>
    <row r="3" spans="1:15" x14ac:dyDescent="0.15">
      <c r="B3" t="str">
        <f>Control!B3</f>
        <v>(in $m, except per share)</v>
      </c>
    </row>
    <row r="4" spans="1:15" x14ac:dyDescent="0.15">
      <c r="A4" s="1" t="s">
        <v>142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I5" s="9" t="s">
        <v>17</v>
      </c>
      <c r="J5" s="7"/>
      <c r="K5" s="7"/>
      <c r="L5" s="7"/>
      <c r="M5" s="7"/>
      <c r="O5" t="s">
        <v>107</v>
      </c>
    </row>
    <row r="6" spans="1:15" x14ac:dyDescent="0.15">
      <c r="A6" s="10"/>
      <c r="B6" s="10"/>
      <c r="C6" s="10"/>
      <c r="D6" s="10"/>
      <c r="E6" s="10"/>
      <c r="F6" s="10"/>
      <c r="G6" s="10"/>
      <c r="H6" s="10"/>
      <c r="I6" s="45" t="str">
        <f>Control!I6</f>
        <v>2023C</v>
      </c>
      <c r="J6" s="11" t="str">
        <f>Control!J6</f>
        <v>2024P</v>
      </c>
      <c r="K6" s="11" t="str">
        <f>Control!K6</f>
        <v>2025P</v>
      </c>
      <c r="L6" s="11" t="str">
        <f>Control!L6</f>
        <v>2026P</v>
      </c>
      <c r="M6" s="11" t="str">
        <f>Control!M6</f>
        <v>2027P</v>
      </c>
    </row>
    <row r="8" spans="1:15" x14ac:dyDescent="0.15">
      <c r="A8" t="s">
        <v>65</v>
      </c>
    </row>
    <row r="9" spans="1:15" x14ac:dyDescent="0.15">
      <c r="B9" t="s">
        <v>31</v>
      </c>
      <c r="I9">
        <f>IS!I24</f>
        <v>18263.295563733351</v>
      </c>
      <c r="J9">
        <f>IS!J24</f>
        <v>18944.812858418674</v>
      </c>
      <c r="K9">
        <f>IS!K24</f>
        <v>19770.152494375379</v>
      </c>
      <c r="L9">
        <f>IS!L24</f>
        <v>20575.486831590151</v>
      </c>
      <c r="M9">
        <f>IS!M24</f>
        <v>21372.036304442427</v>
      </c>
      <c r="O9" t="s">
        <v>51</v>
      </c>
    </row>
    <row r="10" spans="1:15" x14ac:dyDescent="0.15">
      <c r="B10" t="s">
        <v>50</v>
      </c>
      <c r="I10">
        <f>IS!I33</f>
        <v>10883.343951845596</v>
      </c>
      <c r="J10">
        <f>IS!J33</f>
        <v>11097.278244523812</v>
      </c>
      <c r="K10">
        <f>IS!K33</f>
        <v>11298.930085384363</v>
      </c>
      <c r="L10">
        <f>IS!L33</f>
        <v>11487.46397708147</v>
      </c>
      <c r="M10">
        <f>IS!M33</f>
        <v>11662.087532367155</v>
      </c>
      <c r="O10" t="s">
        <v>51</v>
      </c>
    </row>
    <row r="12" spans="1:15" x14ac:dyDescent="0.15">
      <c r="B12" t="s">
        <v>55</v>
      </c>
    </row>
    <row r="13" spans="1:15" x14ac:dyDescent="0.15">
      <c r="C13" t="s">
        <v>56</v>
      </c>
      <c r="I13">
        <f>BS!H11-BS!I11</f>
        <v>-201.4354619771766</v>
      </c>
      <c r="J13">
        <f>BS!I11-BS!J11</f>
        <v>-179.3244684110814</v>
      </c>
      <c r="K13">
        <f>BS!J11-BS!K11</f>
        <v>-170.24487675492855</v>
      </c>
      <c r="L13">
        <f>BS!K11-BS!L11</f>
        <v>-160.47073316266142</v>
      </c>
      <c r="M13">
        <f>BS!L11-BS!M11</f>
        <v>-150.03171653447316</v>
      </c>
      <c r="O13" t="s">
        <v>52</v>
      </c>
    </row>
    <row r="14" spans="1:15" x14ac:dyDescent="0.15">
      <c r="C14" t="s">
        <v>57</v>
      </c>
      <c r="I14">
        <f>BS!H12-BS!I12</f>
        <v>8819.4477229093172</v>
      </c>
      <c r="J14">
        <f>BS!I12-BS!J12</f>
        <v>-213.62705975415884</v>
      </c>
      <c r="K14">
        <f>BS!J12-BS!K12</f>
        <v>-135.6511272504431</v>
      </c>
      <c r="L14">
        <f>BS!K12-BS!L12</f>
        <v>-56.708109576058632</v>
      </c>
      <c r="M14">
        <f>BS!L12-BS!M12</f>
        <v>22.823168881608581</v>
      </c>
      <c r="O14" t="s">
        <v>52</v>
      </c>
    </row>
    <row r="15" spans="1:15" x14ac:dyDescent="0.15">
      <c r="C15" t="s">
        <v>58</v>
      </c>
      <c r="I15">
        <f>BS!H13-BS!I13</f>
        <v>-36.95416265016047</v>
      </c>
      <c r="J15">
        <f>BS!I13-BS!J13</f>
        <v>-32.897810086525851</v>
      </c>
      <c r="K15">
        <f>BS!J13-BS!K13</f>
        <v>-31.232121713856941</v>
      </c>
      <c r="L15">
        <f>BS!K13-BS!L13</f>
        <v>-29.439014936483545</v>
      </c>
      <c r="M15">
        <f>BS!L13-BS!M13</f>
        <v>-27.523934470515087</v>
      </c>
      <c r="O15" t="s">
        <v>52</v>
      </c>
    </row>
    <row r="16" spans="1:15" x14ac:dyDescent="0.15">
      <c r="C16" t="s">
        <v>59</v>
      </c>
      <c r="I16">
        <f>BS!H19-BS!I19</f>
        <v>-538.91284465197896</v>
      </c>
      <c r="J16">
        <f>BS!I19-BS!J19</f>
        <v>-479.75792563312643</v>
      </c>
      <c r="K16">
        <f>BS!J19-BS!K19</f>
        <v>-455.46672824579218</v>
      </c>
      <c r="L16">
        <f>BS!K19-BS!L19</f>
        <v>-429.31735278010819</v>
      </c>
      <c r="M16">
        <f>BS!L19-BS!M19</f>
        <v>-401.38920104730278</v>
      </c>
      <c r="O16" t="s">
        <v>52</v>
      </c>
    </row>
    <row r="17" spans="1:15" x14ac:dyDescent="0.15">
      <c r="C17" t="s">
        <v>60</v>
      </c>
      <c r="I17">
        <f>BS!I25-BS!H25</f>
        <v>966.29660257763317</v>
      </c>
      <c r="J17">
        <f>BS!J25-BS!I25</f>
        <v>1996.6924842603694</v>
      </c>
      <c r="K17">
        <f>BS!K25-BS!J25</f>
        <v>1973.1619507445357</v>
      </c>
      <c r="L17">
        <f>BS!L25-BS!K25</f>
        <v>1942.5589475278321</v>
      </c>
      <c r="M17">
        <f>BS!M25-BS!L25</f>
        <v>1904.7973895301257</v>
      </c>
      <c r="O17" t="s">
        <v>53</v>
      </c>
    </row>
    <row r="18" spans="1:15" x14ac:dyDescent="0.15">
      <c r="C18" t="s">
        <v>61</v>
      </c>
      <c r="I18">
        <f>BS!I26-BS!H26</f>
        <v>633.98649023250982</v>
      </c>
      <c r="J18">
        <f>BS!J26-BS!I26</f>
        <v>564.39560951603926</v>
      </c>
      <c r="K18">
        <f>BS!K26-BS!J26</f>
        <v>535.81902031804566</v>
      </c>
      <c r="L18">
        <f>BS!L26-BS!K26</f>
        <v>505.05643794915159</v>
      </c>
      <c r="M18">
        <f>BS!M26-BS!L26</f>
        <v>472.20127208796839</v>
      </c>
      <c r="O18" t="s">
        <v>53</v>
      </c>
    </row>
    <row r="19" spans="1:15" x14ac:dyDescent="0.15">
      <c r="B19" t="s">
        <v>62</v>
      </c>
      <c r="I19">
        <f>SUM(I13:I18)</f>
        <v>9642.4283464401451</v>
      </c>
      <c r="J19">
        <f t="shared" ref="J19:M19" si="0">SUM(J13:J18)</f>
        <v>1655.4808298915161</v>
      </c>
      <c r="K19">
        <f t="shared" si="0"/>
        <v>1716.3861170975606</v>
      </c>
      <c r="L19">
        <f t="shared" si="0"/>
        <v>1771.6801750216719</v>
      </c>
      <c r="M19">
        <f t="shared" si="0"/>
        <v>1820.8769784474116</v>
      </c>
      <c r="O19" t="s">
        <v>3</v>
      </c>
    </row>
    <row r="20" spans="1:15" x14ac:dyDescent="0.15">
      <c r="A20" t="s">
        <v>63</v>
      </c>
      <c r="I20">
        <f>I19+I9+I10</f>
        <v>38789.067862019088</v>
      </c>
      <c r="J20">
        <f t="shared" ref="J20:M20" si="1">J19+J9+J10</f>
        <v>31697.571932834002</v>
      </c>
      <c r="K20">
        <f t="shared" si="1"/>
        <v>32785.468696857308</v>
      </c>
      <c r="L20">
        <f t="shared" si="1"/>
        <v>33834.630983693292</v>
      </c>
      <c r="M20">
        <f t="shared" si="1"/>
        <v>34855.000815256994</v>
      </c>
      <c r="O20" t="s">
        <v>3</v>
      </c>
    </row>
    <row r="22" spans="1:15" x14ac:dyDescent="0.15">
      <c r="A22" t="s">
        <v>64</v>
      </c>
    </row>
    <row r="23" spans="1:15" x14ac:dyDescent="0.15">
      <c r="B23" t="s">
        <v>77</v>
      </c>
      <c r="I23" s="2">
        <v>-13106</v>
      </c>
      <c r="J23" s="2">
        <v>-13106</v>
      </c>
      <c r="K23" s="2">
        <v>-13106</v>
      </c>
      <c r="L23" s="2">
        <v>-13106</v>
      </c>
      <c r="M23" s="2">
        <v>-13106</v>
      </c>
      <c r="O23" t="s">
        <v>257</v>
      </c>
    </row>
    <row r="24" spans="1:15" x14ac:dyDescent="0.15">
      <c r="A24" t="s">
        <v>66</v>
      </c>
      <c r="O24" t="s">
        <v>3</v>
      </c>
    </row>
    <row r="26" spans="1:15" x14ac:dyDescent="0.15">
      <c r="A26" t="s">
        <v>67</v>
      </c>
    </row>
    <row r="27" spans="1:15" x14ac:dyDescent="0.15">
      <c r="B27" t="s">
        <v>68</v>
      </c>
      <c r="I27" s="2">
        <v>0</v>
      </c>
      <c r="J27" s="22"/>
      <c r="K27" s="22"/>
      <c r="L27" s="22"/>
      <c r="M27" s="22"/>
      <c r="O27" t="s">
        <v>4</v>
      </c>
    </row>
    <row r="28" spans="1:15" x14ac:dyDescent="0.15">
      <c r="B28" t="s">
        <v>69</v>
      </c>
      <c r="I28" s="2">
        <v>-6152</v>
      </c>
      <c r="J28" s="22"/>
      <c r="K28" s="22"/>
      <c r="L28" s="22"/>
      <c r="M28" s="22"/>
      <c r="O28" t="s">
        <v>256</v>
      </c>
    </row>
    <row r="29" spans="1:15" x14ac:dyDescent="0.15">
      <c r="B29" t="s">
        <v>70</v>
      </c>
      <c r="I29" s="2">
        <v>0</v>
      </c>
      <c r="J29" s="22"/>
      <c r="K29" s="22"/>
      <c r="L29" s="22"/>
      <c r="M29" s="22"/>
      <c r="O29" t="s">
        <v>4</v>
      </c>
    </row>
    <row r="30" spans="1:15" x14ac:dyDescent="0.15">
      <c r="B30" t="s">
        <v>238</v>
      </c>
      <c r="I30" s="54"/>
      <c r="J30" s="54"/>
      <c r="K30" s="54"/>
      <c r="L30" s="54"/>
      <c r="M30" s="54"/>
    </row>
    <row r="31" spans="1:15" x14ac:dyDescent="0.15">
      <c r="B31" t="s">
        <v>237</v>
      </c>
      <c r="I31" s="2"/>
      <c r="J31" s="2"/>
      <c r="K31" s="2"/>
      <c r="L31" s="2"/>
      <c r="M31" s="2"/>
    </row>
    <row r="32" spans="1:15" s="55" customFormat="1" x14ac:dyDescent="0.15">
      <c r="A32" s="55" t="s">
        <v>72</v>
      </c>
      <c r="I32" s="56"/>
      <c r="J32" s="56"/>
      <c r="K32" s="56"/>
      <c r="L32" s="56"/>
      <c r="M32" s="56"/>
      <c r="O32" s="55" t="s">
        <v>54</v>
      </c>
    </row>
    <row r="34" spans="1:15" x14ac:dyDescent="0.15">
      <c r="A34" t="s">
        <v>73</v>
      </c>
      <c r="O34" t="s">
        <v>205</v>
      </c>
    </row>
    <row r="35" spans="1:15" x14ac:dyDescent="0.15">
      <c r="B35" t="s">
        <v>74</v>
      </c>
      <c r="O35" t="s">
        <v>49</v>
      </c>
    </row>
    <row r="36" spans="1:15" x14ac:dyDescent="0.15">
      <c r="A36" s="13" t="s">
        <v>75</v>
      </c>
      <c r="B36" s="13"/>
      <c r="C36" s="13"/>
      <c r="D36" s="13"/>
      <c r="E36" s="44"/>
      <c r="F36" s="44"/>
      <c r="G36" s="44"/>
      <c r="H36" s="44"/>
      <c r="I36" s="8"/>
      <c r="J36" s="8"/>
      <c r="K36" s="8"/>
      <c r="L36" s="8"/>
      <c r="M36" s="8"/>
      <c r="O36" t="s">
        <v>206</v>
      </c>
    </row>
    <row r="39" spans="1:15" x14ac:dyDescent="0.15">
      <c r="A39" s="12" t="s">
        <v>204</v>
      </c>
      <c r="B39" s="12"/>
      <c r="C39" s="12"/>
    </row>
    <row r="40" spans="1:15" x14ac:dyDescent="0.15">
      <c r="A40" t="s">
        <v>239</v>
      </c>
    </row>
    <row r="41" spans="1:15" x14ac:dyDescent="0.15">
      <c r="A41" s="13"/>
      <c r="B41" s="13" t="s">
        <v>76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O41" t="s">
        <v>128</v>
      </c>
    </row>
    <row r="43" spans="1:15" x14ac:dyDescent="0.15">
      <c r="B43" t="str">
        <f>Control!H12</f>
        <v>Note: Fiscal year ends January 31</v>
      </c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O58"/>
  <sheetViews>
    <sheetView showGridLines="0" zoomScale="224" zoomScaleNormal="150" workbookViewId="0"/>
  </sheetViews>
  <sheetFormatPr baseColWidth="10" defaultColWidth="8.75" defaultRowHeight="11" x14ac:dyDescent="0.15"/>
  <cols>
    <col min="1" max="2" width="1.75" customWidth="1"/>
    <col min="3" max="3" width="25.75" customWidth="1"/>
    <col min="4" max="4" width="1" customWidth="1"/>
    <col min="10" max="10" width="10" bestFit="1" customWidth="1"/>
    <col min="14" max="14" width="1" customWidth="1"/>
    <col min="15" max="15" width="33.25" customWidth="1"/>
  </cols>
  <sheetData>
    <row r="1" spans="1:15" ht="13" x14ac:dyDescent="0.15">
      <c r="A1" s="5" t="str">
        <f>Control!A1</f>
        <v>Wal-Mart Stores, Inc.</v>
      </c>
    </row>
    <row r="3" spans="1:15" x14ac:dyDescent="0.15">
      <c r="B3" t="str">
        <f>Control!B3</f>
        <v>(in $m, except per share)</v>
      </c>
    </row>
    <row r="4" spans="1:15" x14ac:dyDescent="0.15">
      <c r="A4" s="1" t="s">
        <v>143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1"/>
      <c r="O4" s="1"/>
    </row>
    <row r="5" spans="1:15" x14ac:dyDescent="0.15">
      <c r="F5" s="46" t="str">
        <f>Control!F5</f>
        <v>Actual</v>
      </c>
      <c r="G5" s="7"/>
      <c r="H5" s="7"/>
      <c r="I5" s="46" t="s">
        <v>17</v>
      </c>
      <c r="J5" s="47"/>
      <c r="K5" s="47"/>
      <c r="L5" s="47"/>
      <c r="M5" s="48"/>
      <c r="O5" t="s">
        <v>107</v>
      </c>
    </row>
    <row r="6" spans="1:15" x14ac:dyDescent="0.15">
      <c r="A6" s="10"/>
      <c r="B6" s="10"/>
      <c r="C6" s="10"/>
      <c r="D6" s="10"/>
      <c r="E6" s="10"/>
      <c r="F6" s="11" t="str">
        <f>Control!F6</f>
        <v>2020A</v>
      </c>
      <c r="G6" s="11" t="str">
        <f>Control!G6</f>
        <v>2021A</v>
      </c>
      <c r="H6" s="11" t="str">
        <f>Control!H6</f>
        <v>2022A</v>
      </c>
      <c r="I6" s="50" t="str">
        <f>Control!I6</f>
        <v>2023C</v>
      </c>
      <c r="J6" s="11" t="str">
        <f>Control!J6</f>
        <v>2024P</v>
      </c>
      <c r="K6" s="11" t="str">
        <f>Control!K6</f>
        <v>2025P</v>
      </c>
      <c r="L6" s="11" t="str">
        <f>Control!L6</f>
        <v>2026P</v>
      </c>
      <c r="M6" s="11" t="str">
        <f>Control!M6</f>
        <v>2027P</v>
      </c>
    </row>
    <row r="7" spans="1:15" x14ac:dyDescent="0.15">
      <c r="I7" s="51"/>
    </row>
    <row r="8" spans="1:15" x14ac:dyDescent="0.15">
      <c r="A8" t="s">
        <v>71</v>
      </c>
      <c r="I8" s="51">
        <f>CF!I40</f>
        <v>0</v>
      </c>
      <c r="J8" s="51">
        <f>CF!J40</f>
        <v>0</v>
      </c>
      <c r="K8" s="51">
        <f>CF!K40</f>
        <v>0</v>
      </c>
      <c r="L8" s="51">
        <f>CF!L40</f>
        <v>0</v>
      </c>
      <c r="M8" s="51">
        <f>CF!M40</f>
        <v>0</v>
      </c>
      <c r="O8" t="s">
        <v>78</v>
      </c>
    </row>
    <row r="9" spans="1:15" x14ac:dyDescent="0.15">
      <c r="A9" t="s">
        <v>69</v>
      </c>
      <c r="I9" s="51">
        <f>CF!I28</f>
        <v>-6152</v>
      </c>
      <c r="J9" s="51">
        <f>CF!J28</f>
        <v>0</v>
      </c>
      <c r="K9" s="51">
        <f>CF!K28</f>
        <v>0</v>
      </c>
      <c r="L9" s="51">
        <f>CF!L28</f>
        <v>0</v>
      </c>
      <c r="M9" s="51">
        <f>CF!M28</f>
        <v>0</v>
      </c>
      <c r="O9" t="s">
        <v>78</v>
      </c>
    </row>
    <row r="10" spans="1:15" x14ac:dyDescent="0.15">
      <c r="B10" t="s">
        <v>131</v>
      </c>
      <c r="I10" s="51">
        <f>CF!I34</f>
        <v>0</v>
      </c>
      <c r="J10" s="51">
        <f>CF!J34</f>
        <v>0</v>
      </c>
      <c r="K10" s="51">
        <f>CF!K34</f>
        <v>0</v>
      </c>
      <c r="L10" s="51">
        <f>CF!L34</f>
        <v>0</v>
      </c>
      <c r="M10" s="51">
        <f>CF!M34</f>
        <v>0</v>
      </c>
      <c r="O10" t="s">
        <v>78</v>
      </c>
    </row>
    <row r="11" spans="1:15" x14ac:dyDescent="0.15">
      <c r="B11" t="s">
        <v>132</v>
      </c>
      <c r="E11" s="57">
        <v>-2500</v>
      </c>
      <c r="I11" s="52">
        <f>$E$11</f>
        <v>-2500</v>
      </c>
      <c r="J11" s="52">
        <f t="shared" ref="J11:M11" si="0">$E$11</f>
        <v>-2500</v>
      </c>
      <c r="K11" s="52">
        <f t="shared" si="0"/>
        <v>-2500</v>
      </c>
      <c r="L11" s="52">
        <f t="shared" si="0"/>
        <v>-2500</v>
      </c>
      <c r="M11" s="52">
        <f t="shared" si="0"/>
        <v>-2500</v>
      </c>
      <c r="O11" t="s">
        <v>4</v>
      </c>
    </row>
    <row r="12" spans="1:15" x14ac:dyDescent="0.15">
      <c r="A12" t="s">
        <v>240</v>
      </c>
      <c r="I12" s="28">
        <f>SUM(I8:I11)</f>
        <v>-8652</v>
      </c>
      <c r="J12" s="28">
        <f t="shared" ref="J12:M12" si="1">SUM(J8:J11)</f>
        <v>-2500</v>
      </c>
      <c r="K12" s="28">
        <f t="shared" si="1"/>
        <v>-2500</v>
      </c>
      <c r="L12" s="28">
        <f t="shared" si="1"/>
        <v>-2500</v>
      </c>
      <c r="M12" s="28">
        <f t="shared" si="1"/>
        <v>-2500</v>
      </c>
      <c r="O12" t="s">
        <v>3</v>
      </c>
    </row>
    <row r="13" spans="1:15" x14ac:dyDescent="0.15">
      <c r="B13" t="s">
        <v>241</v>
      </c>
      <c r="I13" s="51">
        <f>I18+I19</f>
        <v>-1876</v>
      </c>
      <c r="J13" s="51">
        <f t="shared" ref="J13:M13" si="2">J18+J19</f>
        <v>-5347</v>
      </c>
      <c r="K13" s="51">
        <f t="shared" si="2"/>
        <v>-3080</v>
      </c>
      <c r="L13" s="51">
        <f t="shared" si="2"/>
        <v>-2844</v>
      </c>
      <c r="M13" s="51">
        <f t="shared" si="2"/>
        <v>-27654</v>
      </c>
      <c r="O13" t="s">
        <v>212</v>
      </c>
    </row>
    <row r="14" spans="1:15" s="55" customFormat="1" x14ac:dyDescent="0.15">
      <c r="A14" s="55" t="s">
        <v>242</v>
      </c>
      <c r="I14" s="58">
        <f>I12+I13</f>
        <v>-10528</v>
      </c>
      <c r="J14" s="58">
        <f t="shared" ref="J14:M14" si="3">J12+J13</f>
        <v>-7847</v>
      </c>
      <c r="K14" s="58">
        <f t="shared" si="3"/>
        <v>-5580</v>
      </c>
      <c r="L14" s="58">
        <f t="shared" si="3"/>
        <v>-5344</v>
      </c>
      <c r="M14" s="58">
        <f t="shared" si="3"/>
        <v>-30154</v>
      </c>
    </row>
    <row r="15" spans="1:15" x14ac:dyDescent="0.15">
      <c r="I15" s="51"/>
    </row>
    <row r="16" spans="1:15" x14ac:dyDescent="0.15">
      <c r="A16" t="s">
        <v>244</v>
      </c>
      <c r="I16" s="51"/>
    </row>
    <row r="17" spans="1:15" x14ac:dyDescent="0.15">
      <c r="B17" t="s">
        <v>133</v>
      </c>
      <c r="I17" s="51">
        <f>H20</f>
        <v>37667</v>
      </c>
      <c r="J17" s="51">
        <f t="shared" ref="J17:M17" si="4">I20</f>
        <v>35791</v>
      </c>
      <c r="K17" s="51">
        <f t="shared" si="4"/>
        <v>30444</v>
      </c>
      <c r="L17" s="51">
        <f t="shared" si="4"/>
        <v>27364</v>
      </c>
      <c r="M17" s="51">
        <f t="shared" si="4"/>
        <v>24520</v>
      </c>
      <c r="O17" t="s">
        <v>205</v>
      </c>
    </row>
    <row r="18" spans="1:15" x14ac:dyDescent="0.15">
      <c r="C18" t="s">
        <v>134</v>
      </c>
      <c r="I18" s="52">
        <f>-H49</f>
        <v>-1876</v>
      </c>
      <c r="J18" s="2">
        <f>-H50</f>
        <v>-5347</v>
      </c>
      <c r="K18" s="2">
        <f>-H51</f>
        <v>-3080</v>
      </c>
      <c r="L18" s="2">
        <f>-H52</f>
        <v>-2844</v>
      </c>
      <c r="M18" s="2">
        <f>-H53</f>
        <v>-27654</v>
      </c>
      <c r="O18" t="s">
        <v>259</v>
      </c>
    </row>
    <row r="19" spans="1:15" x14ac:dyDescent="0.15">
      <c r="C19" t="s">
        <v>135</v>
      </c>
      <c r="F19" s="43"/>
      <c r="I19" s="52">
        <v>0</v>
      </c>
      <c r="J19" s="22">
        <f>I19</f>
        <v>0</v>
      </c>
      <c r="K19" s="22">
        <f t="shared" ref="K19:M19" si="5">J19</f>
        <v>0</v>
      </c>
      <c r="L19" s="22">
        <f t="shared" si="5"/>
        <v>0</v>
      </c>
      <c r="M19" s="22">
        <f t="shared" si="5"/>
        <v>0</v>
      </c>
      <c r="O19" t="s">
        <v>246</v>
      </c>
    </row>
    <row r="20" spans="1:15" x14ac:dyDescent="0.15">
      <c r="B20" t="s">
        <v>136</v>
      </c>
      <c r="H20" s="49">
        <f>BS!H32+BS!H28</f>
        <v>37667</v>
      </c>
      <c r="I20" s="28">
        <f>SUM(I17:I19)</f>
        <v>35791</v>
      </c>
      <c r="J20" s="28">
        <f t="shared" ref="J20:M20" si="6">SUM(J17:J19)</f>
        <v>30444</v>
      </c>
      <c r="K20" s="28">
        <f t="shared" si="6"/>
        <v>27364</v>
      </c>
      <c r="L20" s="28">
        <f t="shared" si="6"/>
        <v>24520</v>
      </c>
      <c r="M20" s="28">
        <f t="shared" si="6"/>
        <v>-3134</v>
      </c>
      <c r="O20" t="s">
        <v>207</v>
      </c>
    </row>
    <row r="21" spans="1:15" x14ac:dyDescent="0.15">
      <c r="B21" t="s">
        <v>137</v>
      </c>
      <c r="I21" s="51">
        <f>AVERAGE(I17,I20)</f>
        <v>36729</v>
      </c>
      <c r="J21" s="51">
        <f t="shared" ref="J21:M21" si="7">AVERAGE(J17,J20)</f>
        <v>33117.5</v>
      </c>
      <c r="K21" s="51">
        <f t="shared" si="7"/>
        <v>28904</v>
      </c>
      <c r="L21" s="51">
        <f t="shared" si="7"/>
        <v>25942</v>
      </c>
      <c r="M21" s="51">
        <f t="shared" si="7"/>
        <v>10693</v>
      </c>
      <c r="O21" t="s">
        <v>128</v>
      </c>
    </row>
    <row r="22" spans="1:15" x14ac:dyDescent="0.15">
      <c r="I22" s="51"/>
    </row>
    <row r="23" spans="1:15" x14ac:dyDescent="0.15">
      <c r="A23" t="s">
        <v>83</v>
      </c>
      <c r="I23" s="51"/>
    </row>
    <row r="24" spans="1:15" x14ac:dyDescent="0.15">
      <c r="B24" t="s">
        <v>133</v>
      </c>
      <c r="I24" s="51">
        <f>H26</f>
        <v>410</v>
      </c>
      <c r="J24" s="51">
        <f t="shared" ref="J24:M24" si="8">I26</f>
        <v>10938</v>
      </c>
      <c r="K24" s="51">
        <f t="shared" si="8"/>
        <v>18785</v>
      </c>
      <c r="L24" s="51">
        <f t="shared" si="8"/>
        <v>24365</v>
      </c>
      <c r="M24" s="51">
        <f t="shared" si="8"/>
        <v>29709</v>
      </c>
      <c r="O24" t="s">
        <v>205</v>
      </c>
    </row>
    <row r="25" spans="1:15" x14ac:dyDescent="0.15">
      <c r="C25" t="s">
        <v>243</v>
      </c>
      <c r="G25" s="43"/>
      <c r="I25" s="51">
        <f>-MIN(I14,I24)</f>
        <v>10528</v>
      </c>
      <c r="J25" s="51">
        <f t="shared" ref="J25:M25" si="9">-MIN(J14,J24)</f>
        <v>7847</v>
      </c>
      <c r="K25" s="51">
        <f t="shared" si="9"/>
        <v>5580</v>
      </c>
      <c r="L25" s="51">
        <f t="shared" si="9"/>
        <v>5344</v>
      </c>
      <c r="M25" s="51">
        <f t="shared" si="9"/>
        <v>30154</v>
      </c>
      <c r="O25" t="s">
        <v>129</v>
      </c>
    </row>
    <row r="26" spans="1:15" x14ac:dyDescent="0.15">
      <c r="B26" t="s">
        <v>136</v>
      </c>
      <c r="H26" s="49">
        <f>BS!H24</f>
        <v>410</v>
      </c>
      <c r="I26" s="28">
        <f>SUM(I24:I25)</f>
        <v>10938</v>
      </c>
      <c r="J26" s="28">
        <f t="shared" ref="J26:M26" si="10">SUM(J24:J25)</f>
        <v>18785</v>
      </c>
      <c r="K26" s="28">
        <f t="shared" si="10"/>
        <v>24365</v>
      </c>
      <c r="L26" s="28">
        <f t="shared" si="10"/>
        <v>29709</v>
      </c>
      <c r="M26" s="28">
        <f t="shared" si="10"/>
        <v>59863</v>
      </c>
      <c r="O26" t="s">
        <v>207</v>
      </c>
    </row>
    <row r="27" spans="1:15" x14ac:dyDescent="0.15">
      <c r="B27" t="s">
        <v>137</v>
      </c>
      <c r="I27" s="51">
        <f>AVERAGE(I24,I26)</f>
        <v>5674</v>
      </c>
      <c r="J27" s="51">
        <f t="shared" ref="J27:M27" si="11">AVERAGE(J24,J26)</f>
        <v>14861.5</v>
      </c>
      <c r="K27" s="51">
        <f t="shared" si="11"/>
        <v>21575</v>
      </c>
      <c r="L27" s="51">
        <f t="shared" si="11"/>
        <v>27037</v>
      </c>
      <c r="M27" s="51">
        <f t="shared" si="11"/>
        <v>44786</v>
      </c>
      <c r="O27" t="s">
        <v>128</v>
      </c>
    </row>
    <row r="28" spans="1:15" x14ac:dyDescent="0.15">
      <c r="I28" s="51"/>
    </row>
    <row r="29" spans="1:15" x14ac:dyDescent="0.15">
      <c r="A29" t="s">
        <v>73</v>
      </c>
      <c r="I29" s="51">
        <f>CF!I34</f>
        <v>0</v>
      </c>
      <c r="J29" s="51">
        <f>CF!J34</f>
        <v>0</v>
      </c>
      <c r="K29" s="51">
        <f>CF!K34</f>
        <v>0</v>
      </c>
      <c r="L29" s="51">
        <f>CF!L34</f>
        <v>0</v>
      </c>
      <c r="M29" s="51">
        <f>CF!M34</f>
        <v>0</v>
      </c>
      <c r="O29" t="s">
        <v>78</v>
      </c>
    </row>
    <row r="30" spans="1:15" x14ac:dyDescent="0.15">
      <c r="A30" t="s">
        <v>75</v>
      </c>
      <c r="I30" s="51">
        <f>CF!I36</f>
        <v>0</v>
      </c>
      <c r="J30" s="51">
        <f>CF!J36</f>
        <v>0</v>
      </c>
      <c r="K30" s="51">
        <f>CF!K36</f>
        <v>0</v>
      </c>
      <c r="L30" s="51">
        <f>CF!L36</f>
        <v>0</v>
      </c>
      <c r="M30" s="51">
        <f>CF!M36</f>
        <v>0</v>
      </c>
      <c r="O30" t="s">
        <v>78</v>
      </c>
    </row>
    <row r="31" spans="1:15" x14ac:dyDescent="0.15">
      <c r="B31" t="s">
        <v>76</v>
      </c>
      <c r="I31" s="51">
        <f>CF!I41</f>
        <v>0</v>
      </c>
      <c r="J31" s="51">
        <f>CF!J41</f>
        <v>0</v>
      </c>
      <c r="K31" s="51">
        <f>CF!K41</f>
        <v>0</v>
      </c>
      <c r="L31" s="51">
        <f>CF!L41</f>
        <v>0</v>
      </c>
      <c r="M31" s="51">
        <f>CF!M41</f>
        <v>0</v>
      </c>
      <c r="O31" t="s">
        <v>87</v>
      </c>
    </row>
    <row r="32" spans="1:15" x14ac:dyDescent="0.15">
      <c r="I32" s="51"/>
    </row>
    <row r="33" spans="1:15" x14ac:dyDescent="0.15">
      <c r="A33" t="s">
        <v>138</v>
      </c>
      <c r="I33" s="51"/>
    </row>
    <row r="34" spans="1:15" x14ac:dyDescent="0.15">
      <c r="B34" t="s">
        <v>139</v>
      </c>
      <c r="I34" s="53">
        <v>0.01</v>
      </c>
      <c r="J34" s="18">
        <f>I34</f>
        <v>0.01</v>
      </c>
      <c r="K34" s="18">
        <f t="shared" ref="K34:M36" si="12">J34</f>
        <v>0.01</v>
      </c>
      <c r="L34" s="18">
        <f t="shared" si="12"/>
        <v>0.01</v>
      </c>
      <c r="M34" s="18">
        <f t="shared" si="12"/>
        <v>0.01</v>
      </c>
      <c r="O34" t="s">
        <v>254</v>
      </c>
    </row>
    <row r="35" spans="1:15" x14ac:dyDescent="0.15">
      <c r="B35" t="s">
        <v>244</v>
      </c>
      <c r="I35" s="53">
        <f>G56</f>
        <v>3.6494761998677454E-2</v>
      </c>
      <c r="J35" s="18">
        <f>I35</f>
        <v>3.6494761998677454E-2</v>
      </c>
      <c r="K35" s="18">
        <f t="shared" si="12"/>
        <v>3.6494761998677454E-2</v>
      </c>
      <c r="L35" s="18">
        <f t="shared" si="12"/>
        <v>3.6494761998677454E-2</v>
      </c>
      <c r="M35" s="18">
        <f t="shared" si="12"/>
        <v>3.6494761998677454E-2</v>
      </c>
      <c r="O35" t="s">
        <v>210</v>
      </c>
    </row>
    <row r="36" spans="1:15" x14ac:dyDescent="0.15">
      <c r="B36" t="s">
        <v>83</v>
      </c>
      <c r="I36" s="53">
        <v>2.7E-2</v>
      </c>
      <c r="J36" s="18">
        <f>I36</f>
        <v>2.7E-2</v>
      </c>
      <c r="K36" s="18">
        <f t="shared" si="12"/>
        <v>2.7E-2</v>
      </c>
      <c r="L36" s="18">
        <f t="shared" si="12"/>
        <v>2.7E-2</v>
      </c>
      <c r="M36" s="18">
        <f t="shared" si="12"/>
        <v>2.7E-2</v>
      </c>
      <c r="O36" t="s">
        <v>258</v>
      </c>
    </row>
    <row r="37" spans="1:15" x14ac:dyDescent="0.15">
      <c r="I37" s="51"/>
    </row>
    <row r="38" spans="1:15" x14ac:dyDescent="0.15">
      <c r="A38" t="s">
        <v>28</v>
      </c>
      <c r="I38" s="51"/>
    </row>
    <row r="39" spans="1:15" x14ac:dyDescent="0.15">
      <c r="B39" t="s">
        <v>90</v>
      </c>
      <c r="I39" s="51">
        <f>I29*I34</f>
        <v>0</v>
      </c>
      <c r="J39" s="51">
        <f t="shared" ref="J39:M39" si="13">J29*J34</f>
        <v>0</v>
      </c>
      <c r="K39" s="51">
        <f t="shared" si="13"/>
        <v>0</v>
      </c>
      <c r="L39" s="51">
        <f t="shared" si="13"/>
        <v>0</v>
      </c>
      <c r="M39" s="51">
        <f t="shared" si="13"/>
        <v>0</v>
      </c>
      <c r="O39" t="s">
        <v>262</v>
      </c>
    </row>
    <row r="40" spans="1:15" x14ac:dyDescent="0.15">
      <c r="I40" s="51"/>
    </row>
    <row r="41" spans="1:15" x14ac:dyDescent="0.15">
      <c r="A41" t="s">
        <v>26</v>
      </c>
      <c r="I41" s="51"/>
    </row>
    <row r="42" spans="1:15" x14ac:dyDescent="0.15">
      <c r="B42" t="str">
        <f>A16</f>
        <v>Long term debt</v>
      </c>
      <c r="I42" s="51">
        <f>I17*I35</f>
        <v>1374.6482002041837</v>
      </c>
      <c r="J42" s="51">
        <f t="shared" ref="J42:M42" si="14">J17*J35</f>
        <v>1306.1840266946647</v>
      </c>
      <c r="K42" s="51">
        <f t="shared" si="14"/>
        <v>1111.0465342877364</v>
      </c>
      <c r="L42" s="51">
        <f t="shared" si="14"/>
        <v>998.64266733180989</v>
      </c>
      <c r="M42" s="51">
        <f t="shared" si="14"/>
        <v>894.85156420757119</v>
      </c>
      <c r="O42" t="s">
        <v>262</v>
      </c>
    </row>
    <row r="43" spans="1:15" x14ac:dyDescent="0.15">
      <c r="B43" t="s">
        <v>83</v>
      </c>
      <c r="I43" s="51">
        <f>I24*I36</f>
        <v>11.07</v>
      </c>
      <c r="J43" s="51">
        <f t="shared" ref="J43:M43" si="15">J24*J36</f>
        <v>295.32600000000002</v>
      </c>
      <c r="K43" s="51">
        <f t="shared" si="15"/>
        <v>507.19499999999999</v>
      </c>
      <c r="L43" s="51">
        <f t="shared" si="15"/>
        <v>657.85500000000002</v>
      </c>
      <c r="M43" s="51">
        <f t="shared" si="15"/>
        <v>802.14300000000003</v>
      </c>
      <c r="O43" t="s">
        <v>262</v>
      </c>
    </row>
    <row r="44" spans="1:15" x14ac:dyDescent="0.15">
      <c r="A44" s="13" t="s">
        <v>140</v>
      </c>
      <c r="B44" s="13"/>
      <c r="C44" s="13"/>
      <c r="D44" s="13"/>
      <c r="E44" s="13"/>
      <c r="F44" s="13"/>
      <c r="G44" s="13"/>
      <c r="H44" s="13"/>
      <c r="I44" s="49">
        <f>SUM(I42:I43)</f>
        <v>1385.7182002041836</v>
      </c>
      <c r="J44" s="49">
        <f t="shared" ref="J44:M44" si="16">SUM(J42:J43)</f>
        <v>1601.5100266946647</v>
      </c>
      <c r="K44" s="49">
        <f t="shared" si="16"/>
        <v>1618.2415342877364</v>
      </c>
      <c r="L44" s="49">
        <f t="shared" si="16"/>
        <v>1656.4976673318099</v>
      </c>
      <c r="M44" s="49">
        <f t="shared" si="16"/>
        <v>1696.9945642075713</v>
      </c>
      <c r="O44" t="s">
        <v>3</v>
      </c>
    </row>
    <row r="46" spans="1:15" x14ac:dyDescent="0.15">
      <c r="B46" t="str">
        <f>Control!H12</f>
        <v>Note: Fiscal year ends January 31</v>
      </c>
    </row>
    <row r="48" spans="1:15" x14ac:dyDescent="0.15">
      <c r="B48" s="12" t="s">
        <v>211</v>
      </c>
      <c r="C48" s="12"/>
      <c r="D48" s="12"/>
      <c r="E48" s="12"/>
      <c r="F48" s="12"/>
      <c r="G48" s="12"/>
      <c r="H48" s="12"/>
    </row>
    <row r="49" spans="5:10" x14ac:dyDescent="0.15">
      <c r="E49" s="17">
        <v>2.5000000000000001E-2</v>
      </c>
      <c r="F49" s="17">
        <v>2.8000000000000001E-2</v>
      </c>
      <c r="G49" s="16">
        <f t="shared" ref="G49:G54" si="17">AVERAGE(E49:F49)</f>
        <v>2.6500000000000003E-2</v>
      </c>
      <c r="H49" s="2">
        <f>1576+300</f>
        <v>1876</v>
      </c>
      <c r="J49" s="16"/>
    </row>
    <row r="50" spans="5:10" x14ac:dyDescent="0.15">
      <c r="E50" s="17">
        <v>2.9000000000000001E-2</v>
      </c>
      <c r="F50" s="17">
        <v>2.9000000000000001E-2</v>
      </c>
      <c r="G50" s="16">
        <f t="shared" si="17"/>
        <v>2.9000000000000001E-2</v>
      </c>
      <c r="H50" s="2">
        <f>4597+750</f>
        <v>5347</v>
      </c>
      <c r="J50" s="16"/>
    </row>
    <row r="51" spans="5:10" x14ac:dyDescent="0.15">
      <c r="E51" s="17">
        <v>3.6999999999999998E-2</v>
      </c>
      <c r="F51" s="17">
        <v>3.1E-2</v>
      </c>
      <c r="G51" s="16">
        <f t="shared" si="17"/>
        <v>3.4000000000000002E-2</v>
      </c>
      <c r="H51" s="2">
        <f>2330+750</f>
        <v>3080</v>
      </c>
      <c r="J51" s="16"/>
    </row>
    <row r="52" spans="5:10" x14ac:dyDescent="0.15">
      <c r="E52" s="17">
        <v>1.7000000000000001E-2</v>
      </c>
      <c r="F52" s="17"/>
      <c r="G52" s="16">
        <f t="shared" si="17"/>
        <v>1.7000000000000001E-2</v>
      </c>
      <c r="H52" s="2">
        <v>2844</v>
      </c>
      <c r="J52" s="16"/>
    </row>
    <row r="53" spans="5:10" x14ac:dyDescent="0.15">
      <c r="E53" s="17">
        <v>4.4999999999999998E-2</v>
      </c>
      <c r="F53" s="17"/>
      <c r="G53" s="16">
        <f t="shared" si="17"/>
        <v>4.4999999999999998E-2</v>
      </c>
      <c r="H53" s="2">
        <v>27654</v>
      </c>
      <c r="J53" s="16"/>
    </row>
    <row r="54" spans="5:10" x14ac:dyDescent="0.15">
      <c r="E54" s="17">
        <v>3.9E-2</v>
      </c>
      <c r="F54" s="17">
        <v>2.9000000000000001E-2</v>
      </c>
      <c r="G54" s="16">
        <f t="shared" si="17"/>
        <v>3.4000000000000002E-2</v>
      </c>
      <c r="H54" s="2">
        <f>43596+1800</f>
        <v>45396</v>
      </c>
      <c r="J54" s="16"/>
    </row>
    <row r="55" spans="5:10" x14ac:dyDescent="0.15">
      <c r="E55" s="17"/>
      <c r="F55" s="17"/>
      <c r="G55" s="16"/>
      <c r="H55" s="2"/>
    </row>
    <row r="56" spans="5:10" x14ac:dyDescent="0.15">
      <c r="E56" s="16"/>
      <c r="F56" s="16"/>
      <c r="G56" s="23">
        <f>SUMPRODUCT(G49:G54,H49:H54)/H56</f>
        <v>3.6494761998677454E-2</v>
      </c>
      <c r="H56" s="21">
        <f>SUM(H49:H55)</f>
        <v>86197</v>
      </c>
      <c r="J56" s="16"/>
    </row>
    <row r="58" spans="5:10" x14ac:dyDescent="0.15">
      <c r="E58" t="s">
        <v>260</v>
      </c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O51"/>
  <sheetViews>
    <sheetView showGridLines="0" zoomScale="165" zoomScaleNormal="150" workbookViewId="0">
      <selection activeCell="K26" sqref="K26"/>
    </sheetView>
  </sheetViews>
  <sheetFormatPr baseColWidth="10" defaultColWidth="8.75" defaultRowHeight="11" x14ac:dyDescent="0.15"/>
  <cols>
    <col min="1" max="2" width="1.75" customWidth="1"/>
    <col min="3" max="3" width="25.75" customWidth="1"/>
    <col min="4" max="4" width="1" customWidth="1"/>
    <col min="6" max="6" width="9.5" customWidth="1"/>
    <col min="7" max="7" width="11" bestFit="1" customWidth="1"/>
    <col min="14" max="14" width="1" customWidth="1"/>
    <col min="15" max="15" width="33.25" customWidth="1"/>
  </cols>
  <sheetData>
    <row r="1" spans="1:15" ht="13" x14ac:dyDescent="0.15">
      <c r="A1" s="5" t="str">
        <f>Control!A1</f>
        <v>Wal-Mart Stores, Inc.</v>
      </c>
    </row>
    <row r="3" spans="1:15" x14ac:dyDescent="0.15">
      <c r="B3" t="str">
        <f>Control!B3</f>
        <v>(in $m, except per share)</v>
      </c>
    </row>
    <row r="4" spans="1:15" x14ac:dyDescent="0.15">
      <c r="A4" s="1" t="s">
        <v>157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F5" s="46" t="str">
        <f>Control!F5</f>
        <v>Actual</v>
      </c>
      <c r="G5" s="7"/>
      <c r="H5" s="7"/>
      <c r="I5" s="46" t="s">
        <v>17</v>
      </c>
      <c r="J5" s="47"/>
      <c r="K5" s="47"/>
      <c r="L5" s="47"/>
      <c r="M5" s="48"/>
      <c r="O5" t="s">
        <v>107</v>
      </c>
    </row>
    <row r="6" spans="1:15" x14ac:dyDescent="0.15">
      <c r="A6" s="10"/>
      <c r="B6" s="10"/>
      <c r="C6" s="10"/>
      <c r="D6" s="10"/>
      <c r="E6" s="10"/>
      <c r="F6" s="11" t="str">
        <f>Control!F6</f>
        <v>2020A</v>
      </c>
      <c r="G6" s="11" t="str">
        <f>Control!G6</f>
        <v>2021A</v>
      </c>
      <c r="H6" s="11" t="str">
        <f>Control!H6</f>
        <v>2022A</v>
      </c>
      <c r="I6" s="11" t="str">
        <f>Control!I6</f>
        <v>2023C</v>
      </c>
      <c r="J6" s="11" t="str">
        <f>Control!J6</f>
        <v>2024P</v>
      </c>
      <c r="K6" s="11" t="str">
        <f>Control!K6</f>
        <v>2025P</v>
      </c>
      <c r="L6" s="11" t="str">
        <f>Control!L6</f>
        <v>2026P</v>
      </c>
      <c r="M6" s="11" t="str">
        <f>Control!M6</f>
        <v>2027P</v>
      </c>
    </row>
    <row r="8" spans="1:15" x14ac:dyDescent="0.15">
      <c r="A8" t="s">
        <v>144</v>
      </c>
      <c r="I8">
        <f>IS!I15</f>
        <v>27093.342260112884</v>
      </c>
      <c r="J8">
        <f>IS!J15</f>
        <v>28246.413531377781</v>
      </c>
      <c r="K8">
        <f>IS!K15</f>
        <v>29397.478330692364</v>
      </c>
      <c r="L8">
        <f>IS!L15</f>
        <v>30542.700547140237</v>
      </c>
      <c r="M8">
        <f>IS!M15</f>
        <v>31678.167150261172</v>
      </c>
      <c r="O8" t="s">
        <v>51</v>
      </c>
    </row>
    <row r="9" spans="1:15" x14ac:dyDescent="0.15">
      <c r="B9" t="str">
        <f>"less: cash taxes @ "&amp;TEXT(E9,"0.00%")</f>
        <v>less: cash taxes @ 27.00%</v>
      </c>
      <c r="E9" s="18">
        <f>IS!I47</f>
        <v>0.27</v>
      </c>
      <c r="I9">
        <f>I8*$E$9</f>
        <v>7315.2024102304795</v>
      </c>
      <c r="J9">
        <f t="shared" ref="J9:M9" si="0">J8*$E$9</f>
        <v>7626.5316534720014</v>
      </c>
      <c r="K9">
        <f t="shared" si="0"/>
        <v>7937.3191492869391</v>
      </c>
      <c r="L9">
        <f t="shared" si="0"/>
        <v>8246.5291477278643</v>
      </c>
      <c r="M9">
        <f t="shared" si="0"/>
        <v>8553.1051305705168</v>
      </c>
      <c r="O9" t="s">
        <v>223</v>
      </c>
    </row>
    <row r="10" spans="1:15" x14ac:dyDescent="0.15">
      <c r="A10" t="s">
        <v>146</v>
      </c>
      <c r="I10">
        <f>I8-I9</f>
        <v>19778.139849882406</v>
      </c>
      <c r="J10">
        <f t="shared" ref="J10:M10" si="1">J8-J9</f>
        <v>20619.88187790578</v>
      </c>
      <c r="K10">
        <f t="shared" si="1"/>
        <v>21460.159181405426</v>
      </c>
      <c r="L10">
        <f t="shared" si="1"/>
        <v>22296.171399412371</v>
      </c>
      <c r="M10">
        <f t="shared" si="1"/>
        <v>23125.062019690653</v>
      </c>
      <c r="O10" t="s">
        <v>3</v>
      </c>
    </row>
    <row r="11" spans="1:15" x14ac:dyDescent="0.15">
      <c r="B11" t="s">
        <v>148</v>
      </c>
      <c r="I11">
        <f>IS!I33</f>
        <v>10883.343951845596</v>
      </c>
      <c r="J11">
        <f>IS!J33</f>
        <v>11097.278244523812</v>
      </c>
      <c r="K11">
        <f>IS!K33</f>
        <v>11298.930085384363</v>
      </c>
      <c r="L11">
        <f>IS!L33</f>
        <v>11487.46397708147</v>
      </c>
      <c r="M11">
        <f>IS!M33</f>
        <v>11662.087532367155</v>
      </c>
      <c r="O11" t="s">
        <v>51</v>
      </c>
    </row>
    <row r="12" spans="1:15" x14ac:dyDescent="0.15">
      <c r="B12" t="s">
        <v>147</v>
      </c>
      <c r="I12">
        <f>CF!I23</f>
        <v>-13106</v>
      </c>
      <c r="J12">
        <f>CF!J23</f>
        <v>-13106</v>
      </c>
      <c r="K12">
        <f>CF!K23</f>
        <v>-13106</v>
      </c>
      <c r="L12">
        <f>CF!L23</f>
        <v>-13106</v>
      </c>
      <c r="M12">
        <f>CF!M23</f>
        <v>-13106</v>
      </c>
      <c r="O12" t="s">
        <v>217</v>
      </c>
    </row>
    <row r="13" spans="1:15" x14ac:dyDescent="0.15">
      <c r="B13" t="s">
        <v>247</v>
      </c>
      <c r="I13">
        <f>CF!I19</f>
        <v>9642.4283464401451</v>
      </c>
      <c r="J13">
        <f>CF!J19</f>
        <v>1655.4808298915161</v>
      </c>
      <c r="K13">
        <f>CF!K19</f>
        <v>1716.3861170975606</v>
      </c>
      <c r="L13">
        <f>CF!L19</f>
        <v>1771.6801750216719</v>
      </c>
      <c r="M13">
        <f>CF!M19</f>
        <v>1820.8769784474116</v>
      </c>
      <c r="O13" t="s">
        <v>217</v>
      </c>
    </row>
    <row r="14" spans="1:15" x14ac:dyDescent="0.15">
      <c r="A14" t="s">
        <v>145</v>
      </c>
      <c r="I14">
        <f>SUM(I9:I12)-I13</f>
        <v>15228.257865518339</v>
      </c>
      <c r="J14">
        <f t="shared" ref="J14:M14" si="2">SUM(J9:J12)-J13</f>
        <v>24582.210946010076</v>
      </c>
      <c r="K14">
        <f t="shared" si="2"/>
        <v>25874.022298979162</v>
      </c>
      <c r="L14">
        <f t="shared" si="2"/>
        <v>27152.484349200033</v>
      </c>
      <c r="M14">
        <f t="shared" si="2"/>
        <v>28413.377704180915</v>
      </c>
      <c r="O14" t="s">
        <v>3</v>
      </c>
    </row>
    <row r="15" spans="1:15" x14ac:dyDescent="0.15">
      <c r="B15" t="s">
        <v>220</v>
      </c>
      <c r="D15">
        <v>9.5000000000000001E-2</v>
      </c>
      <c r="E15" s="17">
        <f>'Capital Structure'!H30</f>
        <v>7.857908361757468E-2</v>
      </c>
    </row>
    <row r="16" spans="1:15" x14ac:dyDescent="0.15">
      <c r="C16" t="s">
        <v>219</v>
      </c>
      <c r="F16" s="42"/>
      <c r="G16" s="42"/>
      <c r="H16" s="42"/>
      <c r="I16" s="42">
        <f>I49</f>
        <v>0.97422509349770281</v>
      </c>
      <c r="J16" s="42">
        <f t="shared" ref="J16:M16" si="3">J49</f>
        <v>0.90324864286273154</v>
      </c>
      <c r="K16" s="42">
        <f t="shared" si="3"/>
        <v>0.83744312918920916</v>
      </c>
      <c r="L16" s="42">
        <f t="shared" si="3"/>
        <v>0.77643182767869845</v>
      </c>
      <c r="M16" s="42">
        <f t="shared" si="3"/>
        <v>0.71986545954009373</v>
      </c>
      <c r="O16" t="s">
        <v>224</v>
      </c>
    </row>
    <row r="17" spans="1:15" x14ac:dyDescent="0.15">
      <c r="A17" s="13" t="str">
        <f>"PV of unlevered FCF @ "&amp;TEXT(E15,"0.00%")</f>
        <v>PV of unlevered FCF @ 7.86%</v>
      </c>
      <c r="B17" s="13"/>
      <c r="C17" s="13"/>
      <c r="D17" s="13"/>
      <c r="E17" s="13"/>
      <c r="F17" s="13"/>
      <c r="G17" s="13"/>
      <c r="H17" s="13"/>
      <c r="I17" s="21">
        <f>I14*I16</f>
        <v>14835.750942841732</v>
      </c>
      <c r="J17" s="21">
        <f t="shared" ref="J17:N17" si="4">J14*J16</f>
        <v>22203.848675548987</v>
      </c>
      <c r="K17" s="21">
        <f t="shared" si="4"/>
        <v>21668.022198768485</v>
      </c>
      <c r="L17" s="21">
        <f t="shared" si="4"/>
        <v>21082.053049266637</v>
      </c>
      <c r="M17" s="21">
        <f t="shared" si="4"/>
        <v>20453.809198106446</v>
      </c>
      <c r="N17" s="21">
        <f t="shared" si="4"/>
        <v>0</v>
      </c>
      <c r="O17" t="s">
        <v>225</v>
      </c>
    </row>
    <row r="19" spans="1:15" x14ac:dyDescent="0.15">
      <c r="A19" s="12" t="s">
        <v>149</v>
      </c>
      <c r="B19" s="12"/>
      <c r="C19" s="12"/>
    </row>
    <row r="20" spans="1:15" x14ac:dyDescent="0.15">
      <c r="A20" t="s">
        <v>5</v>
      </c>
      <c r="I20">
        <f>I8+I11</f>
        <v>37976.686211958484</v>
      </c>
      <c r="J20">
        <f t="shared" ref="J20:M20" si="5">J8+J11</f>
        <v>39343.691775901592</v>
      </c>
      <c r="K20">
        <f t="shared" si="5"/>
        <v>40696.408416076723</v>
      </c>
      <c r="L20">
        <f t="shared" si="5"/>
        <v>42030.164524221706</v>
      </c>
      <c r="M20">
        <f t="shared" si="5"/>
        <v>43340.254682628329</v>
      </c>
      <c r="O20" t="s">
        <v>226</v>
      </c>
    </row>
    <row r="21" spans="1:15" x14ac:dyDescent="0.15">
      <c r="B21" t="s">
        <v>151</v>
      </c>
    </row>
    <row r="22" spans="1:15" x14ac:dyDescent="0.15">
      <c r="C22" t="s">
        <v>152</v>
      </c>
      <c r="F22" s="24">
        <v>10</v>
      </c>
      <c r="G22" s="24">
        <v>12</v>
      </c>
      <c r="O22" t="s">
        <v>232</v>
      </c>
    </row>
    <row r="23" spans="1:15" x14ac:dyDescent="0.15">
      <c r="C23" t="str">
        <f>"TV at end of "&amp;$M$6</f>
        <v>TV at end of 2027P</v>
      </c>
      <c r="F23">
        <f>F22*M20</f>
        <v>433402.54682628327</v>
      </c>
      <c r="G23">
        <f>G22*M20</f>
        <v>520083.05619153997</v>
      </c>
      <c r="O23" t="s">
        <v>227</v>
      </c>
    </row>
    <row r="24" spans="1:15" x14ac:dyDescent="0.15">
      <c r="B24" t="s">
        <v>222</v>
      </c>
      <c r="F24" s="20">
        <f>F23*$M$16</f>
        <v>311991.52353694942</v>
      </c>
      <c r="G24" s="20">
        <f>G23*$M$16</f>
        <v>374389.82824433933</v>
      </c>
      <c r="O24" t="s">
        <v>228</v>
      </c>
    </row>
    <row r="25" spans="1:15" x14ac:dyDescent="0.15">
      <c r="B25" t="s">
        <v>221</v>
      </c>
      <c r="F25">
        <f>SUM($I$17:$M$17)</f>
        <v>100243.48406453228</v>
      </c>
      <c r="G25">
        <f>SUM($I$17:$M$17)</f>
        <v>100243.48406453228</v>
      </c>
      <c r="O25" t="s">
        <v>229</v>
      </c>
    </row>
    <row r="26" spans="1:15" x14ac:dyDescent="0.15">
      <c r="A26" t="s">
        <v>150</v>
      </c>
      <c r="F26" s="20">
        <f>F24+F25</f>
        <v>412235.00760148169</v>
      </c>
      <c r="G26" s="20">
        <f>G24+G25</f>
        <v>474633.31230887159</v>
      </c>
      <c r="O26" t="s">
        <v>3</v>
      </c>
    </row>
    <row r="28" spans="1:15" x14ac:dyDescent="0.15">
      <c r="A28" t="s">
        <v>156</v>
      </c>
      <c r="F28">
        <f>F26-Summary!$T$9</f>
        <v>369672.00760148169</v>
      </c>
      <c r="G28">
        <f>G26-Summary!$T$9</f>
        <v>432070.31230887159</v>
      </c>
      <c r="O28" t="s">
        <v>230</v>
      </c>
    </row>
    <row r="29" spans="1:15" x14ac:dyDescent="0.15">
      <c r="A29" s="13" t="str">
        <f>"Implied price per share - "&amp;Control!E13&amp;" **"</f>
        <v>Implied price per share - $ **</v>
      </c>
      <c r="B29" s="13"/>
      <c r="C29" s="13"/>
      <c r="D29" s="13"/>
      <c r="E29" s="13"/>
      <c r="F29" s="29">
        <f>F28/Control!$E$18</f>
        <v>27.036642112300278</v>
      </c>
      <c r="G29" s="29">
        <f>G28/Control!$E$18</f>
        <v>31.600256879168551</v>
      </c>
      <c r="H29" s="13"/>
      <c r="I29" s="13"/>
      <c r="J29" s="13"/>
      <c r="K29" s="13"/>
      <c r="L29" s="13"/>
      <c r="M29" s="13"/>
      <c r="O29" t="s">
        <v>231</v>
      </c>
    </row>
    <row r="31" spans="1:15" x14ac:dyDescent="0.15">
      <c r="A31" s="12" t="s">
        <v>155</v>
      </c>
      <c r="B31" s="12"/>
      <c r="C31" s="12"/>
    </row>
    <row r="32" spans="1:15" x14ac:dyDescent="0.15">
      <c r="A32" t="s">
        <v>145</v>
      </c>
      <c r="O32" t="s">
        <v>130</v>
      </c>
    </row>
    <row r="33" spans="1:15" x14ac:dyDescent="0.15">
      <c r="B33" t="str">
        <f>B21</f>
        <v>Terminal value</v>
      </c>
      <c r="M33" s="16"/>
    </row>
    <row r="34" spans="1:15" x14ac:dyDescent="0.15">
      <c r="C34" t="s">
        <v>153</v>
      </c>
      <c r="F34" s="17">
        <v>2.5000000000000001E-2</v>
      </c>
      <c r="G34" s="17">
        <v>0.04</v>
      </c>
      <c r="O34" t="s">
        <v>261</v>
      </c>
    </row>
    <row r="35" spans="1:15" x14ac:dyDescent="0.15">
      <c r="C35" t="str">
        <f>C23</f>
        <v>TV at end of 2027P</v>
      </c>
      <c r="F35" s="20">
        <f>($M$14*(1+F34))/($E$15-F34)</f>
        <v>543564.95446354465</v>
      </c>
      <c r="G35" s="20">
        <f>($M$14*(1+G34))/($E$15-G34)</f>
        <v>765956.83571101481</v>
      </c>
      <c r="O35" s="37" t="s">
        <v>233</v>
      </c>
    </row>
    <row r="36" spans="1:15" x14ac:dyDescent="0.15">
      <c r="B36" t="str">
        <f>B24</f>
        <v>PV of terminal value</v>
      </c>
      <c r="F36">
        <f>F35*$M$16</f>
        <v>391293.63573478971</v>
      </c>
      <c r="G36">
        <f>G35*$M$16</f>
        <v>551385.8695269858</v>
      </c>
      <c r="O36" t="s">
        <v>228</v>
      </c>
    </row>
    <row r="37" spans="1:15" x14ac:dyDescent="0.15">
      <c r="B37" t="str">
        <f>B25</f>
        <v>PV of discrete cash flows</v>
      </c>
      <c r="F37">
        <f>SUM($I$17:$M$17)</f>
        <v>100243.48406453228</v>
      </c>
      <c r="G37">
        <f>SUM($I$17:$M$17)</f>
        <v>100243.48406453228</v>
      </c>
      <c r="O37" t="s">
        <v>229</v>
      </c>
    </row>
    <row r="38" spans="1:15" x14ac:dyDescent="0.15">
      <c r="A38" t="str">
        <f>A26</f>
        <v>DCF range (implied Enterprise Value)</v>
      </c>
      <c r="F38" s="20">
        <f>F36+F37</f>
        <v>491537.11979932198</v>
      </c>
      <c r="G38" s="20">
        <f>G36+G37</f>
        <v>651629.35359151813</v>
      </c>
      <c r="O38" t="s">
        <v>3</v>
      </c>
    </row>
    <row r="40" spans="1:15" x14ac:dyDescent="0.15">
      <c r="A40" t="str">
        <f>A28</f>
        <v>Equity Value *</v>
      </c>
      <c r="F40">
        <f>F38-Summary!$T$9</f>
        <v>448974.11979932198</v>
      </c>
      <c r="G40">
        <f>G38-Summary!$T$9</f>
        <v>609066.35359151813</v>
      </c>
      <c r="O40" t="s">
        <v>230</v>
      </c>
    </row>
    <row r="41" spans="1:15" x14ac:dyDescent="0.15">
      <c r="A41" s="13" t="str">
        <f>A29</f>
        <v>Implied price per share - $ **</v>
      </c>
      <c r="B41" s="13"/>
      <c r="C41" s="13"/>
      <c r="D41" s="13"/>
      <c r="E41" s="13"/>
      <c r="F41" s="29">
        <f>F40/Control!E18</f>
        <v>32.836547926521028</v>
      </c>
      <c r="G41" s="29">
        <f>G40/Control!E18</f>
        <v>44.545187858664384</v>
      </c>
      <c r="H41" s="13"/>
      <c r="I41" s="13"/>
      <c r="J41" s="13"/>
      <c r="K41" s="13"/>
      <c r="L41" s="13"/>
      <c r="M41" s="13"/>
      <c r="O41" t="s">
        <v>231</v>
      </c>
    </row>
    <row r="43" spans="1:15" x14ac:dyDescent="0.15">
      <c r="B43" t="str">
        <f>Control!$H$12</f>
        <v>Note: Fiscal year ends January 31</v>
      </c>
    </row>
    <row r="44" spans="1:15" x14ac:dyDescent="0.15">
      <c r="C44" s="36" t="str">
        <f>Control!$H$15</f>
        <v>Valuation as of  September 27 2022</v>
      </c>
    </row>
    <row r="45" spans="1:15" x14ac:dyDescent="0.15">
      <c r="C45" t="str">
        <f>"(*) Adjusted for "&amp;Control!$E$13&amp;TEXT(Summary!$T$9,"#,##0")&amp;Control!$E$14&amp;" of net debt &amp; other adjustments"</f>
        <v>(*) Adjusted for $42,563m of net debt &amp; other adjustments</v>
      </c>
    </row>
    <row r="46" spans="1:15" x14ac:dyDescent="0.15">
      <c r="C46" t="str">
        <f>"(**) "&amp;TEXT(Control!$E$18,"#,##0.0")&amp;Control!$E$14&amp;" shares outstanding"</f>
        <v>(**) 13,673.0m shares outstanding</v>
      </c>
    </row>
    <row r="48" spans="1:15" x14ac:dyDescent="0.15">
      <c r="C48" t="s">
        <v>169</v>
      </c>
      <c r="E48" s="14">
        <f>Control!E8</f>
        <v>0</v>
      </c>
      <c r="F48" s="14">
        <f>Control!F8</f>
        <v>0</v>
      </c>
      <c r="G48" s="14">
        <f>Control!G8</f>
        <v>0</v>
      </c>
      <c r="H48" s="14">
        <f>Control!H8</f>
        <v>0</v>
      </c>
      <c r="I48" s="14">
        <f>Control!I8</f>
        <v>0.34520547945205482</v>
      </c>
      <c r="J48" s="14">
        <f>Control!J8</f>
        <v>1.3452054794520549</v>
      </c>
      <c r="K48" s="14">
        <f>Control!K8</f>
        <v>2.3452054794520549</v>
      </c>
      <c r="L48" s="14">
        <f>Control!L8</f>
        <v>3.3452054794520549</v>
      </c>
      <c r="M48" s="14">
        <f>Control!M8</f>
        <v>4.3452054794520549</v>
      </c>
    </row>
    <row r="49" spans="3:13" x14ac:dyDescent="0.15">
      <c r="C49" t="s">
        <v>170</v>
      </c>
      <c r="E49" s="14">
        <f t="shared" ref="E49:M49" si="6">IF(E48=0,0,1/(1+$E$15)^E48)</f>
        <v>0</v>
      </c>
      <c r="F49" s="14">
        <f t="shared" si="6"/>
        <v>0</v>
      </c>
      <c r="G49" s="14">
        <f t="shared" si="6"/>
        <v>0</v>
      </c>
      <c r="H49" s="14">
        <f t="shared" si="6"/>
        <v>0</v>
      </c>
      <c r="I49" s="14">
        <f t="shared" si="6"/>
        <v>0.97422509349770281</v>
      </c>
      <c r="J49" s="14">
        <f t="shared" si="6"/>
        <v>0.90324864286273154</v>
      </c>
      <c r="K49" s="14">
        <f t="shared" si="6"/>
        <v>0.83744312918920916</v>
      </c>
      <c r="L49" s="14">
        <f t="shared" si="6"/>
        <v>0.77643182767869845</v>
      </c>
      <c r="M49" s="14">
        <f t="shared" si="6"/>
        <v>0.71986545954009373</v>
      </c>
    </row>
    <row r="51" spans="3:13" x14ac:dyDescent="0.15">
      <c r="J51" s="42"/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  <ignoredErrors>
    <ignoredError sqref="E15 E9" unlockedFormula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D6A3-B2C6-454A-A059-4A624A83BF8D}">
  <dimension ref="A1:O104"/>
  <sheetViews>
    <sheetView zoomScale="193" workbookViewId="0">
      <selection activeCell="G93" sqref="G93:H104"/>
    </sheetView>
  </sheetViews>
  <sheetFormatPr baseColWidth="10" defaultColWidth="8.75" defaultRowHeight="11" x14ac:dyDescent="0.15"/>
  <cols>
    <col min="1" max="1" width="29" customWidth="1"/>
    <col min="2" max="2" width="7.75" bestFit="1" customWidth="1"/>
    <col min="3" max="3" width="10.5" bestFit="1" customWidth="1"/>
    <col min="4" max="4" width="9" bestFit="1" customWidth="1"/>
    <col min="5" max="5" width="6.75" bestFit="1" customWidth="1"/>
    <col min="6" max="6" width="7.75" bestFit="1" customWidth="1"/>
    <col min="7" max="7" width="7" customWidth="1"/>
    <col min="8" max="8" width="14" customWidth="1"/>
    <col min="9" max="9" width="2.75" customWidth="1"/>
    <col min="10" max="14" width="3" customWidth="1"/>
    <col min="15" max="15" width="61.25" bestFit="1" customWidth="1"/>
    <col min="17" max="17" width="21.25" bestFit="1" customWidth="1"/>
    <col min="18" max="18" width="9.5" bestFit="1" customWidth="1"/>
    <col min="19" max="19" width="13.75" bestFit="1" customWidth="1"/>
    <col min="20" max="20" width="9.5" bestFit="1" customWidth="1"/>
    <col min="21" max="22" width="8.75" bestFit="1" customWidth="1"/>
  </cols>
  <sheetData>
    <row r="1" spans="1:15" ht="13" x14ac:dyDescent="0.15">
      <c r="A1" s="5" t="str">
        <f>Control!A1</f>
        <v>Wal-Mart Stores, Inc.</v>
      </c>
    </row>
    <row r="3" spans="1:15" x14ac:dyDescent="0.15">
      <c r="B3" t="str">
        <f>Control!B3</f>
        <v>(in $m, except per share)</v>
      </c>
    </row>
    <row r="4" spans="1:15" x14ac:dyDescent="0.15">
      <c r="A4" s="1" t="s">
        <v>296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1"/>
      <c r="O4" s="1"/>
    </row>
    <row r="5" spans="1:15" x14ac:dyDescent="0.15">
      <c r="F5" s="46"/>
      <c r="G5" s="7"/>
      <c r="H5" s="7"/>
      <c r="I5" s="46"/>
      <c r="J5" s="47"/>
      <c r="K5" s="47"/>
      <c r="L5" s="47"/>
      <c r="M5" s="48"/>
      <c r="O5" t="s">
        <v>107</v>
      </c>
    </row>
    <row r="6" spans="1:15" x14ac:dyDescent="0.15">
      <c r="A6" s="10"/>
      <c r="B6" s="10"/>
      <c r="C6" s="10"/>
      <c r="D6" s="10"/>
      <c r="E6" s="10"/>
      <c r="F6" s="11"/>
      <c r="G6" s="11"/>
      <c r="H6" s="11" t="str">
        <f>Control!H6</f>
        <v>2022A</v>
      </c>
      <c r="I6" s="50"/>
      <c r="J6" s="11"/>
      <c r="K6" s="11"/>
      <c r="L6" s="11"/>
      <c r="M6" s="11"/>
    </row>
    <row r="8" spans="1:15" x14ac:dyDescent="0.15">
      <c r="A8" t="s">
        <v>282</v>
      </c>
      <c r="H8">
        <f>Debt!H20</f>
        <v>37667</v>
      </c>
      <c r="O8" t="s">
        <v>273</v>
      </c>
    </row>
    <row r="9" spans="1:15" x14ac:dyDescent="0.15">
      <c r="A9" t="s">
        <v>283</v>
      </c>
      <c r="H9" s="84">
        <f>IS!H16</f>
        <v>1674</v>
      </c>
      <c r="O9" t="s">
        <v>286</v>
      </c>
    </row>
    <row r="10" spans="1:15" x14ac:dyDescent="0.15">
      <c r="A10" t="s">
        <v>284</v>
      </c>
      <c r="H10" s="71">
        <v>10</v>
      </c>
      <c r="O10" t="s">
        <v>289</v>
      </c>
    </row>
    <row r="11" spans="1:15" x14ac:dyDescent="0.15">
      <c r="A11" t="s">
        <v>285</v>
      </c>
      <c r="H11" s="72">
        <v>0.06</v>
      </c>
      <c r="O11" t="s">
        <v>297</v>
      </c>
    </row>
    <row r="12" spans="1:15" x14ac:dyDescent="0.15">
      <c r="A12" t="s">
        <v>287</v>
      </c>
      <c r="H12" s="73">
        <f>H9*(1-(1/(1+H11)^H10)/H11)+H8/(1+H11)</f>
        <v>21629.69138444557</v>
      </c>
      <c r="N12" t="s">
        <v>288</v>
      </c>
      <c r="O12" t="s">
        <v>290</v>
      </c>
    </row>
    <row r="13" spans="1:15" x14ac:dyDescent="0.15">
      <c r="A13" t="s">
        <v>264</v>
      </c>
      <c r="H13" s="69">
        <f>IS!I47</f>
        <v>0.27</v>
      </c>
      <c r="O13" t="s">
        <v>300</v>
      </c>
    </row>
    <row r="15" spans="1:15" x14ac:dyDescent="0.15">
      <c r="A15" t="s">
        <v>275</v>
      </c>
      <c r="H15">
        <f>Control!E16*Control!E18</f>
        <v>1787197.83</v>
      </c>
      <c r="O15" t="s">
        <v>292</v>
      </c>
    </row>
    <row r="16" spans="1:15" x14ac:dyDescent="0.15">
      <c r="A16" t="s">
        <v>263</v>
      </c>
      <c r="H16" s="71">
        <v>0.8</v>
      </c>
      <c r="O16" t="s">
        <v>311</v>
      </c>
    </row>
    <row r="17" spans="1:15" x14ac:dyDescent="0.15">
      <c r="A17" t="s">
        <v>266</v>
      </c>
      <c r="H17" s="72">
        <v>3.5000000000000003E-2</v>
      </c>
      <c r="O17" t="s">
        <v>310</v>
      </c>
    </row>
    <row r="18" spans="1:15" x14ac:dyDescent="0.15">
      <c r="A18" t="s">
        <v>267</v>
      </c>
      <c r="H18" s="72">
        <v>0.09</v>
      </c>
      <c r="O18" t="s">
        <v>281</v>
      </c>
    </row>
    <row r="19" spans="1:15" x14ac:dyDescent="0.15">
      <c r="A19" t="s">
        <v>265</v>
      </c>
      <c r="H19" s="18">
        <f>H17+H16*(H18-H17)</f>
        <v>7.9000000000000001E-2</v>
      </c>
    </row>
    <row r="20" spans="1:15" x14ac:dyDescent="0.15">
      <c r="H20" s="69"/>
    </row>
    <row r="21" spans="1:15" x14ac:dyDescent="0.15">
      <c r="A21" t="s">
        <v>268</v>
      </c>
      <c r="H21">
        <v>0</v>
      </c>
      <c r="O21" t="s">
        <v>276</v>
      </c>
    </row>
    <row r="22" spans="1:15" x14ac:dyDescent="0.15">
      <c r="A22" t="s">
        <v>269</v>
      </c>
      <c r="B22" s="69"/>
      <c r="H22">
        <v>0</v>
      </c>
      <c r="O22" t="s">
        <v>276</v>
      </c>
    </row>
    <row r="23" spans="1:15" x14ac:dyDescent="0.15">
      <c r="B23" s="69"/>
      <c r="H23" s="69"/>
    </row>
    <row r="24" spans="1:15" x14ac:dyDescent="0.15">
      <c r="A24" t="s">
        <v>291</v>
      </c>
      <c r="B24" s="69"/>
      <c r="H24" s="73">
        <f>H12+H15</f>
        <v>1808827.5213844457</v>
      </c>
      <c r="O24" t="s">
        <v>274</v>
      </c>
    </row>
    <row r="26" spans="1:15" x14ac:dyDescent="0.15">
      <c r="A26" t="s">
        <v>272</v>
      </c>
      <c r="H26" s="18">
        <f>H12/H24</f>
        <v>1.1957851773446356E-2</v>
      </c>
      <c r="O26" t="s">
        <v>280</v>
      </c>
    </row>
    <row r="27" spans="1:15" x14ac:dyDescent="0.15">
      <c r="A27" t="s">
        <v>270</v>
      </c>
      <c r="H27" s="18">
        <f>H15/H24</f>
        <v>0.98804214822655356</v>
      </c>
      <c r="O27" t="s">
        <v>278</v>
      </c>
    </row>
    <row r="28" spans="1:15" x14ac:dyDescent="0.15">
      <c r="A28" t="s">
        <v>271</v>
      </c>
      <c r="H28" s="18">
        <f>H21/H24</f>
        <v>0</v>
      </c>
      <c r="O28" t="s">
        <v>279</v>
      </c>
    </row>
    <row r="30" spans="1:15" x14ac:dyDescent="0.15">
      <c r="A30" t="s">
        <v>220</v>
      </c>
      <c r="H30" s="18">
        <f>H26*H11*(1-H13)+H27*H19+H28*H22</f>
        <v>7.857908361757468E-2</v>
      </c>
      <c r="O30" t="s">
        <v>277</v>
      </c>
    </row>
    <row r="31" spans="1:15" x14ac:dyDescent="0.15">
      <c r="H31" s="77"/>
    </row>
    <row r="32" spans="1:15" x14ac:dyDescent="0.15">
      <c r="H32" s="77"/>
    </row>
    <row r="33" spans="1:15" x14ac:dyDescent="0.15">
      <c r="A33" s="1" t="s">
        <v>303</v>
      </c>
      <c r="B33" s="1"/>
      <c r="C33" s="1"/>
      <c r="D33" s="1"/>
      <c r="E33" s="1"/>
      <c r="F33" s="1"/>
      <c r="G33" s="1"/>
      <c r="H33" s="1"/>
      <c r="I33" s="6"/>
      <c r="J33" s="6"/>
      <c r="K33" s="6"/>
      <c r="L33" s="6"/>
      <c r="M33" s="6"/>
      <c r="N33" s="1"/>
      <c r="O33" s="1"/>
    </row>
    <row r="34" spans="1:15" x14ac:dyDescent="0.15">
      <c r="A34" s="55" t="s">
        <v>312</v>
      </c>
    </row>
    <row r="35" spans="1:15" x14ac:dyDescent="0.15">
      <c r="A35" s="55" t="s">
        <v>313</v>
      </c>
    </row>
    <row r="37" spans="1:15" x14ac:dyDescent="0.15">
      <c r="C37" s="65" t="s">
        <v>304</v>
      </c>
    </row>
    <row r="38" spans="1:15" x14ac:dyDescent="0.15">
      <c r="A38" s="55" t="s">
        <v>296</v>
      </c>
      <c r="B38" s="65" t="s">
        <v>305</v>
      </c>
      <c r="C38" s="65" t="s">
        <v>306</v>
      </c>
      <c r="D38" s="65" t="s">
        <v>307</v>
      </c>
      <c r="E38" s="65" t="s">
        <v>308</v>
      </c>
      <c r="F38" s="55" t="s">
        <v>220</v>
      </c>
    </row>
    <row r="39" spans="1:15" x14ac:dyDescent="0.15">
      <c r="A39" t="s">
        <v>301</v>
      </c>
      <c r="B39" s="76">
        <f>H26</f>
        <v>1.1957851773446356E-2</v>
      </c>
      <c r="C39" s="76">
        <f>H11</f>
        <v>0.06</v>
      </c>
      <c r="D39" s="76">
        <f>1-B39</f>
        <v>0.98804214822655367</v>
      </c>
      <c r="E39" s="76">
        <f>H19</f>
        <v>7.9000000000000001E-2</v>
      </c>
      <c r="F39" s="16">
        <f>H30</f>
        <v>7.857908361757468E-2</v>
      </c>
    </row>
    <row r="40" spans="1:15" x14ac:dyDescent="0.15">
      <c r="A40" t="s">
        <v>309</v>
      </c>
      <c r="B40" s="76">
        <v>0.25</v>
      </c>
      <c r="C40" s="76">
        <v>7.6999999999999999E-2</v>
      </c>
      <c r="D40" s="76">
        <f>1-B40</f>
        <v>0.75</v>
      </c>
      <c r="E40" s="76">
        <v>8.3299999999999999E-2</v>
      </c>
      <c r="F40" s="16">
        <f>B40*(1-$H$13)*C40+D40*E40</f>
        <v>7.6527499999999998E-2</v>
      </c>
      <c r="I40" s="69"/>
    </row>
    <row r="41" spans="1:15" x14ac:dyDescent="0.15">
      <c r="A41" t="s">
        <v>302</v>
      </c>
      <c r="B41" s="76">
        <v>0.4</v>
      </c>
      <c r="C41" s="76">
        <v>8.2000000000000003E-2</v>
      </c>
      <c r="D41" s="76">
        <f>1-B41</f>
        <v>0.6</v>
      </c>
      <c r="E41" s="76">
        <v>8.7599999999999997E-2</v>
      </c>
      <c r="F41" s="16">
        <f>B41*(1-$H$13)*C41+D41*E41</f>
        <v>7.6503999999999989E-2</v>
      </c>
      <c r="I41" s="69"/>
    </row>
    <row r="42" spans="1:15" x14ac:dyDescent="0.15">
      <c r="A42" t="s">
        <v>315</v>
      </c>
      <c r="B42" s="78">
        <v>0.5</v>
      </c>
      <c r="C42" s="79">
        <v>7.2861896995076975E-2</v>
      </c>
      <c r="D42" s="76">
        <f>1-B42</f>
        <v>0.5</v>
      </c>
      <c r="E42" s="79">
        <v>9.9810815193611985E-2</v>
      </c>
      <c r="F42" s="16">
        <f>B42*(1-$H$13)*C42+D42*E42</f>
        <v>7.6500000000009089E-2</v>
      </c>
      <c r="H42" s="55" t="s">
        <v>314</v>
      </c>
    </row>
    <row r="43" spans="1:15" x14ac:dyDescent="0.15">
      <c r="B43" s="76"/>
      <c r="C43" s="76"/>
      <c r="D43" s="76"/>
      <c r="E43" s="76"/>
      <c r="F43" s="16"/>
    </row>
    <row r="45" spans="1:15" x14ac:dyDescent="0.15">
      <c r="A45" s="1" t="s">
        <v>294</v>
      </c>
      <c r="B45" s="1"/>
      <c r="C45" s="1"/>
      <c r="D45" s="1"/>
      <c r="E45" s="1"/>
      <c r="F45" s="1"/>
      <c r="G45" s="1"/>
      <c r="H45" s="1"/>
      <c r="I45" s="6"/>
      <c r="J45" s="6"/>
      <c r="K45" s="6"/>
      <c r="L45" s="6"/>
      <c r="M45" s="6"/>
      <c r="N45" s="1"/>
      <c r="O45" s="1"/>
    </row>
    <row r="46" spans="1:15" x14ac:dyDescent="0.15">
      <c r="A46" s="55" t="s">
        <v>293</v>
      </c>
    </row>
    <row r="48" spans="1:15" x14ac:dyDescent="0.15">
      <c r="H48" s="75">
        <f>DCF!F29</f>
        <v>27.036642112300278</v>
      </c>
    </row>
    <row r="49" spans="1:8" x14ac:dyDescent="0.15">
      <c r="G49" s="69">
        <v>0.01</v>
      </c>
      <c r="H49" s="74">
        <f t="dataTable" ref="H49:H59" dt2D="0" dtr="0" r1="H11" ca="1"/>
        <v>26.474792671760365</v>
      </c>
    </row>
    <row r="50" spans="1:8" x14ac:dyDescent="0.15">
      <c r="G50" s="69">
        <v>0.02</v>
      </c>
      <c r="H50" s="74">
        <v>26.871954624047738</v>
      </c>
    </row>
    <row r="51" spans="1:8" x14ac:dyDescent="0.15">
      <c r="G51" s="69">
        <v>0.03</v>
      </c>
      <c r="H51" s="74">
        <v>26.979637716376757</v>
      </c>
    </row>
    <row r="52" spans="1:8" x14ac:dyDescent="0.15">
      <c r="G52" s="69">
        <v>0.04</v>
      </c>
      <c r="H52" s="74">
        <v>27.019899231389207</v>
      </c>
    </row>
    <row r="53" spans="1:8" x14ac:dyDescent="0.15">
      <c r="G53" s="69">
        <v>0.05</v>
      </c>
      <c r="H53" s="74">
        <v>27.034404659548656</v>
      </c>
    </row>
    <row r="54" spans="1:8" x14ac:dyDescent="0.15">
      <c r="G54" s="69">
        <v>0.06</v>
      </c>
      <c r="H54" s="74">
        <v>27.036642112300278</v>
      </c>
    </row>
    <row r="55" spans="1:8" x14ac:dyDescent="0.15">
      <c r="G55" s="69">
        <v>7.0000000000000007E-2</v>
      </c>
      <c r="H55" s="74">
        <v>27.032270384445805</v>
      </c>
    </row>
    <row r="56" spans="1:8" x14ac:dyDescent="0.15">
      <c r="G56" s="69">
        <v>0.08</v>
      </c>
      <c r="H56" s="74">
        <v>27.024062465794259</v>
      </c>
    </row>
    <row r="57" spans="1:8" x14ac:dyDescent="0.15">
      <c r="G57" s="69">
        <v>0.09</v>
      </c>
      <c r="H57" s="74">
        <v>27.01352544340299</v>
      </c>
    </row>
    <row r="58" spans="1:8" x14ac:dyDescent="0.15">
      <c r="G58" s="69">
        <v>0.1</v>
      </c>
      <c r="H58" s="74">
        <v>27.001540778683605</v>
      </c>
    </row>
    <row r="59" spans="1:8" x14ac:dyDescent="0.15">
      <c r="G59" s="69">
        <v>0.11</v>
      </c>
      <c r="H59" s="74">
        <v>26.988652645944992</v>
      </c>
    </row>
    <row r="61" spans="1:8" x14ac:dyDescent="0.15">
      <c r="A61" s="55" t="s">
        <v>295</v>
      </c>
    </row>
    <row r="63" spans="1:8" x14ac:dyDescent="0.15">
      <c r="H63" s="75">
        <f>DCF!F41</f>
        <v>32.836547926521028</v>
      </c>
    </row>
    <row r="64" spans="1:8" x14ac:dyDescent="0.15">
      <c r="G64" s="69">
        <v>0.01</v>
      </c>
      <c r="H64" s="74">
        <f t="dataTable" ref="H64:H74" dt2D="0" dtr="0" r1="H11"/>
        <v>29.657046208563514</v>
      </c>
    </row>
    <row r="65" spans="1:8" x14ac:dyDescent="0.15">
      <c r="G65" s="69">
        <v>0.02</v>
      </c>
      <c r="H65" s="74">
        <v>31.85043223363715</v>
      </c>
    </row>
    <row r="66" spans="1:8" x14ac:dyDescent="0.15">
      <c r="G66" s="69">
        <v>0.03</v>
      </c>
      <c r="H66" s="74">
        <v>32.489752246405523</v>
      </c>
    </row>
    <row r="67" spans="1:8" x14ac:dyDescent="0.15">
      <c r="G67" s="69">
        <v>0.04</v>
      </c>
      <c r="H67" s="74">
        <v>32.734076392672186</v>
      </c>
    </row>
    <row r="68" spans="1:8" x14ac:dyDescent="0.15">
      <c r="G68" s="69">
        <v>0.05</v>
      </c>
      <c r="H68" s="74">
        <v>32.822824255201574</v>
      </c>
    </row>
    <row r="69" spans="1:8" x14ac:dyDescent="0.15">
      <c r="G69" s="69">
        <v>0.06</v>
      </c>
      <c r="H69" s="74">
        <v>32.836547926521028</v>
      </c>
    </row>
    <row r="70" spans="1:8" x14ac:dyDescent="0.15">
      <c r="G70" s="69">
        <v>7.0000000000000007E-2</v>
      </c>
      <c r="H70" s="74">
        <v>32.809742012643071</v>
      </c>
    </row>
    <row r="71" spans="1:8" x14ac:dyDescent="0.15">
      <c r="G71" s="69">
        <v>0.08</v>
      </c>
      <c r="H71" s="74">
        <v>32.759508677879225</v>
      </c>
    </row>
    <row r="72" spans="1:8" x14ac:dyDescent="0.15">
      <c r="G72" s="69">
        <v>0.09</v>
      </c>
      <c r="H72" s="74">
        <v>32.695201633694396</v>
      </c>
    </row>
    <row r="73" spans="1:8" x14ac:dyDescent="0.15">
      <c r="G73" s="69">
        <v>0.1</v>
      </c>
      <c r="H73" s="74">
        <v>32.622305419221711</v>
      </c>
    </row>
    <row r="74" spans="1:8" x14ac:dyDescent="0.15">
      <c r="G74" s="69">
        <v>0.11</v>
      </c>
      <c r="H74" s="74">
        <v>32.544204202026805</v>
      </c>
    </row>
    <row r="76" spans="1:8" x14ac:dyDescent="0.15">
      <c r="A76" s="55" t="s">
        <v>299</v>
      </c>
    </row>
    <row r="78" spans="1:8" x14ac:dyDescent="0.15">
      <c r="H78" s="75">
        <f>DCF!F29</f>
        <v>27.036642112300278</v>
      </c>
    </row>
    <row r="79" spans="1:8" x14ac:dyDescent="0.15">
      <c r="G79" s="70">
        <v>0.5</v>
      </c>
      <c r="H79" s="74">
        <f t="dataTable" ref="H79:H89" dt2D="0" dtr="0" r1="H16" ca="1"/>
        <v>28.877711270088376</v>
      </c>
    </row>
    <row r="80" spans="1:8" x14ac:dyDescent="0.15">
      <c r="G80" s="70">
        <v>0.75</v>
      </c>
      <c r="H80" s="74">
        <v>27.33352313591876</v>
      </c>
    </row>
    <row r="81" spans="1:8" x14ac:dyDescent="0.15">
      <c r="G81" s="70">
        <v>1</v>
      </c>
      <c r="H81" s="74">
        <v>25.886932603100046</v>
      </c>
    </row>
    <row r="82" spans="1:8" x14ac:dyDescent="0.15">
      <c r="G82" s="70">
        <v>1.25</v>
      </c>
      <c r="H82" s="74">
        <v>24.53059035045041</v>
      </c>
    </row>
    <row r="83" spans="1:8" x14ac:dyDescent="0.15">
      <c r="G83" s="70">
        <v>1.5</v>
      </c>
      <c r="H83" s="74">
        <v>23.257784118826265</v>
      </c>
    </row>
    <row r="84" spans="1:8" x14ac:dyDescent="0.15">
      <c r="G84" s="70">
        <v>1.75</v>
      </c>
      <c r="H84" s="74">
        <v>22.062376508892545</v>
      </c>
    </row>
    <row r="85" spans="1:8" x14ac:dyDescent="0.15">
      <c r="G85" s="70">
        <v>2</v>
      </c>
      <c r="H85" s="74">
        <v>20.938749513324368</v>
      </c>
    </row>
    <row r="86" spans="1:8" x14ac:dyDescent="0.15">
      <c r="G86" s="70">
        <v>2.25</v>
      </c>
      <c r="H86" s="74">
        <v>19.881754984670433</v>
      </c>
    </row>
    <row r="87" spans="1:8" x14ac:dyDescent="0.15">
      <c r="G87" s="70">
        <v>2.5</v>
      </c>
      <c r="H87" s="74">
        <v>18.886670342906232</v>
      </c>
    </row>
    <row r="88" spans="1:8" x14ac:dyDescent="0.15">
      <c r="G88" s="70">
        <v>2.75</v>
      </c>
      <c r="H88" s="74">
        <v>17.94915891525935</v>
      </c>
    </row>
    <row r="89" spans="1:8" x14ac:dyDescent="0.15">
      <c r="G89" s="70">
        <v>3</v>
      </c>
      <c r="H89" s="74">
        <v>17.065234377314304</v>
      </c>
    </row>
    <row r="91" spans="1:8" x14ac:dyDescent="0.15">
      <c r="A91" s="55" t="s">
        <v>298</v>
      </c>
    </row>
    <row r="93" spans="1:8" x14ac:dyDescent="0.15">
      <c r="H93" s="75">
        <f>DCF!F41</f>
        <v>32.836547926521028</v>
      </c>
    </row>
    <row r="94" spans="1:8" x14ac:dyDescent="0.15">
      <c r="G94" s="70">
        <v>0.5</v>
      </c>
      <c r="H94" s="74">
        <f t="dataTable" ref="H94:H104" dt2D="0" dtr="0" r1="H16" ca="1"/>
        <v>48.446724861892086</v>
      </c>
    </row>
    <row r="95" spans="1:8" x14ac:dyDescent="0.15">
      <c r="G95" s="70">
        <v>0.75</v>
      </c>
      <c r="H95" s="74">
        <v>34.743005766101675</v>
      </c>
    </row>
    <row r="96" spans="1:8" x14ac:dyDescent="0.15">
      <c r="G96" s="70">
        <v>1</v>
      </c>
      <c r="H96" s="74">
        <v>26.819177485958637</v>
      </c>
    </row>
    <row r="97" spans="7:8" x14ac:dyDescent="0.15">
      <c r="G97" s="70">
        <v>1.25</v>
      </c>
      <c r="H97" s="74">
        <v>21.656282473447099</v>
      </c>
    </row>
    <row r="98" spans="7:8" x14ac:dyDescent="0.15">
      <c r="G98" s="70">
        <v>1.5</v>
      </c>
      <c r="H98" s="74">
        <v>18.026021347791271</v>
      </c>
    </row>
    <row r="99" spans="7:8" x14ac:dyDescent="0.15">
      <c r="G99" s="70">
        <v>1.75</v>
      </c>
      <c r="H99" s="74">
        <v>15.334567148086393</v>
      </c>
    </row>
    <row r="100" spans="7:8" x14ac:dyDescent="0.15">
      <c r="G100" s="70">
        <v>2</v>
      </c>
      <c r="H100" s="74">
        <v>13.259753035691016</v>
      </c>
    </row>
    <row r="101" spans="7:8" x14ac:dyDescent="0.15">
      <c r="G101" s="70">
        <v>2.25</v>
      </c>
      <c r="H101" s="74">
        <v>11.611670737208437</v>
      </c>
    </row>
    <row r="102" spans="7:8" x14ac:dyDescent="0.15">
      <c r="G102" s="70">
        <v>2.5</v>
      </c>
      <c r="H102" s="74">
        <v>10.271119286763405</v>
      </c>
    </row>
    <row r="103" spans="7:8" x14ac:dyDescent="0.15">
      <c r="G103" s="70">
        <v>2.75</v>
      </c>
      <c r="H103" s="74">
        <v>9.1595007582604939</v>
      </c>
    </row>
    <row r="104" spans="7:8" x14ac:dyDescent="0.15">
      <c r="G104" s="70">
        <v>3</v>
      </c>
      <c r="H104" s="74">
        <v>8.2228895993660025</v>
      </c>
    </row>
  </sheetData>
  <pageMargins left="0.7" right="0.7" top="0.75" bottom="0.75" header="0.3" footer="0.3"/>
  <pageSetup orientation="portrait" horizontalDpi="0" verticalDpi="0"/>
  <ignoredErrors>
    <ignoredError sqref="H14 H20:H23 H25 H60:H62 H9" unlocked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pageSetUpPr fitToPage="1"/>
  </sheetPr>
  <dimension ref="A1:U46"/>
  <sheetViews>
    <sheetView showGridLines="0" zoomScale="121" zoomScaleNormal="150" workbookViewId="0">
      <selection activeCell="J1" sqref="J1:J1048576"/>
    </sheetView>
  </sheetViews>
  <sheetFormatPr baseColWidth="10" defaultColWidth="8.75" defaultRowHeight="11" x14ac:dyDescent="0.15"/>
  <cols>
    <col min="1" max="2" width="1.75" customWidth="1"/>
    <col min="3" max="3" width="25.75" customWidth="1"/>
    <col min="4" max="4" width="1" customWidth="1"/>
    <col min="6" max="6" width="4.75" customWidth="1"/>
    <col min="9" max="9" width="4.75" customWidth="1"/>
    <col min="10" max="10" width="20.5" customWidth="1"/>
    <col min="11" max="11" width="16.25" customWidth="1"/>
    <col min="12" max="12" width="4.75" customWidth="1"/>
    <col min="13" max="13" width="18" customWidth="1"/>
    <col min="14" max="14" width="15.25" customWidth="1"/>
    <col min="15" max="15" width="4.75" customWidth="1"/>
    <col min="16" max="16" width="9.75" bestFit="1" customWidth="1"/>
  </cols>
  <sheetData>
    <row r="1" spans="1:21" ht="13" x14ac:dyDescent="0.15">
      <c r="A1" s="5" t="str">
        <f>Control!A1</f>
        <v>Wal-Mart Stores, Inc.</v>
      </c>
    </row>
    <row r="3" spans="1:21" x14ac:dyDescent="0.15">
      <c r="B3" t="str">
        <f>Control!B3</f>
        <v>(in $m, except per share)</v>
      </c>
    </row>
    <row r="4" spans="1:21" x14ac:dyDescent="0.15">
      <c r="A4" s="1" t="s">
        <v>179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" t="s">
        <v>182</v>
      </c>
      <c r="T4" s="1"/>
      <c r="U4" s="1"/>
    </row>
    <row r="5" spans="1:21" x14ac:dyDescent="0.15">
      <c r="G5" s="7" t="s">
        <v>180</v>
      </c>
      <c r="H5" s="7"/>
      <c r="J5" s="7" t="s">
        <v>181</v>
      </c>
      <c r="K5" s="7"/>
      <c r="M5" s="7" t="s">
        <v>191</v>
      </c>
      <c r="N5" s="7"/>
      <c r="P5" s="7" t="s">
        <v>192</v>
      </c>
      <c r="Q5" s="7"/>
      <c r="T5" s="27" t="s">
        <v>184</v>
      </c>
    </row>
    <row r="6" spans="1:21" x14ac:dyDescent="0.15">
      <c r="A6" s="12" t="s">
        <v>177</v>
      </c>
      <c r="B6" s="12"/>
      <c r="C6" s="12"/>
      <c r="D6" s="12"/>
      <c r="E6" s="12"/>
      <c r="F6" s="12"/>
      <c r="G6" s="10" t="s">
        <v>175</v>
      </c>
      <c r="H6" s="10" t="s">
        <v>174</v>
      </c>
      <c r="I6" s="10"/>
      <c r="J6" s="10" t="str">
        <f>G6</f>
        <v>Low</v>
      </c>
      <c r="K6" s="10" t="str">
        <f>H6</f>
        <v>High</v>
      </c>
      <c r="L6" s="10"/>
      <c r="M6" s="10" t="str">
        <f>J6</f>
        <v>Low</v>
      </c>
      <c r="N6" s="10" t="str">
        <f>K6</f>
        <v>High</v>
      </c>
      <c r="O6" s="10"/>
      <c r="P6" s="10" t="str">
        <f>M6</f>
        <v>Low</v>
      </c>
      <c r="Q6" s="10" t="str">
        <f>N6</f>
        <v>High</v>
      </c>
      <c r="S6" s="10" t="s">
        <v>183</v>
      </c>
      <c r="T6" s="10" t="s">
        <v>185</v>
      </c>
      <c r="U6" s="10" t="s">
        <v>160</v>
      </c>
    </row>
    <row r="8" spans="1:21" x14ac:dyDescent="0.15">
      <c r="A8" s="12" t="s">
        <v>236</v>
      </c>
      <c r="B8" s="12"/>
      <c r="C8" s="12"/>
    </row>
    <row r="9" spans="1:21" x14ac:dyDescent="0.15">
      <c r="B9" t="s">
        <v>2</v>
      </c>
      <c r="E9" t="str">
        <f>Control!I6</f>
        <v>2023C</v>
      </c>
      <c r="G9" s="30">
        <v>0.6</v>
      </c>
      <c r="H9" s="30">
        <v>0.75</v>
      </c>
      <c r="J9">
        <f>$S9*G9</f>
        <v>350918.30259684962</v>
      </c>
      <c r="K9">
        <f>$S9*H9</f>
        <v>438647.87824606203</v>
      </c>
      <c r="M9">
        <f>J9-$T9</f>
        <v>308355.30259684962</v>
      </c>
      <c r="N9">
        <f>K9-$T9</f>
        <v>396084.87824606203</v>
      </c>
      <c r="P9" s="14">
        <f>M9/$U9</f>
        <v>22.552132128782976</v>
      </c>
      <c r="Q9" s="14">
        <f>N9/$U9</f>
        <v>28.968395980842686</v>
      </c>
      <c r="S9">
        <f>IS!I11</f>
        <v>584863.83766141604</v>
      </c>
      <c r="T9" s="40">
        <f>BS!$H$56+BS!$H$35</f>
        <v>42563</v>
      </c>
      <c r="U9">
        <f>Control!E18</f>
        <v>13673</v>
      </c>
    </row>
    <row r="10" spans="1:21" x14ac:dyDescent="0.15">
      <c r="E10" t="str">
        <f>Control!J6</f>
        <v>2024P</v>
      </c>
      <c r="G10" s="30">
        <v>0.65</v>
      </c>
      <c r="H10" s="30">
        <v>0.75</v>
      </c>
      <c r="J10">
        <f>$S10*G10</f>
        <v>387634.34297068813</v>
      </c>
      <c r="K10">
        <f>$S10*H10</f>
        <v>447270.39573540934</v>
      </c>
      <c r="M10">
        <f t="shared" ref="M10:M16" si="0">J10-$T10</f>
        <v>345071.34297068813</v>
      </c>
      <c r="N10">
        <f t="shared" ref="N10:N16" si="1">K10-$T10</f>
        <v>404707.39573540934</v>
      </c>
      <c r="P10" s="14">
        <f t="shared" ref="P10:P16" si="2">M10/$U10</f>
        <v>25.237427263269812</v>
      </c>
      <c r="Q10" s="14">
        <f t="shared" ref="Q10:Q16" si="3">N10/$U10</f>
        <v>29.599019654458374</v>
      </c>
      <c r="S10">
        <f>IS!J11</f>
        <v>596360.5276472125</v>
      </c>
      <c r="T10">
        <f>T$9</f>
        <v>42563</v>
      </c>
      <c r="U10">
        <f>U$9</f>
        <v>13673</v>
      </c>
    </row>
    <row r="11" spans="1:21" x14ac:dyDescent="0.15">
      <c r="P11" s="14"/>
      <c r="Q11" s="14"/>
    </row>
    <row r="12" spans="1:21" x14ac:dyDescent="0.15">
      <c r="B12" t="s">
        <v>5</v>
      </c>
      <c r="E12" t="str">
        <f>E9</f>
        <v>2023C</v>
      </c>
      <c r="G12" s="31">
        <v>8.5</v>
      </c>
      <c r="H12" s="31">
        <v>10</v>
      </c>
      <c r="J12">
        <f>$S12*G12</f>
        <v>322801.83280164714</v>
      </c>
      <c r="K12">
        <f>$S12*H12</f>
        <v>379766.86211958481</v>
      </c>
      <c r="M12">
        <f t="shared" si="0"/>
        <v>280238.83280164714</v>
      </c>
      <c r="N12">
        <f t="shared" si="1"/>
        <v>337203.86211958481</v>
      </c>
      <c r="P12" s="14">
        <f t="shared" si="2"/>
        <v>20.495782403396998</v>
      </c>
      <c r="Q12" s="14">
        <f t="shared" si="3"/>
        <v>24.662024582723969</v>
      </c>
      <c r="S12">
        <f>IS!I34</f>
        <v>37976.686211958484</v>
      </c>
      <c r="T12">
        <f>T$9</f>
        <v>42563</v>
      </c>
      <c r="U12">
        <f>U$9</f>
        <v>13673</v>
      </c>
    </row>
    <row r="13" spans="1:21" x14ac:dyDescent="0.15">
      <c r="E13" t="str">
        <f>E10</f>
        <v>2024P</v>
      </c>
      <c r="G13" s="31">
        <v>9</v>
      </c>
      <c r="H13" s="31">
        <v>11</v>
      </c>
      <c r="J13">
        <f>$S13*G13</f>
        <v>354093.22598311433</v>
      </c>
      <c r="K13">
        <f>$S13*H13</f>
        <v>432780.60953491752</v>
      </c>
      <c r="M13">
        <f t="shared" si="0"/>
        <v>311530.22598311433</v>
      </c>
      <c r="N13">
        <f t="shared" si="1"/>
        <v>390217.60953491752</v>
      </c>
      <c r="P13" s="14">
        <f t="shared" si="2"/>
        <v>22.78433598940352</v>
      </c>
      <c r="Q13" s="14">
        <f t="shared" si="3"/>
        <v>28.539282493594495</v>
      </c>
      <c r="S13">
        <f>IS!J34</f>
        <v>39343.691775901592</v>
      </c>
      <c r="T13">
        <f>T$9</f>
        <v>42563</v>
      </c>
      <c r="U13">
        <f>U$9</f>
        <v>13673</v>
      </c>
    </row>
    <row r="14" spans="1:21" x14ac:dyDescent="0.15">
      <c r="P14" s="14"/>
      <c r="Q14" s="14"/>
    </row>
    <row r="15" spans="1:21" x14ac:dyDescent="0.15">
      <c r="B15" t="s">
        <v>144</v>
      </c>
      <c r="E15" t="str">
        <f>E12</f>
        <v>2023C</v>
      </c>
      <c r="G15" s="31">
        <v>11.5</v>
      </c>
      <c r="H15" s="31">
        <v>13</v>
      </c>
      <c r="J15">
        <f>$S15*G15</f>
        <v>311573.43599129817</v>
      </c>
      <c r="K15">
        <f>$S15*H15</f>
        <v>352213.44938146748</v>
      </c>
      <c r="M15">
        <f t="shared" si="0"/>
        <v>269010.43599129817</v>
      </c>
      <c r="N15">
        <f t="shared" si="1"/>
        <v>309650.44938146748</v>
      </c>
      <c r="P15" s="14">
        <f t="shared" si="2"/>
        <v>19.674572953360503</v>
      </c>
      <c r="Q15" s="14">
        <f t="shared" si="3"/>
        <v>22.646855070684378</v>
      </c>
      <c r="S15">
        <f>IS!I15</f>
        <v>27093.342260112884</v>
      </c>
      <c r="T15">
        <f>T$9</f>
        <v>42563</v>
      </c>
      <c r="U15">
        <f>U$9</f>
        <v>13673</v>
      </c>
    </row>
    <row r="16" spans="1:21" x14ac:dyDescent="0.15">
      <c r="E16" t="str">
        <f>E13</f>
        <v>2024P</v>
      </c>
      <c r="G16" s="31">
        <v>12</v>
      </c>
      <c r="H16" s="31">
        <v>14</v>
      </c>
      <c r="J16">
        <f>$S16*G16</f>
        <v>338956.96237653337</v>
      </c>
      <c r="K16">
        <f>$S16*H16</f>
        <v>395449.7894392889</v>
      </c>
      <c r="M16">
        <f t="shared" si="0"/>
        <v>296393.96237653337</v>
      </c>
      <c r="N16">
        <f t="shared" si="1"/>
        <v>352886.7894392889</v>
      </c>
      <c r="P16" s="14">
        <f t="shared" si="2"/>
        <v>21.67731751455667</v>
      </c>
      <c r="Q16" s="14">
        <f t="shared" si="3"/>
        <v>25.809024313558758</v>
      </c>
      <c r="S16">
        <f>IS!J15</f>
        <v>28246.413531377781</v>
      </c>
      <c r="T16">
        <f>T$9</f>
        <v>42563</v>
      </c>
      <c r="U16">
        <f>U$9</f>
        <v>13673</v>
      </c>
    </row>
    <row r="17" spans="1:21" x14ac:dyDescent="0.15">
      <c r="P17" s="14"/>
      <c r="Q17" s="14"/>
    </row>
    <row r="18" spans="1:21" x14ac:dyDescent="0.15">
      <c r="B18" t="s">
        <v>158</v>
      </c>
      <c r="E18" t="str">
        <f>E15</f>
        <v>2023C</v>
      </c>
      <c r="G18" s="31">
        <v>16</v>
      </c>
      <c r="H18" s="31">
        <v>19</v>
      </c>
      <c r="J18">
        <f>M18+$T18</f>
        <v>1466956.8124373683</v>
      </c>
      <c r="K18">
        <f>N18+$T18</f>
        <v>1734030.6522693748</v>
      </c>
      <c r="M18">
        <f>P18*$U18</f>
        <v>1424393.8124373683</v>
      </c>
      <c r="N18">
        <f>Q18*$U18</f>
        <v>1691467.6522693748</v>
      </c>
      <c r="P18" s="14">
        <f>G18*$S18</f>
        <v>104.17566096960201</v>
      </c>
      <c r="Q18" s="14">
        <f>H18*$S18</f>
        <v>123.70859740140239</v>
      </c>
      <c r="S18" s="14">
        <f>IS!I31</f>
        <v>6.5109788106001254</v>
      </c>
      <c r="T18">
        <f t="shared" ref="T18:U21" si="4">T$9</f>
        <v>42563</v>
      </c>
      <c r="U18">
        <f t="shared" si="4"/>
        <v>13673</v>
      </c>
    </row>
    <row r="19" spans="1:21" x14ac:dyDescent="0.15">
      <c r="E19" t="str">
        <f>E16</f>
        <v>2024P</v>
      </c>
      <c r="G19" s="31">
        <v>17</v>
      </c>
      <c r="H19" s="31">
        <v>20</v>
      </c>
      <c r="J19">
        <f>M19+$T19</f>
        <v>1612456.4922009606</v>
      </c>
      <c r="K19">
        <f>N19+$T19</f>
        <v>1889496.5202364246</v>
      </c>
      <c r="M19">
        <f>P19*$U19</f>
        <v>1569893.4922009606</v>
      </c>
      <c r="N19">
        <f>Q19*$U19</f>
        <v>1846933.5202364246</v>
      </c>
      <c r="P19" s="14">
        <f>G19*$S19</f>
        <v>114.81704762677984</v>
      </c>
      <c r="Q19" s="14">
        <f>H19*$S19</f>
        <v>135.07887956091747</v>
      </c>
      <c r="S19" s="14">
        <f>IS!J31</f>
        <v>6.7539439780458732</v>
      </c>
      <c r="T19">
        <f t="shared" si="4"/>
        <v>42563</v>
      </c>
      <c r="U19">
        <f t="shared" si="4"/>
        <v>13673</v>
      </c>
    </row>
    <row r="21" spans="1:21" x14ac:dyDescent="0.15">
      <c r="A21" s="13" t="s">
        <v>186</v>
      </c>
      <c r="B21" s="13"/>
      <c r="C21" s="13"/>
      <c r="D21" s="13"/>
      <c r="E21" s="13"/>
      <c r="F21" s="13"/>
      <c r="G21" s="13"/>
      <c r="H21" s="13"/>
      <c r="I21" s="13"/>
      <c r="J21" s="63">
        <f>MIN(J9:J19)</f>
        <v>311573.43599129817</v>
      </c>
      <c r="K21" s="63">
        <f>MAX(K9:K19)</f>
        <v>1889496.5202364246</v>
      </c>
      <c r="L21" s="13"/>
      <c r="M21" s="63">
        <f>MIN(M9:M19)</f>
        <v>269010.43599129817</v>
      </c>
      <c r="N21" s="63">
        <f>MAX(N9:N19)</f>
        <v>1846933.5202364246</v>
      </c>
      <c r="O21" s="13"/>
      <c r="P21" s="63">
        <f>MIN(P9:P19)</f>
        <v>19.674572953360503</v>
      </c>
      <c r="Q21" s="63">
        <f>MAX(Q9:Q19)</f>
        <v>135.07887956091747</v>
      </c>
      <c r="T21">
        <f t="shared" si="4"/>
        <v>42563</v>
      </c>
      <c r="U21">
        <f t="shared" si="4"/>
        <v>13673</v>
      </c>
    </row>
    <row r="23" spans="1:21" x14ac:dyDescent="0.15">
      <c r="A23" s="12" t="s">
        <v>187</v>
      </c>
      <c r="B23" s="12"/>
      <c r="C23" s="12"/>
    </row>
    <row r="24" spans="1:21" x14ac:dyDescent="0.15">
      <c r="B24" t="s">
        <v>2</v>
      </c>
      <c r="E24" t="s">
        <v>178</v>
      </c>
      <c r="G24" s="30">
        <v>0.6</v>
      </c>
      <c r="H24" s="30">
        <v>0.7</v>
      </c>
      <c r="J24">
        <f>G24*$S24</f>
        <v>343652.39999999997</v>
      </c>
      <c r="K24">
        <f>H24*$S24</f>
        <v>400927.8</v>
      </c>
      <c r="M24">
        <f>J24-$T24</f>
        <v>301089.39999999997</v>
      </c>
      <c r="N24">
        <f>K24-$T24</f>
        <v>358364.8</v>
      </c>
      <c r="P24" s="14">
        <f>M24/$U24</f>
        <v>22.020726980179916</v>
      </c>
      <c r="Q24" s="14">
        <f>N24/$U24</f>
        <v>26.209668690119212</v>
      </c>
      <c r="S24" s="22">
        <f>IS!H11</f>
        <v>572754</v>
      </c>
      <c r="T24">
        <f t="shared" ref="T24:U27" si="5">T$9</f>
        <v>42563</v>
      </c>
      <c r="U24">
        <f t="shared" si="5"/>
        <v>13673</v>
      </c>
    </row>
    <row r="25" spans="1:21" x14ac:dyDescent="0.15">
      <c r="B25" t="s">
        <v>5</v>
      </c>
      <c r="E25" t="s">
        <v>178</v>
      </c>
      <c r="G25" s="31">
        <v>8</v>
      </c>
      <c r="H25" s="31">
        <v>10</v>
      </c>
      <c r="J25">
        <f t="shared" ref="J25:K26" si="6">G25*$S25</f>
        <v>292800</v>
      </c>
      <c r="K25">
        <f t="shared" si="6"/>
        <v>366000</v>
      </c>
      <c r="M25">
        <f t="shared" ref="M25:N26" si="7">J25-$T25</f>
        <v>250237</v>
      </c>
      <c r="N25">
        <f t="shared" si="7"/>
        <v>323437</v>
      </c>
      <c r="P25" s="14">
        <f t="shared" ref="P25:Q26" si="8">M25/$U25</f>
        <v>18.301543187303444</v>
      </c>
      <c r="Q25" s="14">
        <f t="shared" si="8"/>
        <v>23.655159803993271</v>
      </c>
      <c r="S25" s="22">
        <f>IS!H34</f>
        <v>36600</v>
      </c>
      <c r="T25">
        <f t="shared" si="5"/>
        <v>42563</v>
      </c>
      <c r="U25">
        <f t="shared" si="5"/>
        <v>13673</v>
      </c>
    </row>
    <row r="26" spans="1:21" x14ac:dyDescent="0.15">
      <c r="B26" t="s">
        <v>144</v>
      </c>
      <c r="E26" t="s">
        <v>178</v>
      </c>
      <c r="G26" s="31">
        <v>13</v>
      </c>
      <c r="H26" s="31">
        <v>16</v>
      </c>
      <c r="J26">
        <f t="shared" si="6"/>
        <v>337246</v>
      </c>
      <c r="K26">
        <f t="shared" si="6"/>
        <v>415072</v>
      </c>
      <c r="M26">
        <f t="shared" si="7"/>
        <v>294683</v>
      </c>
      <c r="N26">
        <f t="shared" si="7"/>
        <v>372509</v>
      </c>
      <c r="P26" s="14">
        <f t="shared" si="8"/>
        <v>21.55218313464492</v>
      </c>
      <c r="Q26" s="14">
        <f t="shared" si="8"/>
        <v>27.244130768668178</v>
      </c>
      <c r="S26" s="22">
        <f>IS!H15</f>
        <v>25942</v>
      </c>
      <c r="T26">
        <f t="shared" si="5"/>
        <v>42563</v>
      </c>
      <c r="U26">
        <f t="shared" si="5"/>
        <v>13673</v>
      </c>
    </row>
    <row r="27" spans="1:21" x14ac:dyDescent="0.15">
      <c r="B27" t="s">
        <v>158</v>
      </c>
      <c r="E27" t="s">
        <v>178</v>
      </c>
      <c r="G27" s="31">
        <v>20</v>
      </c>
      <c r="H27" s="31">
        <v>24</v>
      </c>
      <c r="J27">
        <f>M27+$T27</f>
        <v>1375546.4509803921</v>
      </c>
      <c r="K27">
        <f>N27+$T27</f>
        <v>1642143.1411764703</v>
      </c>
      <c r="M27">
        <f>P27*$U27</f>
        <v>1332983.4509803921</v>
      </c>
      <c r="N27">
        <f>Q27*$U27</f>
        <v>1599580.1411764703</v>
      </c>
      <c r="P27" s="14">
        <f>G27*$S27</f>
        <v>97.490196078431367</v>
      </c>
      <c r="Q27" s="14">
        <f>H27*$S27</f>
        <v>116.98823529411763</v>
      </c>
      <c r="S27" s="32">
        <f>IS!H31</f>
        <v>4.8745098039215682</v>
      </c>
      <c r="T27">
        <f t="shared" si="5"/>
        <v>42563</v>
      </c>
      <c r="U27">
        <f t="shared" si="5"/>
        <v>13673</v>
      </c>
    </row>
    <row r="29" spans="1:21" x14ac:dyDescent="0.15">
      <c r="A29" s="13" t="s">
        <v>186</v>
      </c>
      <c r="B29" s="13"/>
      <c r="C29" s="13"/>
      <c r="D29" s="13"/>
      <c r="E29" s="13"/>
      <c r="F29" s="13"/>
      <c r="G29" s="13"/>
      <c r="H29" s="13"/>
      <c r="I29" s="13"/>
      <c r="J29" s="63">
        <f>MIN(J24:J27)</f>
        <v>292800</v>
      </c>
      <c r="K29" s="63">
        <f>MAX(K24:K27)</f>
        <v>1642143.1411764703</v>
      </c>
      <c r="L29" s="13"/>
      <c r="M29" s="63">
        <f>MIN(M24:M27)</f>
        <v>250237</v>
      </c>
      <c r="N29" s="63">
        <f>MAX(N24:N27)</f>
        <v>1599580.1411764703</v>
      </c>
      <c r="O29" s="13"/>
      <c r="P29" s="63">
        <f>MIN(P24:P27)</f>
        <v>18.301543187303444</v>
      </c>
      <c r="Q29" s="63">
        <f>MAX(Q24:Q27)</f>
        <v>116.98823529411763</v>
      </c>
      <c r="T29">
        <f>T$9</f>
        <v>42563</v>
      </c>
      <c r="U29">
        <f>U$9</f>
        <v>13673</v>
      </c>
    </row>
    <row r="31" spans="1:21" x14ac:dyDescent="0.15">
      <c r="A31" s="12" t="s">
        <v>190</v>
      </c>
      <c r="B31" s="12"/>
      <c r="C31" s="12"/>
      <c r="E31" s="10" t="s">
        <v>162</v>
      </c>
    </row>
    <row r="32" spans="1:21" x14ac:dyDescent="0.15">
      <c r="B32" t="s">
        <v>188</v>
      </c>
      <c r="E32" s="39">
        <f>S32</f>
        <v>131.6</v>
      </c>
      <c r="G32" s="33">
        <v>0.08</v>
      </c>
      <c r="H32" s="33">
        <v>0.2</v>
      </c>
      <c r="J32">
        <f>M32+$T32</f>
        <v>1985879.1440000001</v>
      </c>
      <c r="K32">
        <f>N32+$T32</f>
        <v>2201803.1599999997</v>
      </c>
      <c r="M32">
        <f>P32*$U32</f>
        <v>1943316.1440000001</v>
      </c>
      <c r="N32">
        <f>Q32*$U32</f>
        <v>2159240.1599999997</v>
      </c>
      <c r="P32" s="14">
        <f>$E32*(1+G32)</f>
        <v>142.12800000000001</v>
      </c>
      <c r="Q32" s="14">
        <f>$E32*(1+H32)</f>
        <v>157.91999999999999</v>
      </c>
      <c r="S32" s="14">
        <f>Control!E17</f>
        <v>131.6</v>
      </c>
      <c r="T32">
        <f>T$9</f>
        <v>42563</v>
      </c>
      <c r="U32">
        <f>U$9</f>
        <v>13673</v>
      </c>
    </row>
    <row r="33" spans="1:21" x14ac:dyDescent="0.15">
      <c r="B33" t="s">
        <v>189</v>
      </c>
      <c r="E33" s="14">
        <f>S33</f>
        <v>130.71</v>
      </c>
      <c r="G33" s="33">
        <v>8.2000000000000003E-2</v>
      </c>
      <c r="H33" s="33">
        <v>0.20200000000000001</v>
      </c>
      <c r="J33">
        <f>M33+$T33</f>
        <v>1976311.0520600001</v>
      </c>
      <c r="K33">
        <f>N33+$T33</f>
        <v>2190774.7916600001</v>
      </c>
      <c r="M33">
        <f>P33*$U33</f>
        <v>1933748.0520600001</v>
      </c>
      <c r="N33">
        <f>Q33*$U33</f>
        <v>2148211.7916600001</v>
      </c>
      <c r="P33" s="14">
        <f>$E33*(1+G33)</f>
        <v>141.42822000000001</v>
      </c>
      <c r="Q33" s="14">
        <f>$E33*(1+H33)</f>
        <v>157.11341999999999</v>
      </c>
      <c r="S33" s="14">
        <f>Control!$E$16</f>
        <v>130.71</v>
      </c>
      <c r="T33">
        <f>T$9</f>
        <v>42563</v>
      </c>
      <c r="U33">
        <f>U$9</f>
        <v>13673</v>
      </c>
    </row>
    <row r="35" spans="1:21" x14ac:dyDescent="0.15">
      <c r="A35" s="13" t="s">
        <v>186</v>
      </c>
      <c r="B35" s="13"/>
      <c r="C35" s="13"/>
      <c r="D35" s="13"/>
      <c r="E35" s="13"/>
      <c r="F35" s="13"/>
      <c r="G35" s="13"/>
      <c r="H35" s="13"/>
      <c r="I35" s="13"/>
      <c r="J35" s="63">
        <f>MIN(J32:J33)</f>
        <v>1976311.0520600001</v>
      </c>
      <c r="K35" s="63">
        <f>MAX(K32:K33)</f>
        <v>2201803.1599999997</v>
      </c>
      <c r="L35" s="13"/>
      <c r="M35" s="63">
        <f>MIN(M32:M33)</f>
        <v>1933748.0520600001</v>
      </c>
      <c r="N35" s="63">
        <f>MAX(N32:N33)</f>
        <v>2159240.1599999997</v>
      </c>
      <c r="O35" s="63"/>
      <c r="P35" s="63">
        <f>MIN(P32:P33)</f>
        <v>141.42822000000001</v>
      </c>
      <c r="Q35" s="63">
        <f>MAX(Q32:Q33)</f>
        <v>157.91999999999999</v>
      </c>
      <c r="T35">
        <f>T$9</f>
        <v>42563</v>
      </c>
      <c r="U35">
        <f>U$9</f>
        <v>13673</v>
      </c>
    </row>
    <row r="37" spans="1:21" x14ac:dyDescent="0.15">
      <c r="A37" s="12" t="s">
        <v>157</v>
      </c>
      <c r="B37" s="12"/>
      <c r="C37" s="12"/>
    </row>
    <row r="38" spans="1:21" x14ac:dyDescent="0.15">
      <c r="B38" t="s">
        <v>149</v>
      </c>
      <c r="G38" s="26">
        <f>DCF!F22</f>
        <v>10</v>
      </c>
      <c r="H38" s="26">
        <f>DCF!G22</f>
        <v>12</v>
      </c>
      <c r="J38">
        <f>M38+$T38</f>
        <v>412235.00760148169</v>
      </c>
      <c r="K38">
        <f>N38+$T38</f>
        <v>474633.31230887159</v>
      </c>
      <c r="M38">
        <f>P38*$U38</f>
        <v>369672.00760148169</v>
      </c>
      <c r="N38">
        <f>Q38*$U38</f>
        <v>432070.31230887159</v>
      </c>
      <c r="P38" s="14">
        <f>DCF!F29</f>
        <v>27.036642112300278</v>
      </c>
      <c r="Q38" s="14">
        <f>DCF!G29</f>
        <v>31.600256879168551</v>
      </c>
      <c r="T38">
        <f t="shared" ref="T38:U41" si="9">T$9</f>
        <v>42563</v>
      </c>
      <c r="U38">
        <f t="shared" si="9"/>
        <v>13673</v>
      </c>
    </row>
    <row r="39" spans="1:21" x14ac:dyDescent="0.15">
      <c r="B39" t="s">
        <v>155</v>
      </c>
      <c r="G39" s="16">
        <f>DCF!F34</f>
        <v>2.5000000000000001E-2</v>
      </c>
      <c r="H39" s="16">
        <f>DCF!G34</f>
        <v>0.04</v>
      </c>
      <c r="J39">
        <f>M39+$T39</f>
        <v>491537.11979932204</v>
      </c>
      <c r="K39">
        <f>N39+$T39</f>
        <v>651629.35359151813</v>
      </c>
      <c r="M39">
        <f>P39*$U39</f>
        <v>448974.11979932204</v>
      </c>
      <c r="N39">
        <f>Q39*$U39</f>
        <v>609066.35359151813</v>
      </c>
      <c r="P39" s="14">
        <f>DCF!F41</f>
        <v>32.836547926521028</v>
      </c>
      <c r="Q39" s="14">
        <f>DCF!G41</f>
        <v>44.545187858664384</v>
      </c>
      <c r="T39">
        <f t="shared" si="9"/>
        <v>42563</v>
      </c>
      <c r="U39">
        <f t="shared" si="9"/>
        <v>13673</v>
      </c>
    </row>
    <row r="41" spans="1:21" x14ac:dyDescent="0.15">
      <c r="A41" s="13" t="s">
        <v>186</v>
      </c>
      <c r="B41" s="13"/>
      <c r="C41" s="13"/>
      <c r="D41" s="13"/>
      <c r="E41" s="13"/>
      <c r="F41" s="13"/>
      <c r="G41" s="13"/>
      <c r="H41" s="13"/>
      <c r="I41" s="13"/>
      <c r="J41" s="63">
        <f>MIN(J38:J39)</f>
        <v>412235.00760148169</v>
      </c>
      <c r="K41" s="63">
        <f>MAX(K38:K39)</f>
        <v>651629.35359151813</v>
      </c>
      <c r="L41" s="13"/>
      <c r="M41" s="63">
        <f>MIN(M38:M39)</f>
        <v>369672.00760148169</v>
      </c>
      <c r="N41" s="63">
        <f>MAX(N38:N39)</f>
        <v>609066.35359151813</v>
      </c>
      <c r="O41" s="63"/>
      <c r="P41" s="63">
        <f>MIN(P38:P39)</f>
        <v>27.036642112300278</v>
      </c>
      <c r="Q41" s="63">
        <f>MAX(Q38:Q39)</f>
        <v>44.545187858664384</v>
      </c>
      <c r="T41">
        <f t="shared" si="9"/>
        <v>42563</v>
      </c>
      <c r="U41">
        <f t="shared" si="9"/>
        <v>13673</v>
      </c>
    </row>
    <row r="43" spans="1:21" x14ac:dyDescent="0.15">
      <c r="B43" t="str">
        <f>Control!$H$12</f>
        <v>Note: Fiscal year ends January 31</v>
      </c>
    </row>
    <row r="44" spans="1:21" x14ac:dyDescent="0.15">
      <c r="B44" t="str">
        <f>Control!$H$15</f>
        <v>Valuation as of  September 27 2022</v>
      </c>
    </row>
    <row r="45" spans="1:21" x14ac:dyDescent="0.15">
      <c r="B45" t="str">
        <f>"(*) Adjusted for "&amp;Control!$E$13&amp;TEXT(Summary!$T$9,"#,##0")&amp;Control!$E$14&amp;" of net debt &amp; other adjustments"</f>
        <v>(*) Adjusted for $42,563m of net debt &amp; other adjustments</v>
      </c>
    </row>
    <row r="46" spans="1:21" x14ac:dyDescent="0.15">
      <c r="B46" t="str">
        <f>"(**) "&amp;TEXT(Control!$E$18,"#,##0.0")&amp;Control!$E$14&amp;" shares outstanding"</f>
        <v>(**) 13,673.0m shares outstanding</v>
      </c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  <ignoredErrors>
    <ignoredError sqref="T9 S24:S27" unlocked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pageSetUpPr fitToPage="1"/>
  </sheetPr>
  <dimension ref="A1:J36"/>
  <sheetViews>
    <sheetView showGridLines="0" tabSelected="1" zoomScale="265" zoomScaleNormal="150" workbookViewId="0">
      <selection activeCell="U16" sqref="U16"/>
    </sheetView>
  </sheetViews>
  <sheetFormatPr baseColWidth="10" defaultColWidth="8.75" defaultRowHeight="11" x14ac:dyDescent="0.15"/>
  <cols>
    <col min="1" max="2" width="1.75" customWidth="1"/>
    <col min="3" max="3" width="51.75" customWidth="1"/>
  </cols>
  <sheetData>
    <row r="1" spans="1:10" ht="13" x14ac:dyDescent="0.15">
      <c r="A1" s="5" t="str">
        <f>Control!A1</f>
        <v>Wal-Mart Stores, Inc.</v>
      </c>
    </row>
    <row r="4" spans="1:10" x14ac:dyDescent="0.15">
      <c r="A4" s="1" t="s">
        <v>195</v>
      </c>
      <c r="B4" s="1"/>
      <c r="C4" s="1"/>
      <c r="D4" s="1"/>
      <c r="E4" s="1"/>
      <c r="F4" s="1"/>
      <c r="G4" s="1"/>
      <c r="H4" s="1"/>
      <c r="I4" s="1"/>
      <c r="J4" s="1"/>
    </row>
    <row r="27" spans="3:9" x14ac:dyDescent="0.15">
      <c r="D27" s="64" t="s">
        <v>175</v>
      </c>
      <c r="E27" s="65" t="s">
        <v>248</v>
      </c>
      <c r="F27" s="64" t="s">
        <v>174</v>
      </c>
      <c r="I27" s="12" t="s">
        <v>208</v>
      </c>
    </row>
    <row r="28" spans="3:9" x14ac:dyDescent="0.15">
      <c r="C28" t="s">
        <v>193</v>
      </c>
      <c r="D28" s="25">
        <v>117.27</v>
      </c>
      <c r="E28" s="14">
        <f>F28-D28</f>
        <v>43.500000000000014</v>
      </c>
      <c r="F28" s="25">
        <v>160.77000000000001</v>
      </c>
      <c r="G28" s="16"/>
      <c r="I28" t="str">
        <f>Control!E10&amp;" stock price valuation ranges as of "&amp;TEXT(Control!E15,"mmmm dd, yyy")</f>
        <v>Wal-Mart Stores, Inc. stock price valuation ranges as of September 27, 2022</v>
      </c>
    </row>
    <row r="29" spans="3:9" x14ac:dyDescent="0.15">
      <c r="C29" t="str">
        <f>Summary!A8</f>
        <v>Analysis of Selected Publicly Traded Consumer Retailers</v>
      </c>
      <c r="D29" s="14">
        <f>Summary!P21</f>
        <v>19.674572953360503</v>
      </c>
      <c r="E29" s="14">
        <f t="shared" ref="E29:E33" si="0">F29-D29</f>
        <v>115.40430660755698</v>
      </c>
      <c r="F29" s="14">
        <f>Summary!Q21</f>
        <v>135.07887956091747</v>
      </c>
      <c r="G29" s="16"/>
      <c r="I29" t="str">
        <f>"Stock price - in "&amp;Control!E13</f>
        <v>Stock price - in $</v>
      </c>
    </row>
    <row r="30" spans="3:9" x14ac:dyDescent="0.15">
      <c r="C30" t="str">
        <f>Summary!A23</f>
        <v>Precedent retail acquisitions</v>
      </c>
      <c r="D30" s="14">
        <f>Summary!P29</f>
        <v>18.301543187303444</v>
      </c>
      <c r="E30" s="14">
        <f t="shared" si="0"/>
        <v>98.686692106814178</v>
      </c>
      <c r="F30" s="14">
        <f>Summary!Q29</f>
        <v>116.98823529411763</v>
      </c>
      <c r="G30" s="16"/>
    </row>
    <row r="31" spans="3:9" x14ac:dyDescent="0.15">
      <c r="C31" t="str">
        <f>Summary!A31</f>
        <v>Premiums paid</v>
      </c>
      <c r="D31" s="14">
        <f>Summary!P35</f>
        <v>141.42822000000001</v>
      </c>
      <c r="E31" s="14">
        <f t="shared" si="0"/>
        <v>16.491779999999977</v>
      </c>
      <c r="F31" s="14">
        <f>Summary!Q35</f>
        <v>157.91999999999999</v>
      </c>
      <c r="G31" s="16"/>
    </row>
    <row r="32" spans="3:9" x14ac:dyDescent="0.15">
      <c r="C32" t="str">
        <f>Summary!A37</f>
        <v>Discounted cash flow</v>
      </c>
      <c r="D32" s="14">
        <f>Summary!P41</f>
        <v>27.036642112300278</v>
      </c>
      <c r="E32" s="14">
        <f t="shared" si="0"/>
        <v>17.508545746364106</v>
      </c>
      <c r="F32" s="14">
        <f>Summary!Q41</f>
        <v>44.545187858664384</v>
      </c>
      <c r="G32" s="16"/>
    </row>
    <row r="33" spans="3:9" x14ac:dyDescent="0.15">
      <c r="C33" t="s">
        <v>194</v>
      </c>
      <c r="D33" s="38">
        <f>AVERAGE(D28:D32)</f>
        <v>64.742195650592848</v>
      </c>
      <c r="E33" s="14">
        <f t="shared" si="0"/>
        <v>58.318264892147042</v>
      </c>
      <c r="F33" s="38">
        <f>AVERAGE(F28:F32)</f>
        <v>123.06046054273989</v>
      </c>
      <c r="G33" s="16"/>
    </row>
    <row r="35" spans="3:9" x14ac:dyDescent="0.15">
      <c r="C35" t="s">
        <v>209</v>
      </c>
      <c r="E35" s="14">
        <f>Control!$E$16</f>
        <v>130.71</v>
      </c>
      <c r="I35" t="str">
        <f>C35&amp;Control!E13&amp;TEXT(E35,"0.00")</f>
        <v>Current price $130.71</v>
      </c>
    </row>
    <row r="36" spans="3:9" x14ac:dyDescent="0.15">
      <c r="E36" s="14"/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Control</vt:lpstr>
      <vt:lpstr>IS</vt:lpstr>
      <vt:lpstr>BS</vt:lpstr>
      <vt:lpstr>CF</vt:lpstr>
      <vt:lpstr>Debt</vt:lpstr>
      <vt:lpstr>DCF</vt:lpstr>
      <vt:lpstr>Capital Structure</vt:lpstr>
      <vt:lpstr>Summary</vt:lpstr>
      <vt:lpstr>Football</vt:lpstr>
      <vt:lpstr>DCF!Print_Area</vt:lpstr>
      <vt:lpstr>Debt!Print_Area</vt:lpstr>
      <vt:lpstr>Football!Print_Area</vt:lpstr>
      <vt:lpstr>Summary!Print_Area</vt:lpstr>
    </vt:vector>
  </TitlesOfParts>
  <Company>7city Learning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Marshall, Ph.D.</dc:creator>
  <cp:lastModifiedBy>Microsoft Office User</cp:lastModifiedBy>
  <cp:lastPrinted>2022-09-28T18:11:20Z</cp:lastPrinted>
  <dcterms:created xsi:type="dcterms:W3CDTF">2012-10-15T08:51:02Z</dcterms:created>
  <dcterms:modified xsi:type="dcterms:W3CDTF">2022-09-28T18:11:38Z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1791396327</vt:i4>
  </property>
  <property fmtid="{D5CDD505-2E9C-101B-9397-08002B2CF9AE}" pid="3" name="_NewReviewCycle">
    <vt:lpwstr/>
  </property>
  <property fmtid="{D5CDD505-2E9C-101B-9397-08002B2CF9AE}" pid="4" name="_EmailSubject">
    <vt:lpwstr>Updates</vt:lpwstr>
  </property>
  <property fmtid="{D5CDD505-2E9C-101B-9397-08002B2CF9AE}" pid="5" name="_AuthorEmail">
    <vt:lpwstr>Juliana.Hess@fitchlearning.com</vt:lpwstr>
  </property>
  <property fmtid="{D5CDD505-2E9C-101B-9397-08002B2CF9AE}" pid="6" name="_AuthorEmailDisplayName">
    <vt:lpwstr>Juliana Hess</vt:lpwstr>
  </property>
  <property fmtid="{D5CDD505-2E9C-101B-9397-08002B2CF9AE}" pid="7" name="_PreviousAdHocReviewCycleID">
    <vt:i4>1570256129</vt:i4>
  </property>
  <property fmtid="{D5CDD505-2E9C-101B-9397-08002B2CF9AE}" pid="8" name="_ReviewingToolsShownOnce">
    <vt:lpwstr/>
  </property>
</Properties>
</file>