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cilla\Documents\QA-booking\package-booking-service\payloads\Test pricing\"/>
    </mc:Choice>
  </mc:AlternateContent>
  <xr:revisionPtr revIDLastSave="0" documentId="8_{9E2EED34-71F7-4565-862B-EA790FE1D9F2}" xr6:coauthVersionLast="12" xr6:coauthVersionMax="12" xr10:uidLastSave="{00000000-0000-0000-0000-000000000000}"/>
  <bookViews>
    <workbookView xWindow="0" yWindow="0" windowWidth="28800" windowHeight="12210" tabRatio="497" xr2:uid="{00000000-000D-0000-FFFF-FFFF00000000}"/>
  </bookViews>
  <sheets>
    <sheet name="pricing" sheetId="1" r:id="rId1"/>
    <sheet name="Cancel Pricing" sheetId="2" r:id="rId2"/>
    <sheet name="Cancel Format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6" i="1" l="1"/>
  <c r="AC6" i="1"/>
  <c r="AB6" i="1"/>
  <c r="O6" i="1"/>
  <c r="AE6" i="1"/>
  <c r="AN6" i="1"/>
  <c r="AR6" i="1"/>
  <c r="AQ60" i="1"/>
  <c r="AQ59" i="1"/>
  <c r="AP59" i="1"/>
  <c r="L60" i="1"/>
  <c r="N60" i="1"/>
  <c r="O60" i="1"/>
  <c r="AE60" i="1"/>
  <c r="AN60" i="1"/>
  <c r="AP60" i="1"/>
  <c r="AP61" i="1"/>
  <c r="AN59" i="1"/>
  <c r="AE59" i="1"/>
  <c r="AE61" i="1"/>
  <c r="O57" i="1"/>
  <c r="AE57" i="1"/>
  <c r="AN57" i="1"/>
  <c r="AP57" i="1"/>
  <c r="AQ57" i="1"/>
  <c r="N56" i="1"/>
  <c r="O56" i="1"/>
  <c r="L57" i="1"/>
  <c r="N57" i="1"/>
  <c r="L58" i="1"/>
  <c r="N58" i="1"/>
  <c r="O58" i="1"/>
  <c r="L59" i="1"/>
  <c r="N59" i="1"/>
  <c r="O59" i="1"/>
  <c r="L56" i="1"/>
  <c r="L55" i="1"/>
  <c r="N55" i="1"/>
  <c r="AP52" i="1"/>
  <c r="AN53" i="1"/>
  <c r="AP53" i="1"/>
  <c r="L54" i="1"/>
  <c r="N54" i="1"/>
  <c r="O54" i="1"/>
  <c r="AE54" i="1"/>
  <c r="AN54" i="1"/>
  <c r="AP54" i="1"/>
  <c r="O55" i="1"/>
  <c r="AE55" i="1"/>
  <c r="AN55" i="1"/>
  <c r="AP55" i="1"/>
  <c r="AE56" i="1"/>
  <c r="AN56" i="1"/>
  <c r="AP56" i="1"/>
  <c r="AE58" i="1"/>
  <c r="AN58" i="1"/>
  <c r="AP58" i="1"/>
  <c r="L52" i="1"/>
  <c r="N52" i="1"/>
  <c r="O52" i="1"/>
  <c r="AE52" i="1"/>
  <c r="AN52" i="1"/>
  <c r="AQ52" i="1"/>
  <c r="L53" i="1"/>
  <c r="N53" i="1"/>
  <c r="O53" i="1"/>
  <c r="AE53" i="1"/>
  <c r="AG48" i="1"/>
  <c r="AG49" i="1"/>
  <c r="AE47" i="1"/>
  <c r="AN47" i="1"/>
  <c r="AP47" i="1"/>
  <c r="L48" i="1"/>
  <c r="N48" i="1"/>
  <c r="O48" i="1"/>
  <c r="AE48" i="1"/>
  <c r="AN48" i="1"/>
  <c r="AP48" i="1"/>
  <c r="AQ48" i="1"/>
  <c r="L49" i="1"/>
  <c r="N49" i="1"/>
  <c r="O49" i="1"/>
  <c r="AE49" i="1"/>
  <c r="AN49" i="1"/>
  <c r="AP49" i="1"/>
  <c r="L50" i="1"/>
  <c r="N50" i="1"/>
  <c r="O50" i="1"/>
  <c r="AE50" i="1"/>
  <c r="AN50" i="1"/>
  <c r="AP50" i="1"/>
  <c r="L51" i="1"/>
  <c r="N51" i="1"/>
  <c r="O51" i="1"/>
  <c r="AE51" i="1"/>
  <c r="AN51" i="1"/>
  <c r="AP51" i="1"/>
  <c r="E5" i="1"/>
  <c r="H5" i="1"/>
  <c r="L5" i="1"/>
  <c r="N5" i="1"/>
  <c r="O5" i="1"/>
  <c r="AE5" i="1"/>
  <c r="AN5" i="1"/>
  <c r="E4" i="1"/>
  <c r="H4" i="1"/>
  <c r="L4" i="1"/>
  <c r="N4" i="1"/>
  <c r="O4" i="1"/>
  <c r="AE4" i="1"/>
  <c r="AN4" i="1"/>
  <c r="E3" i="1"/>
  <c r="H3" i="1"/>
  <c r="L3" i="1"/>
  <c r="N3" i="1"/>
  <c r="O3" i="1"/>
  <c r="AE3" i="1"/>
  <c r="AN3" i="1"/>
  <c r="D10" i="1"/>
  <c r="E10" i="1"/>
  <c r="H10" i="1"/>
  <c r="L10" i="1"/>
  <c r="N10" i="1"/>
  <c r="D7" i="1"/>
  <c r="E7" i="1"/>
  <c r="H7" i="1"/>
  <c r="L7" i="1"/>
  <c r="N7" i="1"/>
  <c r="O7" i="1"/>
  <c r="D8" i="1"/>
  <c r="E8" i="1"/>
  <c r="H8" i="1"/>
  <c r="L8" i="1"/>
  <c r="N8" i="1"/>
  <c r="O8" i="1"/>
  <c r="D9" i="1"/>
  <c r="E9" i="1"/>
  <c r="H9" i="1"/>
  <c r="L9" i="1"/>
  <c r="N9" i="1"/>
  <c r="O9" i="1"/>
  <c r="O10" i="1"/>
  <c r="E11" i="1"/>
  <c r="H11" i="1"/>
  <c r="L11" i="1"/>
  <c r="N11" i="1"/>
  <c r="O11" i="1"/>
  <c r="E12" i="1"/>
  <c r="H12" i="1"/>
  <c r="L12" i="1"/>
  <c r="N12" i="1"/>
  <c r="O12" i="1"/>
  <c r="E13" i="1"/>
  <c r="H13" i="1"/>
  <c r="L13" i="1"/>
  <c r="N13" i="1"/>
  <c r="O13" i="1"/>
  <c r="E14" i="1"/>
  <c r="H14" i="1"/>
  <c r="L14" i="1"/>
  <c r="N14" i="1"/>
  <c r="O14" i="1"/>
  <c r="E15" i="1"/>
  <c r="H15" i="1"/>
  <c r="L15" i="1"/>
  <c r="N15" i="1"/>
  <c r="O15" i="1"/>
  <c r="E16" i="1"/>
  <c r="H16" i="1"/>
  <c r="L16" i="1"/>
  <c r="N16" i="1"/>
  <c r="O16" i="1"/>
  <c r="E17" i="1"/>
  <c r="H17" i="1"/>
  <c r="L17" i="1"/>
  <c r="N17" i="1"/>
  <c r="O17" i="1"/>
  <c r="E18" i="1"/>
  <c r="H18" i="1"/>
  <c r="L18" i="1"/>
  <c r="N18" i="1"/>
  <c r="O18" i="1"/>
  <c r="E19" i="1"/>
  <c r="H19" i="1"/>
  <c r="L19" i="1"/>
  <c r="N19" i="1"/>
  <c r="O19" i="1"/>
  <c r="W69" i="3"/>
  <c r="W70" i="3"/>
  <c r="W71" i="3"/>
  <c r="W75" i="3"/>
  <c r="O75" i="3"/>
  <c r="O70" i="3"/>
  <c r="O71" i="3"/>
  <c r="O69" i="3"/>
  <c r="G75" i="3"/>
  <c r="G70" i="3"/>
  <c r="G71" i="3"/>
  <c r="G69" i="3"/>
  <c r="O65" i="3"/>
  <c r="O59" i="3"/>
  <c r="G65" i="3"/>
  <c r="G60" i="3"/>
  <c r="G61" i="3"/>
  <c r="G59" i="3"/>
  <c r="O54" i="3"/>
  <c r="G50" i="3"/>
  <c r="O48" i="3"/>
  <c r="O49" i="3"/>
  <c r="O50" i="3"/>
  <c r="O47" i="3"/>
  <c r="G54" i="3"/>
  <c r="G48" i="3"/>
  <c r="G49" i="3"/>
  <c r="G47" i="3"/>
  <c r="W37" i="3"/>
  <c r="W38" i="3"/>
  <c r="W39" i="3"/>
  <c r="W43" i="3"/>
  <c r="O37" i="3"/>
  <c r="O38" i="3"/>
  <c r="O39" i="3"/>
  <c r="O43" i="3"/>
  <c r="G37" i="3"/>
  <c r="G38" i="3"/>
  <c r="G39" i="3"/>
  <c r="G43" i="3"/>
  <c r="O27" i="3"/>
  <c r="O28" i="3"/>
  <c r="O29" i="3"/>
  <c r="O33" i="3"/>
  <c r="G27" i="3"/>
  <c r="G28" i="3"/>
  <c r="G29" i="3"/>
  <c r="G33" i="3"/>
  <c r="O16" i="3"/>
  <c r="O17" i="3"/>
  <c r="O18" i="3"/>
  <c r="O22" i="3"/>
  <c r="W5" i="3"/>
  <c r="W6" i="3"/>
  <c r="W7" i="3"/>
  <c r="W11" i="3"/>
  <c r="G16" i="3"/>
  <c r="G22" i="3"/>
  <c r="O5" i="3"/>
  <c r="O6" i="3"/>
  <c r="O7" i="3"/>
  <c r="O11" i="3"/>
  <c r="G5" i="3"/>
  <c r="G6" i="3"/>
  <c r="G7" i="3"/>
  <c r="G11" i="3"/>
  <c r="E6" i="1"/>
  <c r="H6" i="1"/>
  <c r="L6" i="1"/>
  <c r="N6" i="1"/>
  <c r="AE10" i="1"/>
  <c r="AN10" i="1"/>
  <c r="AE9" i="1"/>
  <c r="AN9" i="1"/>
  <c r="AE8" i="1"/>
  <c r="AN8" i="1"/>
  <c r="AB41" i="1"/>
  <c r="AE12" i="1"/>
  <c r="AN12" i="1"/>
  <c r="AE11" i="1"/>
  <c r="AN11" i="1"/>
  <c r="AE13" i="1"/>
  <c r="AN13" i="1"/>
  <c r="AE7" i="1"/>
  <c r="AE14" i="1"/>
  <c r="AB15" i="1"/>
  <c r="AE15" i="1"/>
  <c r="AN7" i="1"/>
  <c r="AN14" i="1"/>
  <c r="E42" i="1"/>
  <c r="H42" i="1"/>
  <c r="L42" i="1"/>
  <c r="N42" i="1"/>
  <c r="O42" i="1"/>
  <c r="AE42" i="1"/>
  <c r="AN42" i="1"/>
  <c r="AO42" i="1"/>
  <c r="E36" i="1"/>
  <c r="H36" i="1"/>
  <c r="L36" i="1"/>
  <c r="N36" i="1"/>
  <c r="O36" i="1"/>
  <c r="AE36" i="1"/>
  <c r="AN36" i="1"/>
  <c r="AO36" i="1"/>
  <c r="E34" i="1"/>
  <c r="H34" i="1"/>
  <c r="L34" i="1"/>
  <c r="N34" i="1"/>
  <c r="O34" i="1"/>
  <c r="AE34" i="1"/>
  <c r="AN34" i="1"/>
  <c r="AO34" i="1"/>
  <c r="E35" i="1"/>
  <c r="H35" i="1"/>
  <c r="L35" i="1"/>
  <c r="N35" i="1"/>
  <c r="O35" i="1"/>
  <c r="AE35" i="1"/>
  <c r="AN35" i="1"/>
  <c r="AO35" i="1"/>
  <c r="E39" i="1"/>
  <c r="H39" i="1"/>
  <c r="L39" i="1"/>
  <c r="N39" i="1"/>
  <c r="O39" i="1"/>
  <c r="AE39" i="1"/>
  <c r="AN39" i="1"/>
  <c r="AO39" i="1"/>
  <c r="E40" i="1"/>
  <c r="H40" i="1"/>
  <c r="L40" i="1"/>
  <c r="N40" i="1"/>
  <c r="O40" i="1"/>
  <c r="AE40" i="1"/>
  <c r="AN40" i="1"/>
  <c r="AO40" i="1"/>
  <c r="E38" i="1"/>
  <c r="H38" i="1"/>
  <c r="L38" i="1"/>
  <c r="N38" i="1"/>
  <c r="O38" i="1"/>
  <c r="AE38" i="1"/>
  <c r="AN38" i="1"/>
  <c r="AO38" i="1"/>
  <c r="E44" i="1"/>
  <c r="H44" i="1"/>
  <c r="L44" i="1"/>
  <c r="N44" i="1"/>
  <c r="O44" i="1"/>
  <c r="AE44" i="1"/>
  <c r="AN44" i="1"/>
  <c r="AO44" i="1"/>
  <c r="E43" i="1"/>
  <c r="H43" i="1"/>
  <c r="L43" i="1"/>
  <c r="N43" i="1"/>
  <c r="O43" i="1"/>
  <c r="AE43" i="1"/>
  <c r="AN43" i="1"/>
  <c r="AO43" i="1"/>
  <c r="E20" i="1"/>
  <c r="H20" i="1"/>
  <c r="L20" i="1"/>
  <c r="N20" i="1"/>
  <c r="O20" i="1"/>
  <c r="AB20" i="1"/>
  <c r="AE20" i="1"/>
  <c r="AN20" i="1"/>
  <c r="AQ20" i="1"/>
  <c r="E21" i="1"/>
  <c r="H21" i="1"/>
  <c r="L21" i="1"/>
  <c r="N21" i="1"/>
  <c r="O21" i="1"/>
  <c r="AB21" i="1"/>
  <c r="AE21" i="1"/>
  <c r="AN21" i="1"/>
  <c r="AQ21" i="1"/>
  <c r="E24" i="1"/>
  <c r="H24" i="1"/>
  <c r="L24" i="1"/>
  <c r="N24" i="1"/>
  <c r="O24" i="1"/>
  <c r="AD24" i="1"/>
  <c r="AE24" i="1"/>
  <c r="AN24" i="1"/>
  <c r="AQ24" i="1"/>
  <c r="E25" i="1"/>
  <c r="H25" i="1"/>
  <c r="L25" i="1"/>
  <c r="N25" i="1"/>
  <c r="O25" i="1"/>
  <c r="AD25" i="1"/>
  <c r="AE25" i="1"/>
  <c r="AN25" i="1"/>
  <c r="AQ25" i="1"/>
  <c r="AF26" i="1"/>
  <c r="E26" i="1"/>
  <c r="H26" i="1"/>
  <c r="L26" i="1"/>
  <c r="N26" i="1"/>
  <c r="O26" i="1"/>
  <c r="AD26" i="1"/>
  <c r="AE26" i="1"/>
  <c r="AN26" i="1"/>
  <c r="AQ26" i="1"/>
  <c r="E27" i="1"/>
  <c r="H27" i="1"/>
  <c r="L27" i="1"/>
  <c r="N27" i="1"/>
  <c r="O27" i="1"/>
  <c r="AD27" i="1"/>
  <c r="AE27" i="1"/>
  <c r="AN27" i="1"/>
  <c r="AQ27" i="1"/>
  <c r="E37" i="1"/>
  <c r="H37" i="1"/>
  <c r="L37" i="1"/>
  <c r="N37" i="1"/>
  <c r="O37" i="1"/>
  <c r="AE37" i="1"/>
  <c r="AN37" i="1"/>
  <c r="AQ37" i="1"/>
  <c r="E41" i="1"/>
  <c r="H41" i="1"/>
  <c r="L41" i="1"/>
  <c r="N41" i="1"/>
  <c r="O41" i="1"/>
  <c r="AE41" i="1"/>
  <c r="E45" i="1"/>
  <c r="H45" i="1"/>
  <c r="L45" i="1"/>
  <c r="N45" i="1"/>
  <c r="O45" i="1"/>
  <c r="AE45" i="1"/>
  <c r="E46" i="1"/>
  <c r="H46" i="1"/>
  <c r="L46" i="1"/>
  <c r="N46" i="1"/>
  <c r="O46" i="1"/>
  <c r="AE46" i="1"/>
  <c r="E28" i="1"/>
  <c r="H28" i="1"/>
  <c r="L28" i="1"/>
  <c r="N28" i="1"/>
  <c r="O28" i="1"/>
  <c r="AE28" i="1"/>
  <c r="E29" i="1"/>
  <c r="H29" i="1"/>
  <c r="L29" i="1"/>
  <c r="N29" i="1"/>
  <c r="O29" i="1"/>
  <c r="AE29" i="1"/>
  <c r="E30" i="1"/>
  <c r="H30" i="1"/>
  <c r="L30" i="1"/>
  <c r="N30" i="1"/>
  <c r="O30" i="1"/>
  <c r="AE30" i="1"/>
  <c r="E31" i="1"/>
  <c r="H31" i="1"/>
  <c r="L31" i="1"/>
  <c r="N31" i="1"/>
  <c r="O31" i="1"/>
  <c r="AE31" i="1"/>
  <c r="E32" i="1"/>
  <c r="H32" i="1"/>
  <c r="L32" i="1"/>
  <c r="N32" i="1"/>
  <c r="O32" i="1"/>
  <c r="AB32" i="1"/>
  <c r="AE32" i="1"/>
  <c r="E33" i="1"/>
  <c r="H33" i="1"/>
  <c r="L33" i="1"/>
  <c r="N33" i="1"/>
  <c r="O33" i="1"/>
  <c r="AB33" i="1"/>
  <c r="AE33" i="1"/>
  <c r="AB16" i="1"/>
  <c r="AE16" i="1"/>
  <c r="AB17" i="1"/>
  <c r="AE17" i="1"/>
  <c r="AB18" i="1"/>
  <c r="AE18" i="1"/>
  <c r="AB19" i="1"/>
  <c r="AE19" i="1"/>
  <c r="E22" i="1"/>
  <c r="H22" i="1"/>
  <c r="L22" i="1"/>
  <c r="N22" i="1"/>
  <c r="O22" i="1"/>
  <c r="AB22" i="1"/>
  <c r="AE22" i="1"/>
  <c r="E23" i="1"/>
  <c r="H23" i="1"/>
  <c r="L23" i="1"/>
  <c r="N23" i="1"/>
  <c r="O23" i="1"/>
  <c r="AB23" i="1"/>
  <c r="AE23" i="1"/>
  <c r="AJ16" i="1"/>
  <c r="AI16" i="1"/>
  <c r="AJ17" i="1"/>
  <c r="AI17" i="1"/>
  <c r="AF18" i="1"/>
  <c r="AN18" i="1"/>
  <c r="AN17" i="1"/>
  <c r="AN16" i="1"/>
  <c r="AN15" i="1"/>
  <c r="AF22" i="1"/>
  <c r="AN23" i="1"/>
  <c r="AN22" i="1"/>
  <c r="AN41" i="1"/>
  <c r="AI32" i="1"/>
  <c r="AJ32" i="1"/>
  <c r="AN32" i="1"/>
  <c r="AN29" i="1"/>
  <c r="AN31" i="1"/>
  <c r="AN30" i="1"/>
  <c r="AN28" i="1"/>
  <c r="AI33" i="1"/>
  <c r="AJ33" i="1"/>
  <c r="AN33" i="1"/>
  <c r="AN19" i="1"/>
  <c r="AN45" i="1"/>
  <c r="AN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Fanny De Mendonca</author>
  </authors>
  <commentList>
    <comment ref="A44" authorId="0" shapeId="0" xr:uid="{7CC0A990-2B21-416C-8D30-2E6D18CB1B1B}">
      <text>
        <r>
          <rPr>
            <sz val="11"/>
            <color rgb="FF000000"/>
            <rFont val="Calibri"/>
            <family val="2"/>
          </rPr>
          <t xml:space="preserve">Descuadre de 0,01 en TotalPackage
</t>
        </r>
      </text>
    </comment>
    <comment ref="O44" authorId="0" shapeId="0" xr:uid="{35E65B69-C177-473E-8880-71576F5314AB}">
      <text>
        <r>
          <rPr>
            <sz val="11"/>
            <color rgb="FF000000"/>
            <rFont val="Calibri"/>
            <family val="2"/>
          </rPr>
          <t>315,48</t>
        </r>
      </text>
    </comment>
  </commentList>
</comments>
</file>

<file path=xl/sharedStrings.xml><?xml version="1.0" encoding="utf-8"?>
<sst xmlns="http://schemas.openxmlformats.org/spreadsheetml/2006/main" count="361" uniqueCount="148">
  <si>
    <t>BOOKING</t>
  </si>
  <si>
    <t>Hotel</t>
  </si>
  <si>
    <t>Flight</t>
  </si>
  <si>
    <t>Total Package</t>
  </si>
  <si>
    <t>Markups</t>
  </si>
  <si>
    <t>Ancilleries segmento 1</t>
  </si>
  <si>
    <t>ANC segmento 2</t>
  </si>
  <si>
    <t>seats-SSC</t>
  </si>
  <si>
    <t>Promo</t>
  </si>
  <si>
    <t>TRANS</t>
  </si>
  <si>
    <t>Total booking</t>
  </si>
  <si>
    <t>ATOL</t>
  </si>
  <si>
    <t>Carfee F</t>
  </si>
  <si>
    <t>Carfee H</t>
  </si>
  <si>
    <t>CardFee ANC</t>
  </si>
  <si>
    <t>CardFee SEAT</t>
  </si>
  <si>
    <t>CardFee TRANS</t>
  </si>
  <si>
    <t xml:space="preserve">Cardfee </t>
  </si>
  <si>
    <t>Fees</t>
  </si>
  <si>
    <t>TotalPRice</t>
  </si>
  <si>
    <t>AmendmentFee</t>
  </si>
  <si>
    <t>AmendmentTotalPrice</t>
  </si>
  <si>
    <t>Observations (Amount in Payload)</t>
  </si>
  <si>
    <t>segment1</t>
  </si>
  <si>
    <t>Leg1</t>
  </si>
  <si>
    <t>segment2</t>
  </si>
  <si>
    <t>Leg2</t>
  </si>
  <si>
    <t>INF</t>
  </si>
  <si>
    <t>Nº</t>
  </si>
  <si>
    <t>CCB</t>
  </si>
  <si>
    <t>totalFlight</t>
  </si>
  <si>
    <t>Exchange</t>
  </si>
  <si>
    <t>Marketprice</t>
  </si>
  <si>
    <t>Mflight</t>
  </si>
  <si>
    <t>Mhotel</t>
  </si>
  <si>
    <t>Mpk</t>
  </si>
  <si>
    <t>Macll</t>
  </si>
  <si>
    <t>SEO</t>
  </si>
  <si>
    <t>LUG</t>
  </si>
  <si>
    <t>102vieTUTTI51</t>
  </si>
  <si>
    <t>Diferencia de 3,88 (489,5)</t>
  </si>
  <si>
    <t>102DistressedITALY01</t>
  </si>
  <si>
    <t>OK / Toma el exchange como 1 (siendo euro debe ser 1,01) y el Service fees está en 9,8 para Italia debe ser 10,00</t>
  </si>
  <si>
    <t>102DistressedFRA01</t>
  </si>
  <si>
    <t>OK / Nro de asientos de vuelo regreso en 0 (el de ida si cuenta la cantidad de pasajeros) aunque al termino del cálculo si los cuenta</t>
  </si>
  <si>
    <t>102DistressedEN01</t>
  </si>
  <si>
    <t>102DistressedES01</t>
  </si>
  <si>
    <t>125AddDeleteAddDeleteES</t>
  </si>
  <si>
    <t>Para España e Inglaterra cambia el monto en el ProductMarKup para hotel</t>
  </si>
  <si>
    <t>125AddDeleteAddDeleteEN</t>
  </si>
  <si>
    <t>125AddDeleteAddDeleteFR</t>
  </si>
  <si>
    <t>125AddDeleteAddDeleteIT</t>
  </si>
  <si>
    <t>ValidarTotalPrice</t>
  </si>
  <si>
    <t>OK</t>
  </si>
  <si>
    <t>138IT2</t>
  </si>
  <si>
    <t>138FR</t>
  </si>
  <si>
    <t>138EN</t>
  </si>
  <si>
    <t>138ES</t>
  </si>
  <si>
    <t>129seatsHasInfantfIT</t>
  </si>
  <si>
    <t>129seatsHasInfantfFR</t>
  </si>
  <si>
    <t>129seatsHasInfantfEN</t>
  </si>
  <si>
    <t>129seatsHasInfantfES</t>
  </si>
  <si>
    <t>109trans4pax2roomIT</t>
  </si>
  <si>
    <t>109trans4pax2roomFR</t>
  </si>
  <si>
    <t>109trans4pax2roomEN</t>
  </si>
  <si>
    <t>109trans4pax2roomES</t>
  </si>
  <si>
    <t>109BasicaIT</t>
  </si>
  <si>
    <t>108BasicaIT</t>
  </si>
  <si>
    <t>Diferencia de 20,14 (691,19)</t>
  </si>
  <si>
    <t>106BasicaIT</t>
  </si>
  <si>
    <t>102BasicaIT</t>
  </si>
  <si>
    <t>102AncSeatsIT</t>
  </si>
  <si>
    <t>102AncSeatsFR2</t>
  </si>
  <si>
    <t>102BasicaFR</t>
  </si>
  <si>
    <t>106BasicaFR</t>
  </si>
  <si>
    <t>108BasicaFR</t>
  </si>
  <si>
    <t>Diferencia de 20,14 (679,53)</t>
  </si>
  <si>
    <t>109BasicaFR</t>
  </si>
  <si>
    <t>108BasicaEN</t>
  </si>
  <si>
    <t>106BasicaEN</t>
  </si>
  <si>
    <t>102BasicaEN</t>
  </si>
  <si>
    <t>102AncSeatsEN</t>
  </si>
  <si>
    <t>Diferencia de 1,00 (519,13)</t>
  </si>
  <si>
    <t>108BasicaES</t>
  </si>
  <si>
    <t>Diferencia de 20,14 (657,47)</t>
  </si>
  <si>
    <t>106BasicaES</t>
  </si>
  <si>
    <t>102BasicaES2</t>
  </si>
  <si>
    <t>Diferencia de 0,01 (365,58)</t>
  </si>
  <si>
    <t>102AncSeatsES</t>
  </si>
  <si>
    <t>Diferencia de 1,83</t>
  </si>
  <si>
    <t>102BasicaAmendmentIT</t>
  </si>
  <si>
    <t>El CardFee del hotel no aparece en el Payload pero si es sumado al total</t>
  </si>
  <si>
    <t>102BasicaAmendmentFR</t>
  </si>
  <si>
    <t>102BasicaAmendmentES</t>
  </si>
  <si>
    <t>102BasicaAmendmentEN</t>
  </si>
  <si>
    <t>102BasicaBeforeDiscountsES</t>
  </si>
  <si>
    <t>102BasicaAfterDiscountsES</t>
  </si>
  <si>
    <t>102BasicaAfterMoreDiscountsES</t>
  </si>
  <si>
    <t>102BasicaBeforeDiscountsEN</t>
  </si>
  <si>
    <t>102BasicaAfterDiscountsEN</t>
  </si>
  <si>
    <t>102BasicaBeforeDiscountsFR</t>
  </si>
  <si>
    <t>102BasicaAfterDiscountsFR</t>
  </si>
  <si>
    <t>102BasicaBeforeDiscountsIT</t>
  </si>
  <si>
    <t>102BasicaAfterDiscountsIT</t>
  </si>
  <si>
    <t>FLIGHTS</t>
  </si>
  <si>
    <t>SEATS</t>
  </si>
  <si>
    <t>ANCILLARIES</t>
  </si>
  <si>
    <t>PROMOCODES</t>
  </si>
  <si>
    <t>INFANTES</t>
  </si>
  <si>
    <t>DISTRESSED SEATS</t>
  </si>
  <si>
    <t>TRANSFERS</t>
  </si>
  <si>
    <t>OBSERVATIONS</t>
  </si>
  <si>
    <t>102cancelES05</t>
  </si>
  <si>
    <t>102cancelFR04</t>
  </si>
  <si>
    <t>Diferencia de 0,56 (Este monto se observa como CardFee en Flight que al sumarlo cuadra con lo mostrado en el Payload)</t>
  </si>
  <si>
    <t>75,06 in Payload</t>
  </si>
  <si>
    <t>102cancelES26</t>
  </si>
  <si>
    <t>104cancelESinfant03</t>
  </si>
  <si>
    <t>102canceldsES30</t>
  </si>
  <si>
    <t>102canceltrES22</t>
  </si>
  <si>
    <t>102cancelANC11</t>
  </si>
  <si>
    <t>OJO, despues de un amendment no se puede CANCELAR</t>
  </si>
  <si>
    <t>MARKET ES</t>
  </si>
  <si>
    <t>EUR</t>
  </si>
  <si>
    <t>MARKET UK</t>
  </si>
  <si>
    <t>GBP</t>
  </si>
  <si>
    <t>MARKET FR</t>
  </si>
  <si>
    <t>IT</t>
  </si>
  <si>
    <t>102Cancel08</t>
  </si>
  <si>
    <t>FX</t>
  </si>
  <si>
    <t>102cancelbasico02gbp</t>
  </si>
  <si>
    <t>HBDS-1417, HBDS-1421</t>
  </si>
  <si>
    <t>NRA 16</t>
  </si>
  <si>
    <t>CXLBB2B</t>
  </si>
  <si>
    <t>hotel</t>
  </si>
  <si>
    <t>ServiceFee</t>
  </si>
  <si>
    <t>Creation</t>
  </si>
  <si>
    <t>Cancelation</t>
  </si>
  <si>
    <t>102cancelseats01</t>
  </si>
  <si>
    <t>TotalPRice ( before cancel )</t>
  </si>
  <si>
    <t>HBDS-1478</t>
  </si>
  <si>
    <t>?</t>
  </si>
  <si>
    <t>Seats</t>
  </si>
  <si>
    <t>102CancelANC03</t>
  </si>
  <si>
    <t>102cancelpromocode01</t>
  </si>
  <si>
    <t>HBDS-1419</t>
  </si>
  <si>
    <t>102transcancel03</t>
  </si>
  <si>
    <t>HBDS-1442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</si>
</sst>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2F2F2"/>
      </patternFill>
    </fill>
    <fill>
      <patternFill patternType="solid">
        <fgColor rgb="FFF2F2F2"/>
      </patternFill>
    </fill>
    <fill>
      <patternFill patternType="solid">
        <fgColor rgb="FFF2DCD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8" borderId="23" applyNumberFormat="0" applyAlignment="0" applyProtection="0"/>
  </cellStyleXfs>
  <cellXfs count="156">
    <xf numFmtId="0" fontId="0" fillId="0" borderId="0" xfId="0"/>
    <xf numFmtId="0" fontId="0" fillId="0" borderId="1" xfId="0" applyFill="1" applyBorder="1"/>
    <xf numFmtId="1" fontId="2" fillId="0" borderId="13" xfId="0" applyNumberFormat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2" fillId="5" borderId="16" xfId="0" applyFont="1" applyFill="1" applyBorder="1"/>
    <xf numFmtId="0" fontId="0" fillId="6" borderId="0" xfId="0" applyFill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Border="1"/>
    <xf numFmtId="0" fontId="2" fillId="0" borderId="0" xfId="0" applyFont="1" applyBorder="1"/>
    <xf numFmtId="0" fontId="2" fillId="0" borderId="21" xfId="0" applyFont="1" applyBorder="1"/>
    <xf numFmtId="0" fontId="2" fillId="0" borderId="12" xfId="0" applyFont="1" applyBorder="1"/>
    <xf numFmtId="0" fontId="0" fillId="4" borderId="2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2" xfId="0" applyFill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/>
    <xf numFmtId="0" fontId="0" fillId="0" borderId="21" xfId="0" applyBorder="1"/>
    <xf numFmtId="2" fontId="0" fillId="0" borderId="20" xfId="0" applyNumberFormat="1" applyFill="1" applyBorder="1"/>
    <xf numFmtId="2" fontId="0" fillId="0" borderId="21" xfId="0" applyNumberFormat="1" applyFill="1" applyBorder="1"/>
    <xf numFmtId="2" fontId="0" fillId="5" borderId="12" xfId="0" applyNumberFormat="1" applyFill="1" applyBorder="1"/>
    <xf numFmtId="4" fontId="0" fillId="7" borderId="12" xfId="0" applyNumberFormat="1" applyFill="1" applyBorder="1"/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4" fontId="0" fillId="4" borderId="12" xfId="0" applyNumberFormat="1" applyFill="1" applyBorder="1"/>
    <xf numFmtId="4" fontId="0" fillId="4" borderId="20" xfId="0" applyNumberFormat="1" applyFill="1" applyBorder="1"/>
    <xf numFmtId="1" fontId="0" fillId="0" borderId="20" xfId="0" applyNumberFormat="1" applyBorder="1"/>
    <xf numFmtId="0" fontId="0" fillId="0" borderId="20" xfId="0" applyBorder="1"/>
    <xf numFmtId="0" fontId="0" fillId="0" borderId="12" xfId="0" applyBorder="1"/>
    <xf numFmtId="0" fontId="0" fillId="0" borderId="22" xfId="0" applyBorder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" fontId="0" fillId="3" borderId="15" xfId="0" applyNumberFormat="1" applyFill="1" applyBorder="1"/>
    <xf numFmtId="0" fontId="0" fillId="4" borderId="0" xfId="0" applyFill="1" applyBorder="1"/>
    <xf numFmtId="0" fontId="0" fillId="4" borderId="21" xfId="0" applyFill="1" applyBorder="1"/>
    <xf numFmtId="2" fontId="0" fillId="0" borderId="0" xfId="0" applyNumberFormat="1"/>
    <xf numFmtId="2" fontId="0" fillId="0" borderId="0" xfId="0" applyNumberFormat="1" applyFill="1" applyBorder="1"/>
    <xf numFmtId="4" fontId="0" fillId="0" borderId="0" xfId="0" applyNumberFormat="1" applyFill="1" applyBorder="1"/>
    <xf numFmtId="0" fontId="0" fillId="0" borderId="26" xfId="0" applyBorder="1"/>
    <xf numFmtId="4" fontId="0" fillId="0" borderId="26" xfId="0" applyNumberFormat="1" applyBorder="1"/>
    <xf numFmtId="0" fontId="0" fillId="0" borderId="28" xfId="0" applyBorder="1"/>
    <xf numFmtId="0" fontId="0" fillId="0" borderId="29" xfId="0" applyBorder="1"/>
    <xf numFmtId="4" fontId="0" fillId="0" borderId="29" xfId="0" applyNumberFormat="1" applyBorder="1"/>
    <xf numFmtId="0" fontId="0" fillId="0" borderId="30" xfId="0" applyBorder="1"/>
    <xf numFmtId="4" fontId="0" fillId="3" borderId="0" xfId="0" applyNumberFormat="1" applyFill="1" applyBorder="1"/>
    <xf numFmtId="0" fontId="0" fillId="0" borderId="32" xfId="0" applyBorder="1"/>
    <xf numFmtId="0" fontId="0" fillId="3" borderId="12" xfId="0" applyFont="1" applyFill="1" applyBorder="1"/>
    <xf numFmtId="0" fontId="0" fillId="0" borderId="22" xfId="0" applyFont="1" applyFill="1" applyBorder="1"/>
    <xf numFmtId="1" fontId="0" fillId="0" borderId="20" xfId="0" applyNumberFormat="1" applyFont="1" applyBorder="1"/>
    <xf numFmtId="0" fontId="0" fillId="0" borderId="0" xfId="0" applyFont="1" applyBorder="1"/>
    <xf numFmtId="0" fontId="0" fillId="0" borderId="21" xfId="0" applyFont="1" applyBorder="1"/>
    <xf numFmtId="0" fontId="0" fillId="0" borderId="20" xfId="0" applyFont="1" applyBorder="1"/>
    <xf numFmtId="0" fontId="0" fillId="0" borderId="2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2" xfId="0" applyFont="1" applyBorder="1"/>
    <xf numFmtId="0" fontId="0" fillId="4" borderId="20" xfId="0" applyFont="1" applyFill="1" applyBorder="1"/>
    <xf numFmtId="0" fontId="0" fillId="4" borderId="0" xfId="0" applyFont="1" applyFill="1" applyBorder="1"/>
    <xf numFmtId="0" fontId="0" fillId="4" borderId="21" xfId="0" applyFont="1" applyFill="1" applyBorder="1"/>
    <xf numFmtId="4" fontId="0" fillId="3" borderId="21" xfId="0" applyNumberFormat="1" applyFont="1" applyFill="1" applyBorder="1"/>
    <xf numFmtId="0" fontId="0" fillId="0" borderId="26" xfId="0" applyFont="1" applyBorder="1"/>
    <xf numFmtId="0" fontId="0" fillId="0" borderId="0" xfId="0" applyFont="1"/>
    <xf numFmtId="4" fontId="0" fillId="0" borderId="29" xfId="0" applyNumberFormat="1" applyFont="1" applyBorder="1"/>
    <xf numFmtId="0" fontId="0" fillId="0" borderId="25" xfId="0" applyBorder="1"/>
    <xf numFmtId="0" fontId="0" fillId="0" borderId="25" xfId="0" applyFill="1" applyBorder="1"/>
    <xf numFmtId="2" fontId="0" fillId="0" borderId="20" xfId="0" applyNumberFormat="1" applyFont="1" applyFill="1" applyBorder="1"/>
    <xf numFmtId="2" fontId="0" fillId="5" borderId="12" xfId="0" applyNumberFormat="1" applyFont="1" applyFill="1" applyBorder="1"/>
    <xf numFmtId="4" fontId="0" fillId="7" borderId="12" xfId="0" applyNumberFormat="1" applyFont="1" applyFill="1" applyBorder="1"/>
    <xf numFmtId="4" fontId="0" fillId="4" borderId="12" xfId="0" applyNumberFormat="1" applyFont="1" applyFill="1" applyBorder="1"/>
    <xf numFmtId="4" fontId="0" fillId="3" borderId="0" xfId="0" applyNumberFormat="1" applyFont="1" applyFill="1" applyBorder="1"/>
    <xf numFmtId="0" fontId="0" fillId="0" borderId="29" xfId="0" applyFont="1" applyBorder="1"/>
    <xf numFmtId="4" fontId="0" fillId="0" borderId="0" xfId="0" applyNumberFormat="1" applyFont="1"/>
    <xf numFmtId="0" fontId="4" fillId="0" borderId="26" xfId="0" applyFont="1" applyBorder="1"/>
    <xf numFmtId="4" fontId="6" fillId="2" borderId="26" xfId="1" applyNumberFormat="1" applyFont="1" applyBorder="1"/>
    <xf numFmtId="4" fontId="4" fillId="0" borderId="26" xfId="0" applyNumberFormat="1" applyFont="1" applyBorder="1"/>
    <xf numFmtId="4" fontId="4" fillId="4" borderId="26" xfId="0" applyNumberFormat="1" applyFont="1" applyFill="1" applyBorder="1"/>
    <xf numFmtId="4" fontId="0" fillId="0" borderId="26" xfId="0" applyNumberFormat="1" applyFont="1" applyBorder="1"/>
    <xf numFmtId="4" fontId="0" fillId="4" borderId="26" xfId="0" applyNumberFormat="1" applyFont="1" applyFill="1" applyBorder="1"/>
    <xf numFmtId="4" fontId="5" fillId="0" borderId="26" xfId="1" applyNumberFormat="1" applyFont="1" applyFill="1" applyBorder="1"/>
    <xf numFmtId="0" fontId="4" fillId="9" borderId="26" xfId="0" applyFont="1" applyFill="1" applyBorder="1"/>
    <xf numFmtId="0" fontId="0" fillId="0" borderId="26" xfId="0" applyFont="1" applyFill="1" applyBorder="1"/>
    <xf numFmtId="4" fontId="0" fillId="0" borderId="26" xfId="0" applyNumberFormat="1" applyFont="1" applyFill="1" applyBorder="1"/>
    <xf numFmtId="4" fontId="6" fillId="0" borderId="32" xfId="1" applyNumberFormat="1" applyFont="1" applyFill="1" applyBorder="1"/>
    <xf numFmtId="0" fontId="0" fillId="0" borderId="22" xfId="0" applyFill="1" applyBorder="1"/>
    <xf numFmtId="0" fontId="4" fillId="0" borderId="26" xfId="0" applyFont="1" applyFill="1" applyBorder="1"/>
    <xf numFmtId="4" fontId="0" fillId="0" borderId="20" xfId="0" applyNumberFormat="1" applyFont="1" applyFill="1" applyBorder="1" applyAlignment="1">
      <alignment horizontal="center"/>
    </xf>
    <xf numFmtId="4" fontId="5" fillId="10" borderId="20" xfId="1" applyNumberFormat="1" applyFont="1" applyFill="1" applyBorder="1"/>
    <xf numFmtId="4" fontId="5" fillId="10" borderId="0" xfId="1" applyNumberFormat="1" applyFont="1" applyFill="1" applyBorder="1"/>
    <xf numFmtId="4" fontId="0" fillId="10" borderId="0" xfId="0" applyNumberFormat="1" applyFont="1" applyFill="1" applyBorder="1"/>
    <xf numFmtId="4" fontId="0" fillId="10" borderId="21" xfId="0" applyNumberFormat="1" applyFont="1" applyFill="1" applyBorder="1"/>
    <xf numFmtId="4" fontId="0" fillId="10" borderId="20" xfId="0" applyNumberFormat="1" applyFont="1" applyFill="1" applyBorder="1"/>
    <xf numFmtId="0" fontId="0" fillId="9" borderId="25" xfId="0" applyFill="1" applyBorder="1"/>
    <xf numFmtId="0" fontId="4" fillId="0" borderId="25" xfId="0" applyFont="1" applyBorder="1"/>
    <xf numFmtId="0" fontId="0" fillId="9" borderId="0" xfId="0" applyFill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9" borderId="0" xfId="0" applyFill="1" applyBorder="1"/>
    <xf numFmtId="0" fontId="0" fillId="11" borderId="35" xfId="0" applyFill="1" applyBorder="1"/>
    <xf numFmtId="0" fontId="0" fillId="11" borderId="34" xfId="0" applyFill="1" applyBorder="1"/>
    <xf numFmtId="0" fontId="0" fillId="11" borderId="33" xfId="0" applyFill="1" applyBorder="1"/>
    <xf numFmtId="0" fontId="0" fillId="12" borderId="33" xfId="0" applyFill="1" applyBorder="1"/>
    <xf numFmtId="0" fontId="5" fillId="0" borderId="20" xfId="1" applyFont="1" applyFill="1" applyBorder="1"/>
    <xf numFmtId="0" fontId="0" fillId="0" borderId="20" xfId="0" applyFont="1" applyFill="1" applyBorder="1"/>
    <xf numFmtId="0" fontId="0" fillId="0" borderId="0" xfId="0" applyFont="1" applyFill="1"/>
    <xf numFmtId="0" fontId="2" fillId="0" borderId="37" xfId="0" applyFont="1" applyBorder="1"/>
    <xf numFmtId="0" fontId="0" fillId="0" borderId="37" xfId="0" applyFont="1" applyBorder="1"/>
    <xf numFmtId="0" fontId="0" fillId="0" borderId="37" xfId="0" applyBorder="1"/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3" borderId="5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10" borderId="0" xfId="0" applyFill="1"/>
    <xf numFmtId="0" fontId="3" fillId="10" borderId="0" xfId="2" applyFill="1" applyBorder="1" applyAlignment="1">
      <alignment horizontal="center"/>
    </xf>
    <xf numFmtId="4" fontId="0" fillId="10" borderId="0" xfId="0" applyNumberFormat="1" applyFill="1"/>
    <xf numFmtId="0" fontId="5" fillId="10" borderId="0" xfId="2" applyFont="1" applyFill="1" applyBorder="1" applyAlignment="1">
      <alignment horizontal="center"/>
    </xf>
    <xf numFmtId="4" fontId="0" fillId="10" borderId="0" xfId="0" applyNumberFormat="1" applyFill="1" applyBorder="1"/>
    <xf numFmtId="4" fontId="0" fillId="10" borderId="20" xfId="0" applyNumberFormat="1" applyFill="1" applyBorder="1"/>
    <xf numFmtId="164" fontId="0" fillId="0" borderId="0" xfId="0" applyNumberFormat="1"/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</cellXfs>
  <cellStyles count="3">
    <cellStyle name="Cálculo" xfId="2" builtinId="22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V65"/>
  <sheetViews>
    <sheetView tabSelected="1" zoomScaleNormal="100" workbookViewId="0" xr3:uid="{AEA406A1-0E4B-5B11-9CD5-51D6E497D94C}">
      <pane xSplit="1" topLeftCell="AD1" activePane="bottomRight" state="frozen"/>
      <selection activeCell="AR6" sqref="AR6"/>
      <selection pane="topRight"/>
    </sheetView>
  </sheetViews>
  <sheetFormatPr defaultColWidth="11.42578125" defaultRowHeight="15"/>
  <cols>
    <col min="1" max="1" width="23.28515625" customWidth="1"/>
    <col min="2" max="2" width="7" customWidth="1"/>
    <col min="3" max="3" width="2" style="37" customWidth="1"/>
    <col min="4" max="5" width="9.7109375" customWidth="1"/>
    <col min="6" max="6" width="2" customWidth="1"/>
    <col min="7" max="7" width="9.7109375" customWidth="1"/>
    <col min="8" max="8" width="9.5703125" customWidth="1"/>
    <col min="9" max="9" width="6.42578125" customWidth="1"/>
    <col min="10" max="10" width="3.42578125" customWidth="1"/>
    <col min="11" max="11" width="6.85546875" customWidth="1"/>
    <col min="12" max="13" width="10.140625" customWidth="1"/>
    <col min="14" max="14" width="11.85546875" customWidth="1"/>
    <col min="15" max="15" width="13" customWidth="1"/>
    <col min="16" max="17" width="7.5703125" style="38" customWidth="1"/>
    <col min="18" max="18" width="5" style="38" customWidth="1"/>
    <col min="19" max="19" width="5.85546875" style="38" customWidth="1"/>
    <col min="20" max="20" width="6.7109375" customWidth="1"/>
    <col min="21" max="21" width="3.28515625" customWidth="1"/>
    <col min="22" max="22" width="5.7109375" customWidth="1"/>
    <col min="23" max="23" width="4.28515625" customWidth="1"/>
    <col min="24" max="24" width="5.5703125" customWidth="1"/>
    <col min="25" max="25" width="3.140625" customWidth="1"/>
    <col min="26" max="26" width="6.7109375" customWidth="1"/>
    <col min="27" max="27" width="3.5703125" customWidth="1"/>
    <col min="28" max="28" width="9.42578125" customWidth="1"/>
    <col min="29" max="29" width="6.85546875" customWidth="1"/>
    <col min="30" max="30" width="8.7109375" customWidth="1"/>
    <col min="31" max="31" width="13" customWidth="1"/>
    <col min="32" max="32" width="8.5703125" customWidth="1"/>
    <col min="33" max="33" width="8.28515625" customWidth="1"/>
    <col min="34" max="34" width="8.5703125" customWidth="1"/>
    <col min="35" max="35" width="12.5703125" customWidth="1"/>
    <col min="36" max="36" width="13" customWidth="1"/>
    <col min="37" max="37" width="14.5703125" customWidth="1"/>
    <col min="38" max="38" width="8.42578125" customWidth="1"/>
    <col min="39" max="39" width="6.5703125" style="36" customWidth="1"/>
    <col min="40" max="40" width="11.85546875" customWidth="1"/>
    <col min="41" max="41" width="9.28515625" customWidth="1"/>
    <col min="42" max="42" width="8" customWidth="1"/>
    <col min="43" max="43" width="26" customWidth="1"/>
  </cols>
  <sheetData>
    <row r="1" spans="1:48" s="38" customFormat="1">
      <c r="A1" s="128" t="s">
        <v>0</v>
      </c>
      <c r="B1" s="116" t="s">
        <v>1</v>
      </c>
      <c r="C1" s="137" t="s">
        <v>2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9"/>
      <c r="O1" s="115" t="s">
        <v>3</v>
      </c>
      <c r="P1" s="140" t="s">
        <v>4</v>
      </c>
      <c r="Q1" s="141"/>
      <c r="R1" s="141"/>
      <c r="S1" s="142"/>
      <c r="T1" s="140" t="s">
        <v>5</v>
      </c>
      <c r="U1" s="141"/>
      <c r="V1" s="141"/>
      <c r="W1" s="142"/>
      <c r="X1" s="140" t="s">
        <v>6</v>
      </c>
      <c r="Y1" s="143"/>
      <c r="Z1" s="143"/>
      <c r="AA1" s="144"/>
      <c r="AB1" s="117" t="s">
        <v>7</v>
      </c>
      <c r="AC1" s="118" t="s">
        <v>8</v>
      </c>
      <c r="AD1" s="119" t="s">
        <v>9</v>
      </c>
      <c r="AE1" s="120" t="s">
        <v>10</v>
      </c>
      <c r="AF1" s="115" t="s">
        <v>11</v>
      </c>
      <c r="AG1" s="115" t="s">
        <v>12</v>
      </c>
      <c r="AH1" s="121" t="s">
        <v>13</v>
      </c>
      <c r="AI1" s="122" t="s">
        <v>14</v>
      </c>
      <c r="AJ1" s="122" t="s">
        <v>15</v>
      </c>
      <c r="AK1" s="115" t="s">
        <v>16</v>
      </c>
      <c r="AL1" s="121" t="s">
        <v>17</v>
      </c>
      <c r="AM1" s="123" t="s">
        <v>18</v>
      </c>
      <c r="AN1" s="124" t="s">
        <v>19</v>
      </c>
      <c r="AO1" s="125" t="s">
        <v>20</v>
      </c>
      <c r="AP1" s="126" t="s">
        <v>21</v>
      </c>
      <c r="AQ1" s="127" t="s">
        <v>22</v>
      </c>
    </row>
    <row r="2" spans="1:48">
      <c r="A2" s="1"/>
      <c r="B2" s="53"/>
      <c r="C2" s="2"/>
      <c r="D2" s="3" t="s">
        <v>23</v>
      </c>
      <c r="E2" s="3" t="s">
        <v>24</v>
      </c>
      <c r="F2" s="3"/>
      <c r="G2" s="3" t="s">
        <v>25</v>
      </c>
      <c r="H2" s="4" t="s">
        <v>26</v>
      </c>
      <c r="I2" s="5" t="s">
        <v>27</v>
      </c>
      <c r="J2" s="3" t="s">
        <v>28</v>
      </c>
      <c r="K2" s="4" t="s">
        <v>29</v>
      </c>
      <c r="L2" s="5" t="s">
        <v>30</v>
      </c>
      <c r="M2" s="4" t="s">
        <v>31</v>
      </c>
      <c r="N2" s="6" t="s">
        <v>32</v>
      </c>
      <c r="O2" s="7"/>
      <c r="P2" s="8" t="s">
        <v>33</v>
      </c>
      <c r="Q2" s="9" t="s">
        <v>34</v>
      </c>
      <c r="R2" s="9" t="s">
        <v>35</v>
      </c>
      <c r="S2" s="10" t="s">
        <v>36</v>
      </c>
      <c r="T2" s="11" t="s">
        <v>37</v>
      </c>
      <c r="U2" s="12"/>
      <c r="V2" s="12" t="s">
        <v>38</v>
      </c>
      <c r="W2" s="12"/>
      <c r="X2" s="11" t="s">
        <v>37</v>
      </c>
      <c r="Y2" s="12"/>
      <c r="Z2" s="12" t="s">
        <v>38</v>
      </c>
      <c r="AA2" s="13"/>
      <c r="AB2" s="14"/>
      <c r="AC2" s="112"/>
      <c r="AD2" s="12"/>
      <c r="AE2" s="30"/>
      <c r="AF2" s="15"/>
      <c r="AG2" s="16"/>
      <c r="AH2" s="17"/>
      <c r="AI2" s="17"/>
      <c r="AJ2" s="40"/>
      <c r="AK2" s="40"/>
      <c r="AL2" s="41"/>
      <c r="AM2" s="39"/>
      <c r="AN2" s="51"/>
      <c r="AO2" s="47"/>
      <c r="AP2" s="45"/>
      <c r="AQ2" s="79"/>
    </row>
    <row r="3" spans="1:48">
      <c r="A3" s="54"/>
      <c r="B3" s="53"/>
      <c r="C3" s="55"/>
      <c r="D3" s="56"/>
      <c r="E3" s="56">
        <f t="shared" ref="E3:E5" si="0">D3*C3</f>
        <v>0</v>
      </c>
      <c r="F3" s="56"/>
      <c r="G3" s="56"/>
      <c r="H3" s="57">
        <f t="shared" ref="H3:H5" si="1">G3*F3</f>
        <v>0</v>
      </c>
      <c r="I3" s="58"/>
      <c r="J3" s="56"/>
      <c r="K3" s="57"/>
      <c r="L3" s="72">
        <f>E3+ H3 + I3 * 4 +K3</f>
        <v>0</v>
      </c>
      <c r="M3" s="57"/>
      <c r="N3" s="73">
        <f t="shared" ref="N3:N5" si="2">(L3* M3)</f>
        <v>0</v>
      </c>
      <c r="O3" s="74">
        <f xml:space="preserve">  B3 +N3</f>
        <v>0</v>
      </c>
      <c r="P3" s="59"/>
      <c r="Q3" s="60"/>
      <c r="R3" s="60"/>
      <c r="S3" s="61"/>
      <c r="T3" s="58"/>
      <c r="U3" s="56"/>
      <c r="V3" s="56"/>
      <c r="W3" s="56"/>
      <c r="X3" s="58"/>
      <c r="Y3" s="56"/>
      <c r="Z3" s="56"/>
      <c r="AA3" s="57"/>
      <c r="AB3" s="62"/>
      <c r="AC3" s="113"/>
      <c r="AD3" s="56"/>
      <c r="AE3" s="75">
        <f t="shared" ref="AE3:AE5" si="3">O3 + Q3 + ((T3*U3) + (V3*W3)) + ( (X3*Y3) + (Z3*AA3)) + (AB3-AC3)+AD3</f>
        <v>0</v>
      </c>
      <c r="AF3" s="63"/>
      <c r="AG3" s="63"/>
      <c r="AH3" s="64"/>
      <c r="AI3" s="64"/>
      <c r="AJ3" s="64"/>
      <c r="AK3" s="64"/>
      <c r="AL3" s="65"/>
      <c r="AM3" s="66"/>
      <c r="AN3" s="76">
        <f t="shared" ref="AN3:AN5" si="4">AG3+ AF3+ AH3 + AI3 + AJ3 + AK3 + AL3+AE3 + AM3</f>
        <v>0</v>
      </c>
      <c r="AO3" s="77"/>
      <c r="AP3" s="67"/>
      <c r="AQ3" s="79"/>
      <c r="AR3" s="68"/>
      <c r="AS3" s="68"/>
      <c r="AT3" s="68"/>
      <c r="AU3" s="68"/>
      <c r="AV3" s="68"/>
    </row>
    <row r="4" spans="1:48">
      <c r="A4" s="54"/>
      <c r="B4" s="53"/>
      <c r="C4" s="55"/>
      <c r="D4" s="56"/>
      <c r="E4" s="56">
        <f t="shared" si="0"/>
        <v>0</v>
      </c>
      <c r="F4" s="56"/>
      <c r="G4" s="56"/>
      <c r="H4" s="57">
        <f t="shared" si="1"/>
        <v>0</v>
      </c>
      <c r="I4" s="58"/>
      <c r="J4" s="56"/>
      <c r="K4" s="57"/>
      <c r="L4" s="72">
        <f t="shared" ref="L4:L5" si="5">E4+ H4 + I4 * 4 +K4</f>
        <v>0</v>
      </c>
      <c r="M4" s="57"/>
      <c r="N4" s="73">
        <f t="shared" si="2"/>
        <v>0</v>
      </c>
      <c r="O4" s="74">
        <f t="shared" ref="O4:O5" si="6" xml:space="preserve">  B4 +N4</f>
        <v>0</v>
      </c>
      <c r="P4" s="59"/>
      <c r="Q4" s="60"/>
      <c r="R4" s="60"/>
      <c r="S4" s="61"/>
      <c r="T4" s="58"/>
      <c r="U4" s="56"/>
      <c r="V4" s="56"/>
      <c r="W4" s="56"/>
      <c r="X4" s="58"/>
      <c r="Y4" s="56"/>
      <c r="Z4" s="56"/>
      <c r="AA4" s="57"/>
      <c r="AB4" s="62"/>
      <c r="AC4" s="113"/>
      <c r="AD4" s="56"/>
      <c r="AE4" s="75">
        <f t="shared" si="3"/>
        <v>0</v>
      </c>
      <c r="AF4" s="63"/>
      <c r="AG4" s="63"/>
      <c r="AH4" s="64"/>
      <c r="AI4" s="64"/>
      <c r="AJ4" s="64"/>
      <c r="AK4" s="64"/>
      <c r="AL4" s="65"/>
      <c r="AM4" s="66"/>
      <c r="AN4" s="76">
        <f t="shared" si="4"/>
        <v>0</v>
      </c>
      <c r="AO4" s="77"/>
      <c r="AP4" s="67"/>
      <c r="AQ4" s="79"/>
      <c r="AR4" s="68"/>
      <c r="AS4" s="68"/>
      <c r="AT4" s="68"/>
      <c r="AU4" s="68"/>
      <c r="AV4" s="68"/>
    </row>
    <row r="5" spans="1:48">
      <c r="A5" s="54"/>
      <c r="B5" s="53"/>
      <c r="C5" s="55"/>
      <c r="D5" s="56"/>
      <c r="E5" s="56">
        <f t="shared" si="0"/>
        <v>0</v>
      </c>
      <c r="F5" s="56"/>
      <c r="G5" s="56"/>
      <c r="H5" s="57">
        <f t="shared" si="1"/>
        <v>0</v>
      </c>
      <c r="I5" s="58"/>
      <c r="J5" s="56"/>
      <c r="K5" s="57"/>
      <c r="L5" s="72">
        <f t="shared" si="5"/>
        <v>0</v>
      </c>
      <c r="M5" s="57"/>
      <c r="N5" s="73">
        <f t="shared" si="2"/>
        <v>0</v>
      </c>
      <c r="O5" s="74">
        <f t="shared" si="6"/>
        <v>0</v>
      </c>
      <c r="P5" s="59"/>
      <c r="Q5" s="60"/>
      <c r="R5" s="60"/>
      <c r="S5" s="61"/>
      <c r="T5" s="58"/>
      <c r="U5" s="56"/>
      <c r="V5" s="56"/>
      <c r="W5" s="56"/>
      <c r="X5" s="58"/>
      <c r="Y5" s="56"/>
      <c r="Z5" s="56"/>
      <c r="AA5" s="57"/>
      <c r="AB5" s="62"/>
      <c r="AC5" s="113"/>
      <c r="AD5" s="56"/>
      <c r="AE5" s="75">
        <f t="shared" si="3"/>
        <v>0</v>
      </c>
      <c r="AF5" s="63"/>
      <c r="AG5" s="63"/>
      <c r="AH5" s="64"/>
      <c r="AI5" s="64"/>
      <c r="AJ5" s="64"/>
      <c r="AK5" s="64"/>
      <c r="AL5" s="65"/>
      <c r="AM5" s="66"/>
      <c r="AN5" s="76">
        <f t="shared" si="4"/>
        <v>0</v>
      </c>
      <c r="AO5" s="77"/>
      <c r="AP5" s="67"/>
      <c r="AQ5" s="79"/>
      <c r="AR5" s="68"/>
      <c r="AS5" s="68"/>
      <c r="AT5" s="68"/>
      <c r="AU5" s="68"/>
      <c r="AV5" s="68"/>
    </row>
    <row r="6" spans="1:48">
      <c r="A6" s="54" t="s">
        <v>39</v>
      </c>
      <c r="B6" s="53">
        <v>158.43</v>
      </c>
      <c r="C6" s="55">
        <v>2</v>
      </c>
      <c r="D6" s="56">
        <v>67.989999999999995</v>
      </c>
      <c r="E6" s="56">
        <f t="shared" ref="E6" si="7">D6*C6</f>
        <v>135.97999999999999</v>
      </c>
      <c r="F6" s="56">
        <v>2</v>
      </c>
      <c r="G6" s="56">
        <v>42.99</v>
      </c>
      <c r="H6" s="57">
        <f t="shared" ref="H6" si="8">G6*F6</f>
        <v>85.98</v>
      </c>
      <c r="I6" s="58"/>
      <c r="J6" s="56"/>
      <c r="K6" s="57">
        <v>18.260000000000002</v>
      </c>
      <c r="L6" s="72">
        <f>E6+ H6 + I6 * 4 +K6</f>
        <v>240.21999999999997</v>
      </c>
      <c r="M6" s="57">
        <v>1.01</v>
      </c>
      <c r="N6" s="73">
        <f t="shared" ref="N6" si="9">(L6* M6)</f>
        <v>242.62219999999996</v>
      </c>
      <c r="O6" s="74">
        <f xml:space="preserve">  B6 +N6</f>
        <v>401.05219999999997</v>
      </c>
      <c r="P6" s="59"/>
      <c r="Q6" s="60">
        <v>13.44</v>
      </c>
      <c r="R6" s="60"/>
      <c r="S6" s="61"/>
      <c r="T6" s="58">
        <v>40.4</v>
      </c>
      <c r="U6" s="56">
        <v>1</v>
      </c>
      <c r="V6" s="56">
        <v>20.2</v>
      </c>
      <c r="W6" s="56">
        <v>2</v>
      </c>
      <c r="X6" s="58">
        <v>40.4</v>
      </c>
      <c r="Y6" s="56">
        <v>1</v>
      </c>
      <c r="Z6" s="56">
        <v>19.190000000000001</v>
      </c>
      <c r="AA6" s="57">
        <v>2</v>
      </c>
      <c r="AB6" s="62">
        <f>(12.11*2)+(4.03*2)</f>
        <v>32.28</v>
      </c>
      <c r="AC6" s="113">
        <f>121.05+1.92</f>
        <v>122.97</v>
      </c>
      <c r="AD6" s="56"/>
      <c r="AE6" s="75">
        <f>O6 + Q6 + ((T6*U6) + (V6*W6)) + ( (X6*Y6) + (Z6*AA6)) + AB6+AD6-AC6</f>
        <v>483.3821999999999</v>
      </c>
      <c r="AF6" s="63"/>
      <c r="AG6" s="63"/>
      <c r="AH6" s="64"/>
      <c r="AI6" s="64"/>
      <c r="AJ6" s="64"/>
      <c r="AK6" s="64"/>
      <c r="AL6" s="65"/>
      <c r="AM6" s="66">
        <v>10</v>
      </c>
      <c r="AN6" s="76">
        <f t="shared" ref="AN6" si="10">AG6+ AF6+ AH6 + AI6 + AJ6 + AK6 + AL6+AE6 + AM6</f>
        <v>493.3821999999999</v>
      </c>
      <c r="AO6" s="77"/>
      <c r="AP6" s="67"/>
      <c r="AQ6" s="79" t="s">
        <v>40</v>
      </c>
      <c r="AR6" s="78">
        <f>AN6-489.5</f>
        <v>3.882199999999898</v>
      </c>
      <c r="AS6" s="78">
        <f>489.5-401.05</f>
        <v>88.449999999999989</v>
      </c>
      <c r="AT6" s="78"/>
      <c r="AU6" s="68"/>
      <c r="AV6" s="68"/>
    </row>
    <row r="7" spans="1:48">
      <c r="A7" s="54" t="s">
        <v>41</v>
      </c>
      <c r="B7" s="53">
        <v>156.86000000000001</v>
      </c>
      <c r="C7" s="55">
        <v>2</v>
      </c>
      <c r="D7" s="56">
        <f>13+3.3</f>
        <v>16.3</v>
      </c>
      <c r="E7" s="56">
        <f t="shared" ref="E7:E14" si="11">D7*C7</f>
        <v>32.6</v>
      </c>
      <c r="F7" s="56">
        <v>2</v>
      </c>
      <c r="G7" s="56">
        <v>148.99</v>
      </c>
      <c r="H7" s="57">
        <f t="shared" ref="H7:H14" si="12">G7*F7</f>
        <v>297.98</v>
      </c>
      <c r="I7" s="58"/>
      <c r="J7" s="56"/>
      <c r="K7" s="57">
        <v>19.850000000000001</v>
      </c>
      <c r="L7" s="72">
        <f>E7+ H7 + I7 * 4 +K7</f>
        <v>350.43000000000006</v>
      </c>
      <c r="M7" s="57">
        <v>1</v>
      </c>
      <c r="N7" s="73">
        <f t="shared" ref="N7:N14" si="13">(L7* M7)</f>
        <v>350.43000000000006</v>
      </c>
      <c r="O7" s="74">
        <f xml:space="preserve">  B7 +N7</f>
        <v>507.29000000000008</v>
      </c>
      <c r="P7" s="59"/>
      <c r="Q7" s="60">
        <v>21.96</v>
      </c>
      <c r="R7" s="60"/>
      <c r="S7" s="61"/>
      <c r="T7" s="58"/>
      <c r="U7" s="56"/>
      <c r="V7" s="56"/>
      <c r="W7" s="56"/>
      <c r="X7" s="58"/>
      <c r="Y7" s="56"/>
      <c r="Z7" s="56"/>
      <c r="AA7" s="57"/>
      <c r="AB7" s="62"/>
      <c r="AC7" s="113"/>
      <c r="AD7" s="56"/>
      <c r="AE7" s="75">
        <f t="shared" ref="AE7:AE15" si="14">O7 + Q7 + ((T7*U7) + (V7*W7)) + ( (X7*Y7) + (Z7*AA7)) + (AB7-AC7)+AD7</f>
        <v>529.25000000000011</v>
      </c>
      <c r="AF7" s="63"/>
      <c r="AG7" s="63">
        <v>3.5</v>
      </c>
      <c r="AH7" s="64">
        <v>1.79</v>
      </c>
      <c r="AI7" s="64"/>
      <c r="AJ7" s="64"/>
      <c r="AK7" s="64"/>
      <c r="AL7" s="65">
        <v>0.1</v>
      </c>
      <c r="AM7" s="66">
        <v>9.8000000000000007</v>
      </c>
      <c r="AN7" s="76">
        <f t="shared" ref="AN7:AN14" si="15">AG7+ AF7+ AH7 + AI7 + AJ7 + AK7 + AL7+AE7 + AM7</f>
        <v>544.44000000000005</v>
      </c>
      <c r="AO7" s="77"/>
      <c r="AP7" s="67"/>
      <c r="AQ7" s="86" t="s">
        <v>42</v>
      </c>
      <c r="AR7" s="68"/>
      <c r="AS7" s="68"/>
      <c r="AT7" s="68"/>
      <c r="AU7" s="68"/>
      <c r="AV7" s="68"/>
    </row>
    <row r="8" spans="1:48">
      <c r="A8" s="54" t="s">
        <v>43</v>
      </c>
      <c r="B8" s="53">
        <v>158.43</v>
      </c>
      <c r="C8" s="55">
        <v>2</v>
      </c>
      <c r="D8" s="56">
        <f>13+3.3</f>
        <v>16.3</v>
      </c>
      <c r="E8" s="56">
        <f t="shared" ref="E8:E10" si="16">D8*C8</f>
        <v>32.6</v>
      </c>
      <c r="F8" s="56">
        <v>2</v>
      </c>
      <c r="G8" s="56">
        <v>148.99</v>
      </c>
      <c r="H8" s="57">
        <f t="shared" ref="H8:H10" si="17">G8*F8</f>
        <v>297.98</v>
      </c>
      <c r="I8" s="58"/>
      <c r="J8" s="56"/>
      <c r="K8" s="57">
        <v>19.850000000000001</v>
      </c>
      <c r="L8" s="72">
        <f>E8+ H8 + I8 * 4 +K8</f>
        <v>350.43000000000006</v>
      </c>
      <c r="M8" s="57">
        <v>1.01</v>
      </c>
      <c r="N8" s="73">
        <f t="shared" ref="N8:N9" si="18">(L8* M8)</f>
        <v>353.93430000000006</v>
      </c>
      <c r="O8" s="74">
        <f xml:space="preserve">  B8 +N8</f>
        <v>512.36430000000007</v>
      </c>
      <c r="P8" s="59"/>
      <c r="Q8" s="60">
        <v>7.92</v>
      </c>
      <c r="R8" s="60"/>
      <c r="S8" s="61"/>
      <c r="T8" s="58"/>
      <c r="U8" s="56"/>
      <c r="V8" s="56"/>
      <c r="W8" s="56"/>
      <c r="X8" s="58"/>
      <c r="Y8" s="56"/>
      <c r="Z8" s="56"/>
      <c r="AA8" s="57"/>
      <c r="AB8" s="62"/>
      <c r="AC8" s="113"/>
      <c r="AD8" s="56"/>
      <c r="AE8" s="75">
        <f t="shared" ref="AE8:AE10" si="19">O8 + Q8 + ((T8*U8) + (V8*W8)) + ( (X8*Y8) + (Z8*AA8)) + (AB8-AC8)+AD8</f>
        <v>520.28430000000003</v>
      </c>
      <c r="AF8" s="63"/>
      <c r="AG8" s="63">
        <v>3.54</v>
      </c>
      <c r="AH8" s="64">
        <v>1.66</v>
      </c>
      <c r="AI8" s="64"/>
      <c r="AJ8" s="64"/>
      <c r="AK8" s="64"/>
      <c r="AL8" s="65">
        <v>0.12</v>
      </c>
      <c r="AM8" s="66">
        <v>12</v>
      </c>
      <c r="AN8" s="76">
        <f t="shared" ref="AN8:AN10" si="20">AG8+ AF8+ AH8 + AI8 + AJ8 + AK8 + AL8+AE8 + AM8</f>
        <v>537.60430000000008</v>
      </c>
      <c r="AO8" s="77"/>
      <c r="AP8" s="67"/>
      <c r="AQ8" s="86" t="s">
        <v>44</v>
      </c>
      <c r="AR8" s="68"/>
      <c r="AS8" s="68"/>
      <c r="AT8" s="68"/>
      <c r="AU8" s="68"/>
      <c r="AV8" s="68"/>
    </row>
    <row r="9" spans="1:48">
      <c r="A9" s="54" t="s">
        <v>45</v>
      </c>
      <c r="B9" s="53">
        <v>156.86000000000001</v>
      </c>
      <c r="C9" s="55">
        <v>2</v>
      </c>
      <c r="D9" s="56">
        <f>13+3.3</f>
        <v>16.3</v>
      </c>
      <c r="E9" s="56">
        <f t="shared" si="16"/>
        <v>32.6</v>
      </c>
      <c r="F9" s="56">
        <v>2</v>
      </c>
      <c r="G9" s="56">
        <v>148.99</v>
      </c>
      <c r="H9" s="57">
        <f t="shared" si="17"/>
        <v>297.98</v>
      </c>
      <c r="I9" s="58"/>
      <c r="J9" s="56"/>
      <c r="K9" s="57">
        <v>19.850000000000001</v>
      </c>
      <c r="L9" s="72">
        <f>E9+ H9 + I9 * 4 +K9</f>
        <v>350.43000000000006</v>
      </c>
      <c r="M9" s="57">
        <v>1</v>
      </c>
      <c r="N9" s="73">
        <f>(L9* M9)</f>
        <v>350.43000000000006</v>
      </c>
      <c r="O9" s="74">
        <f xml:space="preserve">  B9 +N9</f>
        <v>507.29000000000008</v>
      </c>
      <c r="P9" s="92"/>
      <c r="Q9" s="60">
        <v>14.57</v>
      </c>
      <c r="R9" s="60"/>
      <c r="S9" s="61"/>
      <c r="T9" s="58"/>
      <c r="U9" s="56"/>
      <c r="V9" s="56"/>
      <c r="W9" s="56"/>
      <c r="X9" s="58"/>
      <c r="Y9" s="56"/>
      <c r="Z9" s="56"/>
      <c r="AA9" s="57"/>
      <c r="AB9" s="62"/>
      <c r="AC9" s="113"/>
      <c r="AD9" s="56"/>
      <c r="AE9" s="75">
        <f t="shared" si="19"/>
        <v>521.86000000000013</v>
      </c>
      <c r="AF9" s="63">
        <v>5</v>
      </c>
      <c r="AG9" s="63"/>
      <c r="AH9" s="64"/>
      <c r="AI9" s="64"/>
      <c r="AJ9" s="64"/>
      <c r="AK9" s="64"/>
      <c r="AL9" s="65"/>
      <c r="AM9" s="66">
        <v>10</v>
      </c>
      <c r="AN9" s="76">
        <f t="shared" si="20"/>
        <v>536.86000000000013</v>
      </c>
      <c r="AO9" s="77"/>
      <c r="AP9" s="67"/>
      <c r="AQ9" s="86" t="s">
        <v>44</v>
      </c>
      <c r="AR9" s="68"/>
      <c r="AS9" s="68"/>
      <c r="AT9" s="68"/>
      <c r="AU9" s="68"/>
      <c r="AV9" s="68"/>
    </row>
    <row r="10" spans="1:48" s="68" customFormat="1">
      <c r="A10" s="54" t="s">
        <v>46</v>
      </c>
      <c r="B10" s="53">
        <v>158.43</v>
      </c>
      <c r="C10" s="55">
        <v>2</v>
      </c>
      <c r="D10" s="56">
        <f>13+3.3</f>
        <v>16.3</v>
      </c>
      <c r="E10" s="56">
        <f t="shared" si="16"/>
        <v>32.6</v>
      </c>
      <c r="F10" s="56">
        <v>2</v>
      </c>
      <c r="G10" s="56">
        <v>148.99</v>
      </c>
      <c r="H10" s="57">
        <f t="shared" si="17"/>
        <v>297.98</v>
      </c>
      <c r="I10" s="58"/>
      <c r="J10" s="56"/>
      <c r="K10" s="57">
        <v>19.850000000000001</v>
      </c>
      <c r="L10" s="72">
        <f>E10+ H10 + I10 * 4 +K10</f>
        <v>350.43000000000006</v>
      </c>
      <c r="M10" s="57">
        <v>1.01</v>
      </c>
      <c r="N10" s="73">
        <f>(L10* M10)</f>
        <v>353.93430000000006</v>
      </c>
      <c r="O10" s="74">
        <f xml:space="preserve">  B10 +N10</f>
        <v>512.36430000000007</v>
      </c>
      <c r="P10" s="92"/>
      <c r="Q10" s="60">
        <v>40.1</v>
      </c>
      <c r="R10" s="60"/>
      <c r="S10" s="61"/>
      <c r="T10" s="58"/>
      <c r="U10" s="56"/>
      <c r="V10" s="56"/>
      <c r="W10" s="56"/>
      <c r="X10" s="58"/>
      <c r="Y10" s="56"/>
      <c r="Z10" s="56"/>
      <c r="AA10" s="57"/>
      <c r="AB10" s="62"/>
      <c r="AC10" s="113"/>
      <c r="AD10" s="56"/>
      <c r="AE10" s="75">
        <f t="shared" si="19"/>
        <v>552.46430000000009</v>
      </c>
      <c r="AF10" s="63"/>
      <c r="AG10" s="63"/>
      <c r="AH10" s="64"/>
      <c r="AI10" s="64"/>
      <c r="AJ10" s="64"/>
      <c r="AK10" s="64"/>
      <c r="AL10" s="65"/>
      <c r="AM10" s="66">
        <v>10</v>
      </c>
      <c r="AN10" s="76">
        <f t="shared" si="20"/>
        <v>562.46430000000009</v>
      </c>
      <c r="AO10" s="69"/>
      <c r="AP10" s="67"/>
      <c r="AQ10" s="86" t="s">
        <v>44</v>
      </c>
    </row>
    <row r="11" spans="1:48">
      <c r="A11" s="54" t="s">
        <v>47</v>
      </c>
      <c r="B11" s="53">
        <v>232.28</v>
      </c>
      <c r="C11" s="55">
        <v>2</v>
      </c>
      <c r="D11" s="56">
        <v>136.49</v>
      </c>
      <c r="E11" s="56">
        <f t="shared" si="11"/>
        <v>272.98</v>
      </c>
      <c r="F11" s="56">
        <v>2</v>
      </c>
      <c r="G11" s="56">
        <v>148.99</v>
      </c>
      <c r="H11" s="57">
        <f t="shared" si="12"/>
        <v>297.98</v>
      </c>
      <c r="I11" s="58">
        <v>22</v>
      </c>
      <c r="J11" s="56">
        <v>4</v>
      </c>
      <c r="K11" s="57">
        <v>20.73</v>
      </c>
      <c r="L11" s="72">
        <f>E11+ H11 + I11 * 4 +K11</f>
        <v>679.69</v>
      </c>
      <c r="M11" s="57">
        <v>1.01</v>
      </c>
      <c r="N11" s="73">
        <f t="shared" si="13"/>
        <v>686.48690000000011</v>
      </c>
      <c r="O11" s="74">
        <f xml:space="preserve">  B11 +N11</f>
        <v>918.76690000000008</v>
      </c>
      <c r="P11" s="59"/>
      <c r="Q11" s="60">
        <v>17.2</v>
      </c>
      <c r="R11" s="60"/>
      <c r="S11" s="61"/>
      <c r="T11" s="58"/>
      <c r="U11" s="56"/>
      <c r="V11" s="56"/>
      <c r="W11" s="56"/>
      <c r="X11" s="58"/>
      <c r="Y11" s="56"/>
      <c r="Z11" s="56"/>
      <c r="AA11" s="57"/>
      <c r="AB11" s="62"/>
      <c r="AC11" s="113"/>
      <c r="AD11" s="56"/>
      <c r="AE11" s="75">
        <f t="shared" si="14"/>
        <v>935.96690000000012</v>
      </c>
      <c r="AF11" s="63"/>
      <c r="AG11" s="63"/>
      <c r="AH11" s="64"/>
      <c r="AI11" s="64"/>
      <c r="AJ11" s="64"/>
      <c r="AK11" s="64"/>
      <c r="AL11" s="65"/>
      <c r="AM11" s="66">
        <v>10</v>
      </c>
      <c r="AN11" s="76">
        <f t="shared" si="15"/>
        <v>945.96690000000012</v>
      </c>
      <c r="AO11" s="77"/>
      <c r="AP11" s="67"/>
      <c r="AQ11" s="86" t="s">
        <v>48</v>
      </c>
      <c r="AR11" s="78"/>
      <c r="AS11" s="68"/>
      <c r="AT11" s="78"/>
      <c r="AU11" s="68"/>
      <c r="AV11" s="68"/>
    </row>
    <row r="12" spans="1:48">
      <c r="A12" s="54" t="s">
        <v>49</v>
      </c>
      <c r="B12" s="53">
        <v>229.98</v>
      </c>
      <c r="C12" s="55">
        <v>2</v>
      </c>
      <c r="D12" s="56">
        <v>136.49</v>
      </c>
      <c r="E12" s="56">
        <f t="shared" ref="E12" si="21">D12*C12</f>
        <v>272.98</v>
      </c>
      <c r="F12" s="56">
        <v>2</v>
      </c>
      <c r="G12" s="56">
        <v>148.99</v>
      </c>
      <c r="H12" s="57">
        <f t="shared" ref="H12" si="22">G12*F12</f>
        <v>297.98</v>
      </c>
      <c r="I12" s="58">
        <v>22</v>
      </c>
      <c r="J12" s="56">
        <v>4</v>
      </c>
      <c r="K12" s="57">
        <v>20.73</v>
      </c>
      <c r="L12" s="72">
        <f>E12+ H12 + I12 * 4 +K12</f>
        <v>679.69</v>
      </c>
      <c r="M12" s="57">
        <v>1</v>
      </c>
      <c r="N12" s="73">
        <f t="shared" ref="N12" si="23">(L12* M12)</f>
        <v>679.69</v>
      </c>
      <c r="O12" s="74">
        <f xml:space="preserve">  B12 +N12</f>
        <v>909.67000000000007</v>
      </c>
      <c r="P12" s="59"/>
      <c r="Q12" s="60">
        <v>14.1</v>
      </c>
      <c r="R12" s="60"/>
      <c r="S12" s="61"/>
      <c r="T12" s="58"/>
      <c r="U12" s="56"/>
      <c r="V12" s="56"/>
      <c r="W12" s="56"/>
      <c r="X12" s="58"/>
      <c r="Y12" s="56"/>
      <c r="Z12" s="56"/>
      <c r="AA12" s="57"/>
      <c r="AB12" s="62"/>
      <c r="AC12" s="113"/>
      <c r="AD12" s="56"/>
      <c r="AE12" s="75">
        <f t="shared" ref="AE12" si="24">O12 + Q12 + ((T12*U12) + (V12*W12)) + ( (X12*Y12) + (Z12*AA12)) + (AB12-AC12)+AD12</f>
        <v>923.7700000000001</v>
      </c>
      <c r="AF12" s="63">
        <v>10</v>
      </c>
      <c r="AG12" s="63"/>
      <c r="AH12" s="64"/>
      <c r="AI12" s="64"/>
      <c r="AJ12" s="64"/>
      <c r="AK12" s="64"/>
      <c r="AL12" s="65"/>
      <c r="AM12" s="66">
        <v>10</v>
      </c>
      <c r="AN12" s="76">
        <f t="shared" ref="AN12" si="25">AG12+ AF12+ AH12 + AI12 + AJ12 + AK12 + AL12+AE12 + AM12</f>
        <v>943.7700000000001</v>
      </c>
      <c r="AO12" s="77"/>
      <c r="AP12" s="67"/>
      <c r="AQ12" s="86" t="s">
        <v>48</v>
      </c>
      <c r="AR12" s="78"/>
      <c r="AS12" s="68"/>
      <c r="AT12" s="68"/>
      <c r="AU12" s="68"/>
      <c r="AV12" s="68"/>
    </row>
    <row r="13" spans="1:48">
      <c r="A13" s="54" t="s">
        <v>50</v>
      </c>
      <c r="B13" s="53">
        <v>232.28</v>
      </c>
      <c r="C13" s="55">
        <v>2</v>
      </c>
      <c r="D13" s="56">
        <v>136.49</v>
      </c>
      <c r="E13" s="56">
        <f t="shared" si="11"/>
        <v>272.98</v>
      </c>
      <c r="F13" s="56">
        <v>2</v>
      </c>
      <c r="G13" s="56">
        <v>148.99</v>
      </c>
      <c r="H13" s="57">
        <f t="shared" si="12"/>
        <v>297.98</v>
      </c>
      <c r="I13" s="58">
        <v>22</v>
      </c>
      <c r="J13" s="56">
        <v>2</v>
      </c>
      <c r="K13" s="57">
        <v>20.73</v>
      </c>
      <c r="L13" s="72">
        <f>E13+ H13 + I13 * 4 +K13</f>
        <v>679.69</v>
      </c>
      <c r="M13" s="57">
        <v>1.01</v>
      </c>
      <c r="N13" s="73">
        <f t="shared" si="13"/>
        <v>686.48690000000011</v>
      </c>
      <c r="O13" s="74">
        <f xml:space="preserve">  B13 +N13</f>
        <v>918.76690000000008</v>
      </c>
      <c r="P13" s="59"/>
      <c r="Q13" s="60">
        <v>12.62</v>
      </c>
      <c r="R13" s="60"/>
      <c r="S13" s="61"/>
      <c r="T13" s="58"/>
      <c r="U13" s="56"/>
      <c r="V13" s="56"/>
      <c r="W13" s="56"/>
      <c r="X13" s="58"/>
      <c r="Y13" s="56"/>
      <c r="Z13" s="56"/>
      <c r="AA13" s="57"/>
      <c r="AB13" s="62"/>
      <c r="AC13" s="113"/>
      <c r="AD13" s="56"/>
      <c r="AE13" s="75">
        <f t="shared" si="14"/>
        <v>931.38690000000008</v>
      </c>
      <c r="AF13" s="63"/>
      <c r="AG13" s="63">
        <v>6.86</v>
      </c>
      <c r="AH13" s="64">
        <v>2.65</v>
      </c>
      <c r="AI13" s="64"/>
      <c r="AJ13" s="64"/>
      <c r="AK13" s="64"/>
      <c r="AL13" s="65">
        <v>0.12</v>
      </c>
      <c r="AM13" s="66">
        <v>12</v>
      </c>
      <c r="AN13" s="76">
        <f t="shared" si="15"/>
        <v>953.01690000000008</v>
      </c>
      <c r="AO13" s="69"/>
      <c r="AP13" s="67"/>
      <c r="AQ13" s="91"/>
      <c r="AR13" s="68"/>
      <c r="AS13" s="68"/>
      <c r="AT13" s="68"/>
      <c r="AU13" s="68"/>
      <c r="AV13" s="68"/>
    </row>
    <row r="14" spans="1:48">
      <c r="A14" s="54" t="s">
        <v>51</v>
      </c>
      <c r="B14" s="53">
        <v>232.28</v>
      </c>
      <c r="C14" s="55">
        <v>2</v>
      </c>
      <c r="D14" s="56">
        <v>136.49</v>
      </c>
      <c r="E14" s="56">
        <f t="shared" si="11"/>
        <v>272.98</v>
      </c>
      <c r="F14" s="56">
        <v>2</v>
      </c>
      <c r="G14" s="56">
        <v>148.99</v>
      </c>
      <c r="H14" s="57">
        <f t="shared" si="12"/>
        <v>297.98</v>
      </c>
      <c r="I14" s="58">
        <v>22</v>
      </c>
      <c r="J14" s="56">
        <v>4</v>
      </c>
      <c r="K14" s="57">
        <v>20.73</v>
      </c>
      <c r="L14" s="72">
        <f>E14+ H14 + I14 * 4 +K14</f>
        <v>679.69</v>
      </c>
      <c r="M14" s="57">
        <v>1.01</v>
      </c>
      <c r="N14" s="73">
        <f t="shared" si="13"/>
        <v>686.48690000000011</v>
      </c>
      <c r="O14" s="74">
        <f xml:space="preserve">  B14 +N14</f>
        <v>918.76690000000008</v>
      </c>
      <c r="P14" s="59"/>
      <c r="Q14" s="60">
        <v>35.340000000000003</v>
      </c>
      <c r="R14" s="60"/>
      <c r="S14" s="61"/>
      <c r="T14" s="58"/>
      <c r="U14" s="56"/>
      <c r="V14" s="56"/>
      <c r="W14" s="56"/>
      <c r="X14" s="58"/>
      <c r="Y14" s="56"/>
      <c r="Z14" s="56"/>
      <c r="AA14" s="57"/>
      <c r="AB14" s="62"/>
      <c r="AC14" s="113"/>
      <c r="AD14" s="56"/>
      <c r="AE14" s="75">
        <f t="shared" si="14"/>
        <v>954.10690000000011</v>
      </c>
      <c r="AF14" s="63"/>
      <c r="AG14" s="63">
        <v>6.86</v>
      </c>
      <c r="AH14" s="64">
        <v>2.88</v>
      </c>
      <c r="AI14" s="64"/>
      <c r="AJ14" s="64"/>
      <c r="AK14" s="64"/>
      <c r="AL14" s="65">
        <v>0.1</v>
      </c>
      <c r="AM14" s="66">
        <v>10</v>
      </c>
      <c r="AN14" s="76">
        <f t="shared" si="15"/>
        <v>973.94690000000014</v>
      </c>
      <c r="AO14" s="69"/>
      <c r="AP14" s="67"/>
      <c r="AQ14" s="91"/>
      <c r="AR14" s="68"/>
      <c r="AS14" s="68"/>
      <c r="AT14" s="68"/>
      <c r="AU14" s="68"/>
      <c r="AV14" s="68"/>
    </row>
    <row r="15" spans="1:48">
      <c r="A15" s="35" t="s">
        <v>52</v>
      </c>
      <c r="B15" s="18">
        <v>516.55999999999995</v>
      </c>
      <c r="C15" s="32">
        <v>2</v>
      </c>
      <c r="D15" s="21">
        <v>161.99</v>
      </c>
      <c r="E15" s="19">
        <f t="shared" ref="E15:E18" si="26">D15*C15</f>
        <v>323.98</v>
      </c>
      <c r="F15" s="20">
        <v>2</v>
      </c>
      <c r="G15" s="21">
        <v>113.49</v>
      </c>
      <c r="H15" s="22">
        <f t="shared" ref="H15:H18" si="27">G15*F15</f>
        <v>226.98</v>
      </c>
      <c r="I15" s="33"/>
      <c r="J15" s="19"/>
      <c r="K15" s="22">
        <v>20.13</v>
      </c>
      <c r="L15" s="23">
        <f>E15+ H15 + I15 * 4 +K15</f>
        <v>571.09</v>
      </c>
      <c r="M15" s="22">
        <v>1.01</v>
      </c>
      <c r="N15" s="25">
        <f t="shared" ref="N15:N18" si="28">(L15* M15)</f>
        <v>576.80090000000007</v>
      </c>
      <c r="O15" s="74">
        <f xml:space="preserve">  B15 +N15</f>
        <v>1093.3609000000001</v>
      </c>
      <c r="P15" s="27"/>
      <c r="Q15" s="28">
        <v>27.76</v>
      </c>
      <c r="R15" s="28"/>
      <c r="S15" s="29"/>
      <c r="T15" s="109"/>
      <c r="U15" s="19"/>
      <c r="V15" s="28"/>
      <c r="W15" s="28"/>
      <c r="X15" s="33"/>
      <c r="Y15" s="19"/>
      <c r="Z15" s="21"/>
      <c r="AA15" s="22"/>
      <c r="AB15" s="34">
        <f>12.11*4</f>
        <v>48.44</v>
      </c>
      <c r="AC15" s="114"/>
      <c r="AD15" s="19"/>
      <c r="AE15" s="30">
        <f t="shared" si="14"/>
        <v>1169.5609000000002</v>
      </c>
      <c r="AF15" s="31"/>
      <c r="AG15" s="93"/>
      <c r="AH15" s="94"/>
      <c r="AI15" s="94"/>
      <c r="AJ15" s="94"/>
      <c r="AK15" s="95"/>
      <c r="AL15" s="96"/>
      <c r="AM15" s="66">
        <v>10</v>
      </c>
      <c r="AN15" s="51">
        <f t="shared" ref="AN15:AN18" si="29">AG15+ AF15+ AH15 + AI15 + AJ15 + AK15 + AL15+AE15 + AM15</f>
        <v>1179.5609000000002</v>
      </c>
      <c r="AO15" s="48"/>
      <c r="AP15" s="45"/>
      <c r="AQ15" s="85" t="s">
        <v>53</v>
      </c>
    </row>
    <row r="16" spans="1:48">
      <c r="A16" s="35" t="s">
        <v>54</v>
      </c>
      <c r="B16" s="18">
        <v>242.34</v>
      </c>
      <c r="C16" s="32">
        <v>3</v>
      </c>
      <c r="D16" s="21">
        <v>50.99</v>
      </c>
      <c r="E16" s="19">
        <f t="shared" si="26"/>
        <v>152.97</v>
      </c>
      <c r="F16" s="20">
        <v>3</v>
      </c>
      <c r="G16" s="21">
        <v>56.99</v>
      </c>
      <c r="H16" s="22">
        <f t="shared" si="27"/>
        <v>170.97</v>
      </c>
      <c r="I16" s="33">
        <v>22</v>
      </c>
      <c r="J16" s="19">
        <v>4</v>
      </c>
      <c r="K16" s="22">
        <v>22.04</v>
      </c>
      <c r="L16" s="23">
        <f>E16+ H16 + I16 * 4 +K16</f>
        <v>433.98</v>
      </c>
      <c r="M16" s="22">
        <v>1.01</v>
      </c>
      <c r="N16" s="25">
        <f t="shared" si="28"/>
        <v>438.31980000000004</v>
      </c>
      <c r="O16" s="74">
        <f xml:space="preserve">  B16 +N16</f>
        <v>680.65980000000002</v>
      </c>
      <c r="P16" s="27"/>
      <c r="Q16" s="28">
        <v>33.93</v>
      </c>
      <c r="R16" s="28"/>
      <c r="S16" s="29"/>
      <c r="T16" s="109">
        <v>40.4</v>
      </c>
      <c r="U16" s="19">
        <v>3</v>
      </c>
      <c r="V16" s="28">
        <v>19.190000000000001</v>
      </c>
      <c r="W16" s="28">
        <v>3</v>
      </c>
      <c r="X16" s="33">
        <v>40.4</v>
      </c>
      <c r="Y16" s="19">
        <v>3</v>
      </c>
      <c r="Z16" s="21">
        <v>19.190000000000001</v>
      </c>
      <c r="AA16" s="22">
        <v>3</v>
      </c>
      <c r="AB16" s="34">
        <f>4.03*6</f>
        <v>24.18</v>
      </c>
      <c r="AC16" s="114"/>
      <c r="AD16" s="19"/>
      <c r="AE16" s="30">
        <f t="shared" ref="AE16:AE46" si="30">O16 + Q16 + ((T16*U16) + (V16*W16)) + ( (X16*Y16) + (Z16*AA16)) + (AB16-AC16)+AD16</f>
        <v>1096.3098</v>
      </c>
      <c r="AF16" s="31"/>
      <c r="AG16" s="93">
        <v>4.38</v>
      </c>
      <c r="AH16" s="94">
        <v>2.76</v>
      </c>
      <c r="AI16" s="94">
        <f>0.19*6+0.4*6</f>
        <v>3.5400000000000005</v>
      </c>
      <c r="AJ16" s="94">
        <f>0.04*6</f>
        <v>0.24</v>
      </c>
      <c r="AK16" s="95"/>
      <c r="AL16" s="96">
        <v>0.1</v>
      </c>
      <c r="AM16" s="66">
        <v>10</v>
      </c>
      <c r="AN16" s="51">
        <f t="shared" si="29"/>
        <v>1117.3298</v>
      </c>
      <c r="AO16" s="48"/>
      <c r="AP16" s="45"/>
      <c r="AQ16" s="85" t="s">
        <v>53</v>
      </c>
    </row>
    <row r="17" spans="1:43">
      <c r="A17" s="35" t="s">
        <v>55</v>
      </c>
      <c r="B17" s="18">
        <v>242.34</v>
      </c>
      <c r="C17" s="32">
        <v>3</v>
      </c>
      <c r="D17" s="21">
        <v>57.99</v>
      </c>
      <c r="E17" s="19">
        <f t="shared" si="26"/>
        <v>173.97</v>
      </c>
      <c r="F17" s="20">
        <v>3</v>
      </c>
      <c r="G17" s="21">
        <v>66.989999999999995</v>
      </c>
      <c r="H17" s="22">
        <f t="shared" si="27"/>
        <v>200.96999999999997</v>
      </c>
      <c r="I17" s="33">
        <v>22</v>
      </c>
      <c r="J17" s="19">
        <v>4</v>
      </c>
      <c r="K17" s="22">
        <v>22.55</v>
      </c>
      <c r="L17" s="23">
        <f>E17+ H17 + I17 * 4 +K17</f>
        <v>485.48999999999995</v>
      </c>
      <c r="M17" s="22">
        <v>1.01</v>
      </c>
      <c r="N17" s="25">
        <f t="shared" si="28"/>
        <v>490.34489999999994</v>
      </c>
      <c r="O17" s="74">
        <f xml:space="preserve">  B17 +N17</f>
        <v>732.68489999999997</v>
      </c>
      <c r="P17" s="27"/>
      <c r="Q17" s="28">
        <v>12.12</v>
      </c>
      <c r="R17" s="28"/>
      <c r="S17" s="29"/>
      <c r="T17" s="109">
        <v>40.4</v>
      </c>
      <c r="U17" s="19">
        <v>3</v>
      </c>
      <c r="V17" s="43">
        <v>19.190000000000001</v>
      </c>
      <c r="W17" s="28">
        <v>3</v>
      </c>
      <c r="X17" s="33">
        <v>40.4</v>
      </c>
      <c r="Y17" s="19">
        <v>3</v>
      </c>
      <c r="Z17" s="21">
        <v>19.190000000000001</v>
      </c>
      <c r="AA17" s="22">
        <v>3</v>
      </c>
      <c r="AB17" s="34">
        <f>4.03*6</f>
        <v>24.18</v>
      </c>
      <c r="AC17" s="114"/>
      <c r="AD17" s="19"/>
      <c r="AE17" s="30">
        <f t="shared" si="30"/>
        <v>1126.5249000000001</v>
      </c>
      <c r="AF17" s="31"/>
      <c r="AG17" s="93">
        <v>4.9000000000000004</v>
      </c>
      <c r="AH17" s="94">
        <v>2.54</v>
      </c>
      <c r="AI17" s="94">
        <f>0.19*6+0.4*6</f>
        <v>3.5400000000000005</v>
      </c>
      <c r="AJ17" s="94">
        <f>0.04*6</f>
        <v>0.24</v>
      </c>
      <c r="AK17" s="95"/>
      <c r="AL17" s="96">
        <v>0.12</v>
      </c>
      <c r="AM17" s="66">
        <v>12</v>
      </c>
      <c r="AN17" s="51">
        <f t="shared" si="29"/>
        <v>1149.8649</v>
      </c>
      <c r="AO17" s="48"/>
      <c r="AP17" s="45"/>
      <c r="AQ17" s="85" t="s">
        <v>53</v>
      </c>
    </row>
    <row r="18" spans="1:43">
      <c r="A18" s="35" t="s">
        <v>56</v>
      </c>
      <c r="B18" s="18">
        <v>239.94</v>
      </c>
      <c r="C18" s="32">
        <v>3</v>
      </c>
      <c r="D18" s="21">
        <v>64.989999999999995</v>
      </c>
      <c r="E18" s="19">
        <f t="shared" si="26"/>
        <v>194.96999999999997</v>
      </c>
      <c r="F18" s="20">
        <v>3</v>
      </c>
      <c r="G18" s="21">
        <v>78.989999999999995</v>
      </c>
      <c r="H18" s="22">
        <f t="shared" si="27"/>
        <v>236.96999999999997</v>
      </c>
      <c r="I18" s="33">
        <v>22</v>
      </c>
      <c r="J18" s="19">
        <v>4</v>
      </c>
      <c r="K18" s="22">
        <v>23.12</v>
      </c>
      <c r="L18" s="23">
        <f>E18+ H18 + I18 * 4 +K18</f>
        <v>543.05999999999995</v>
      </c>
      <c r="M18" s="22">
        <v>1</v>
      </c>
      <c r="N18" s="25">
        <f t="shared" si="28"/>
        <v>543.05999999999995</v>
      </c>
      <c r="O18" s="74">
        <f xml:space="preserve">  B18 +N18</f>
        <v>783</v>
      </c>
      <c r="P18" s="27"/>
      <c r="Q18" s="28">
        <v>17.899999999999999</v>
      </c>
      <c r="R18" s="28"/>
      <c r="S18" s="29"/>
      <c r="T18" s="109">
        <v>40</v>
      </c>
      <c r="U18" s="19">
        <v>3</v>
      </c>
      <c r="V18" s="28">
        <v>19</v>
      </c>
      <c r="W18" s="28">
        <v>3</v>
      </c>
      <c r="X18" s="33">
        <v>40</v>
      </c>
      <c r="Y18" s="19">
        <v>3</v>
      </c>
      <c r="Z18" s="21">
        <v>19</v>
      </c>
      <c r="AA18" s="22">
        <v>3</v>
      </c>
      <c r="AB18" s="34">
        <f>3.99*6</f>
        <v>23.94</v>
      </c>
      <c r="AC18" s="114"/>
      <c r="AD18" s="19"/>
      <c r="AE18" s="30">
        <f t="shared" si="30"/>
        <v>1178.8400000000001</v>
      </c>
      <c r="AF18" s="31">
        <f>2.5*4</f>
        <v>10</v>
      </c>
      <c r="AG18" s="93"/>
      <c r="AH18" s="94"/>
      <c r="AI18" s="94"/>
      <c r="AJ18" s="94"/>
      <c r="AK18" s="95"/>
      <c r="AL18" s="96"/>
      <c r="AM18" s="66">
        <v>10</v>
      </c>
      <c r="AN18" s="51">
        <f t="shared" si="29"/>
        <v>1198.8400000000001</v>
      </c>
      <c r="AO18" s="48"/>
      <c r="AP18" s="45"/>
      <c r="AQ18" s="85" t="s">
        <v>53</v>
      </c>
    </row>
    <row r="19" spans="1:43">
      <c r="A19" s="35" t="s">
        <v>57</v>
      </c>
      <c r="B19" s="18">
        <v>242.34</v>
      </c>
      <c r="C19" s="32">
        <v>3</v>
      </c>
      <c r="D19" s="21">
        <v>46.82</v>
      </c>
      <c r="E19" s="19">
        <f t="shared" ref="E19:E37" si="31">D19*C19</f>
        <v>140.46</v>
      </c>
      <c r="F19" s="20">
        <v>3</v>
      </c>
      <c r="G19" s="21">
        <v>46.99</v>
      </c>
      <c r="H19" s="22">
        <f t="shared" ref="H19:H37" si="32">G19*F19</f>
        <v>140.97</v>
      </c>
      <c r="I19" s="33">
        <v>22</v>
      </c>
      <c r="J19" s="19">
        <v>4</v>
      </c>
      <c r="K19" s="22">
        <v>21.61</v>
      </c>
      <c r="L19" s="23">
        <f>E19+ H19 + I19 * 4 +K19</f>
        <v>391.04</v>
      </c>
      <c r="M19" s="22">
        <v>1.01</v>
      </c>
      <c r="N19" s="25">
        <f t="shared" ref="N19:N31" si="33">(L19* M19)</f>
        <v>394.9504</v>
      </c>
      <c r="O19" s="74">
        <f xml:space="preserve">  B19 +N19</f>
        <v>637.29039999999998</v>
      </c>
      <c r="P19" s="27"/>
      <c r="Q19" s="28">
        <v>40.1</v>
      </c>
      <c r="R19" s="28"/>
      <c r="S19" s="29"/>
      <c r="T19" s="109">
        <v>40.4</v>
      </c>
      <c r="U19" s="19">
        <v>3</v>
      </c>
      <c r="V19" s="28">
        <v>19.190000000000001</v>
      </c>
      <c r="W19" s="28">
        <v>3</v>
      </c>
      <c r="X19" s="33">
        <v>40.4</v>
      </c>
      <c r="Y19" s="19">
        <v>3</v>
      </c>
      <c r="Z19" s="21">
        <v>19.190000000000001</v>
      </c>
      <c r="AA19" s="22">
        <v>3</v>
      </c>
      <c r="AB19" s="34">
        <f>4.03*6</f>
        <v>24.18</v>
      </c>
      <c r="AC19" s="114"/>
      <c r="AD19" s="19"/>
      <c r="AE19" s="30">
        <f t="shared" si="30"/>
        <v>1059.1104</v>
      </c>
      <c r="AF19" s="31"/>
      <c r="AG19" s="93"/>
      <c r="AH19" s="94"/>
      <c r="AI19" s="94"/>
      <c r="AJ19" s="94"/>
      <c r="AK19" s="95"/>
      <c r="AL19" s="96"/>
      <c r="AM19" s="66">
        <v>10</v>
      </c>
      <c r="AN19" s="51">
        <f t="shared" ref="AN19:AN37" si="34">AG19+ AF19+ AH19 + AI19 + AJ19 + AK19 + AL19+AE19 + AM19</f>
        <v>1069.1104</v>
      </c>
      <c r="AO19" s="48"/>
      <c r="AP19" s="45"/>
      <c r="AQ19" s="85" t="s">
        <v>53</v>
      </c>
    </row>
    <row r="20" spans="1:43">
      <c r="A20" s="35" t="s">
        <v>58</v>
      </c>
      <c r="B20" s="18">
        <v>156.63</v>
      </c>
      <c r="C20" s="32">
        <v>3</v>
      </c>
      <c r="D20" s="21">
        <v>55.99</v>
      </c>
      <c r="E20" s="19">
        <f t="shared" ref="E20:E22" si="35">D20*C20</f>
        <v>167.97</v>
      </c>
      <c r="F20" s="20">
        <v>3</v>
      </c>
      <c r="G20" s="21">
        <v>56.99</v>
      </c>
      <c r="H20" s="22">
        <f t="shared" ref="H20:H22" si="36">G20*F20</f>
        <v>170.97</v>
      </c>
      <c r="I20" s="33"/>
      <c r="J20" s="19"/>
      <c r="K20" s="22">
        <v>17.77</v>
      </c>
      <c r="L20" s="23">
        <f>E20+ H20 + I20 * 4 +K20</f>
        <v>356.71</v>
      </c>
      <c r="M20" s="22">
        <v>1.01</v>
      </c>
      <c r="N20" s="25">
        <f t="shared" ref="N20:N22" si="37">(L20* M20)</f>
        <v>360.27709999999996</v>
      </c>
      <c r="O20" s="26">
        <f xml:space="preserve">  B20 +N20</f>
        <v>516.9070999999999</v>
      </c>
      <c r="P20" s="27"/>
      <c r="Q20" s="28">
        <v>21.93</v>
      </c>
      <c r="R20" s="28"/>
      <c r="S20" s="29"/>
      <c r="T20" s="109"/>
      <c r="U20" s="19"/>
      <c r="V20" s="28"/>
      <c r="W20" s="28"/>
      <c r="X20" s="33"/>
      <c r="Y20" s="19"/>
      <c r="Z20" s="21"/>
      <c r="AA20" s="22"/>
      <c r="AB20" s="34">
        <f>4.03*6</f>
        <v>24.18</v>
      </c>
      <c r="AC20" s="114"/>
      <c r="AD20" s="19"/>
      <c r="AE20" s="30">
        <f t="shared" si="30"/>
        <v>563.0170999999998</v>
      </c>
      <c r="AF20" s="31"/>
      <c r="AG20" s="93">
        <v>3.6</v>
      </c>
      <c r="AH20" s="94">
        <v>1.79</v>
      </c>
      <c r="AI20" s="94"/>
      <c r="AJ20" s="94"/>
      <c r="AK20" s="95"/>
      <c r="AL20" s="96">
        <v>0.1</v>
      </c>
      <c r="AM20" s="66">
        <v>10</v>
      </c>
      <c r="AN20" s="51">
        <f t="shared" ref="AN20:AN22" si="38">AG20+ AF20+ AH20 + AI20 + AJ20 + AK20 + AL20+AE20 + AM20</f>
        <v>578.50709999999981</v>
      </c>
      <c r="AO20" s="48"/>
      <c r="AP20" s="45"/>
      <c r="AQ20" s="80">
        <f>578.75-AN20</f>
        <v>0.24290000000019063</v>
      </c>
    </row>
    <row r="21" spans="1:43">
      <c r="A21" s="35" t="s">
        <v>59</v>
      </c>
      <c r="B21" s="18">
        <v>156.63</v>
      </c>
      <c r="C21" s="32">
        <v>3</v>
      </c>
      <c r="D21" s="21">
        <v>61.99</v>
      </c>
      <c r="E21" s="19">
        <f t="shared" si="35"/>
        <v>185.97</v>
      </c>
      <c r="F21" s="20">
        <v>3</v>
      </c>
      <c r="G21" s="21">
        <v>66.989999999999995</v>
      </c>
      <c r="H21" s="22">
        <f t="shared" si="36"/>
        <v>200.96999999999997</v>
      </c>
      <c r="I21" s="33"/>
      <c r="J21" s="19"/>
      <c r="K21" s="22">
        <v>18.489999999999998</v>
      </c>
      <c r="L21" s="23">
        <f>E21+ H21 + I21 * 4 +K21</f>
        <v>405.42999999999995</v>
      </c>
      <c r="M21" s="22">
        <v>1.01</v>
      </c>
      <c r="N21" s="25">
        <f t="shared" si="37"/>
        <v>409.48429999999996</v>
      </c>
      <c r="O21" s="26">
        <f xml:space="preserve">  B21 +N21</f>
        <v>566.11429999999996</v>
      </c>
      <c r="P21" s="27"/>
      <c r="Q21" s="28">
        <v>7.83</v>
      </c>
      <c r="R21" s="28"/>
      <c r="S21" s="29"/>
      <c r="T21" s="109"/>
      <c r="U21" s="19"/>
      <c r="V21" s="28"/>
      <c r="W21" s="28"/>
      <c r="X21" s="33"/>
      <c r="Y21" s="19"/>
      <c r="Z21" s="21"/>
      <c r="AA21" s="22"/>
      <c r="AB21" s="34">
        <f>(4.03*3)+(12.11*3)</f>
        <v>48.42</v>
      </c>
      <c r="AC21" s="114"/>
      <c r="AD21" s="19"/>
      <c r="AE21" s="30">
        <f t="shared" si="30"/>
        <v>622.36429999999996</v>
      </c>
      <c r="AF21" s="31"/>
      <c r="AG21" s="93">
        <v>4.09</v>
      </c>
      <c r="AH21" s="94">
        <v>1.64</v>
      </c>
      <c r="AI21" s="94"/>
      <c r="AJ21" s="94"/>
      <c r="AK21" s="95"/>
      <c r="AL21" s="96">
        <v>0.12</v>
      </c>
      <c r="AM21" s="66">
        <v>12</v>
      </c>
      <c r="AN21" s="51">
        <f t="shared" si="38"/>
        <v>640.21429999999998</v>
      </c>
      <c r="AO21" s="48"/>
      <c r="AP21" s="45"/>
      <c r="AQ21" s="80">
        <f>640.69-AN21</f>
        <v>0.4757000000000744</v>
      </c>
    </row>
    <row r="22" spans="1:43">
      <c r="A22" s="35" t="s">
        <v>60</v>
      </c>
      <c r="B22" s="18">
        <v>155.08000000000001</v>
      </c>
      <c r="C22" s="32">
        <v>3</v>
      </c>
      <c r="D22" s="21">
        <v>78.319999999999993</v>
      </c>
      <c r="E22" s="19">
        <f t="shared" si="35"/>
        <v>234.95999999999998</v>
      </c>
      <c r="F22" s="20">
        <v>3</v>
      </c>
      <c r="G22" s="21">
        <v>93.49</v>
      </c>
      <c r="H22" s="22">
        <f t="shared" si="36"/>
        <v>280.46999999999997</v>
      </c>
      <c r="I22" s="33"/>
      <c r="J22" s="19"/>
      <c r="K22" s="22">
        <v>19.77</v>
      </c>
      <c r="L22" s="23">
        <f>E22+ H22 + I22 * 4 +K22</f>
        <v>535.19999999999993</v>
      </c>
      <c r="M22" s="22">
        <v>1</v>
      </c>
      <c r="N22" s="25">
        <f t="shared" si="37"/>
        <v>535.19999999999993</v>
      </c>
      <c r="O22" s="26">
        <f xml:space="preserve">  B22 +N22</f>
        <v>690.28</v>
      </c>
      <c r="P22" s="27"/>
      <c r="Q22" s="28">
        <v>14.5</v>
      </c>
      <c r="R22" s="28"/>
      <c r="S22" s="29"/>
      <c r="T22" s="109"/>
      <c r="U22" s="19"/>
      <c r="V22" s="28"/>
      <c r="W22" s="28"/>
      <c r="X22" s="33"/>
      <c r="Y22" s="19"/>
      <c r="Z22" s="21"/>
      <c r="AA22" s="22"/>
      <c r="AB22" s="34">
        <f>11.99*3+3.99*3</f>
        <v>47.94</v>
      </c>
      <c r="AC22" s="114"/>
      <c r="AD22" s="19"/>
      <c r="AE22" s="30">
        <f t="shared" si="30"/>
        <v>752.72</v>
      </c>
      <c r="AF22" s="31">
        <f>2.5*3</f>
        <v>7.5</v>
      </c>
      <c r="AG22" s="93"/>
      <c r="AH22" s="94"/>
      <c r="AI22" s="94"/>
      <c r="AJ22" s="94"/>
      <c r="AK22" s="95"/>
      <c r="AL22" s="96"/>
      <c r="AM22" s="66">
        <v>10</v>
      </c>
      <c r="AN22" s="51">
        <f t="shared" si="38"/>
        <v>770.22</v>
      </c>
      <c r="AO22" s="48"/>
      <c r="AP22" s="45"/>
      <c r="AQ22" s="85" t="s">
        <v>53</v>
      </c>
    </row>
    <row r="23" spans="1:43">
      <c r="A23" s="35" t="s">
        <v>61</v>
      </c>
      <c r="B23" s="18">
        <v>156.63</v>
      </c>
      <c r="C23" s="32">
        <v>3</v>
      </c>
      <c r="D23" s="21">
        <v>70.989999999999995</v>
      </c>
      <c r="E23" s="19">
        <f t="shared" ref="E23:E26" si="39">D23*C23</f>
        <v>212.96999999999997</v>
      </c>
      <c r="F23" s="20">
        <v>3</v>
      </c>
      <c r="G23" s="21">
        <v>83.82</v>
      </c>
      <c r="H23" s="22">
        <f t="shared" ref="H23:H26" si="40">G23*F23</f>
        <v>251.45999999999998</v>
      </c>
      <c r="I23" s="33"/>
      <c r="J23" s="19"/>
      <c r="K23" s="22">
        <v>19.260000000000002</v>
      </c>
      <c r="L23" s="23">
        <f>E23+ H23 + I23 * 4 +K23</f>
        <v>483.68999999999994</v>
      </c>
      <c r="M23" s="22">
        <v>1.01</v>
      </c>
      <c r="N23" s="25">
        <f t="shared" ref="N23:N26" si="41">(L23* M23)</f>
        <v>488.52689999999996</v>
      </c>
      <c r="O23" s="26">
        <f xml:space="preserve">  B23 +N23</f>
        <v>645.15689999999995</v>
      </c>
      <c r="P23" s="27"/>
      <c r="Q23" s="28">
        <v>40.1</v>
      </c>
      <c r="R23" s="28"/>
      <c r="S23" s="29"/>
      <c r="T23" s="109"/>
      <c r="U23" s="19"/>
      <c r="V23" s="28"/>
      <c r="W23" s="28"/>
      <c r="X23" s="33"/>
      <c r="Y23" s="19"/>
      <c r="Z23" s="21"/>
      <c r="AA23" s="22"/>
      <c r="AB23" s="34">
        <f>4.03*3+12.11*3</f>
        <v>48.42</v>
      </c>
      <c r="AC23" s="114"/>
      <c r="AD23" s="19"/>
      <c r="AE23" s="30">
        <f t="shared" si="30"/>
        <v>733.67689999999993</v>
      </c>
      <c r="AF23" s="31"/>
      <c r="AG23" s="93"/>
      <c r="AH23" s="94"/>
      <c r="AI23" s="94"/>
      <c r="AJ23" s="94"/>
      <c r="AK23" s="95"/>
      <c r="AL23" s="96"/>
      <c r="AM23" s="66">
        <v>10</v>
      </c>
      <c r="AN23" s="51">
        <f t="shared" ref="AN23:AN26" si="42">AG23+ AF23+ AH23 + AI23 + AJ23 + AK23 + AL23+AE23 + AM23</f>
        <v>743.67689999999993</v>
      </c>
      <c r="AO23" s="48"/>
      <c r="AP23" s="45"/>
      <c r="AQ23" s="85" t="s">
        <v>53</v>
      </c>
    </row>
    <row r="24" spans="1:43">
      <c r="A24" s="35" t="s">
        <v>62</v>
      </c>
      <c r="B24" s="18">
        <v>316.86</v>
      </c>
      <c r="C24" s="32">
        <v>4</v>
      </c>
      <c r="D24" s="21">
        <v>43.49</v>
      </c>
      <c r="E24" s="19">
        <f t="shared" si="39"/>
        <v>173.96</v>
      </c>
      <c r="F24" s="20">
        <v>4</v>
      </c>
      <c r="G24" s="21">
        <v>40.619999999999997</v>
      </c>
      <c r="H24" s="22">
        <f t="shared" si="40"/>
        <v>162.47999999999999</v>
      </c>
      <c r="I24" s="33"/>
      <c r="J24" s="19"/>
      <c r="K24" s="22">
        <v>17.5</v>
      </c>
      <c r="L24" s="23">
        <f>E24+ H24 + I24 * 4 +K24</f>
        <v>353.94</v>
      </c>
      <c r="M24" s="22">
        <v>1.01</v>
      </c>
      <c r="N24" s="25">
        <f t="shared" si="41"/>
        <v>357.4794</v>
      </c>
      <c r="O24" s="26">
        <f xml:space="preserve">  B24 +N24</f>
        <v>674.33940000000007</v>
      </c>
      <c r="P24" s="27"/>
      <c r="Q24" s="28">
        <v>44.36</v>
      </c>
      <c r="R24" s="28"/>
      <c r="S24" s="29"/>
      <c r="T24" s="109"/>
      <c r="U24" s="19"/>
      <c r="V24" s="28"/>
      <c r="W24" s="28"/>
      <c r="X24" s="33"/>
      <c r="Y24" s="19"/>
      <c r="Z24" s="21"/>
      <c r="AA24" s="22"/>
      <c r="AB24" s="34"/>
      <c r="AC24" s="114"/>
      <c r="AD24" s="44">
        <f>24.11*2</f>
        <v>48.22</v>
      </c>
      <c r="AE24" s="30">
        <f t="shared" si="30"/>
        <v>766.91940000000011</v>
      </c>
      <c r="AF24" s="31"/>
      <c r="AG24" s="93">
        <v>3.57</v>
      </c>
      <c r="AH24" s="94">
        <v>3.61</v>
      </c>
      <c r="AI24" s="94"/>
      <c r="AJ24" s="94"/>
      <c r="AK24" s="95"/>
      <c r="AL24" s="96">
        <v>0.1</v>
      </c>
      <c r="AM24" s="66">
        <v>10</v>
      </c>
      <c r="AN24" s="51">
        <f t="shared" si="42"/>
        <v>784.19940000000008</v>
      </c>
      <c r="AO24" s="48"/>
      <c r="AP24" s="45"/>
      <c r="AQ24" s="80">
        <f>786.2-AN24</f>
        <v>2.0005999999999631</v>
      </c>
    </row>
    <row r="25" spans="1:43">
      <c r="A25" s="35" t="s">
        <v>63</v>
      </c>
      <c r="B25" s="18">
        <v>316.86</v>
      </c>
      <c r="C25" s="32">
        <v>4</v>
      </c>
      <c r="D25" s="21">
        <v>39.74</v>
      </c>
      <c r="E25" s="19">
        <f t="shared" si="39"/>
        <v>158.96</v>
      </c>
      <c r="F25" s="20">
        <v>4</v>
      </c>
      <c r="G25" s="21">
        <v>36.99</v>
      </c>
      <c r="H25" s="22">
        <f t="shared" si="40"/>
        <v>147.96</v>
      </c>
      <c r="I25" s="33"/>
      <c r="J25" s="19"/>
      <c r="K25" s="22">
        <v>17.21</v>
      </c>
      <c r="L25" s="23">
        <f>E25+ H25 + I25 * 4 +K25</f>
        <v>324.13</v>
      </c>
      <c r="M25" s="22">
        <v>1.01</v>
      </c>
      <c r="N25" s="25">
        <f t="shared" si="41"/>
        <v>327.37130000000002</v>
      </c>
      <c r="O25" s="26">
        <f xml:space="preserve">  B25 +N25</f>
        <v>644.23130000000003</v>
      </c>
      <c r="P25" s="27"/>
      <c r="Q25" s="28">
        <v>15.84</v>
      </c>
      <c r="R25" s="28"/>
      <c r="S25" s="29"/>
      <c r="T25" s="109"/>
      <c r="U25" s="19"/>
      <c r="V25" s="28"/>
      <c r="W25" s="28"/>
      <c r="X25" s="33"/>
      <c r="Y25" s="19"/>
      <c r="Z25" s="21"/>
      <c r="AA25" s="22"/>
      <c r="AB25" s="34"/>
      <c r="AC25" s="114"/>
      <c r="AD25" s="44">
        <f>24.11*2</f>
        <v>48.22</v>
      </c>
      <c r="AE25" s="30">
        <f t="shared" si="30"/>
        <v>708.29130000000009</v>
      </c>
      <c r="AF25" s="31"/>
      <c r="AG25" s="93">
        <v>3.27</v>
      </c>
      <c r="AH25" s="94">
        <v>3.33</v>
      </c>
      <c r="AI25" s="94"/>
      <c r="AJ25" s="94"/>
      <c r="AK25" s="95"/>
      <c r="AL25" s="96">
        <v>0.12</v>
      </c>
      <c r="AM25" s="66">
        <v>12</v>
      </c>
      <c r="AN25" s="51">
        <f t="shared" si="42"/>
        <v>727.01130000000012</v>
      </c>
      <c r="AO25" s="48"/>
      <c r="AP25" s="45"/>
      <c r="AQ25" s="80">
        <f>729.01-AN25</f>
        <v>1.9986999999998716</v>
      </c>
    </row>
    <row r="26" spans="1:43">
      <c r="A26" s="35" t="s">
        <v>64</v>
      </c>
      <c r="B26" s="18">
        <v>313.72000000000003</v>
      </c>
      <c r="C26" s="32">
        <v>4</v>
      </c>
      <c r="D26" s="21">
        <v>37.49</v>
      </c>
      <c r="E26" s="19">
        <f t="shared" si="39"/>
        <v>149.96</v>
      </c>
      <c r="F26" s="20">
        <v>4</v>
      </c>
      <c r="G26" s="21">
        <v>32.49</v>
      </c>
      <c r="H26" s="22">
        <f t="shared" si="40"/>
        <v>129.96</v>
      </c>
      <c r="I26" s="33"/>
      <c r="J26" s="19"/>
      <c r="K26" s="22">
        <v>16.940000000000001</v>
      </c>
      <c r="L26" s="23">
        <f>E26+ H26 + I26 * 4 +K26</f>
        <v>296.86</v>
      </c>
      <c r="M26" s="22">
        <v>1</v>
      </c>
      <c r="N26" s="25">
        <f t="shared" si="41"/>
        <v>296.86</v>
      </c>
      <c r="O26" s="26">
        <f xml:space="preserve">  B26 +N26</f>
        <v>610.58000000000004</v>
      </c>
      <c r="P26" s="27"/>
      <c r="Q26" s="28">
        <v>20.85</v>
      </c>
      <c r="R26" s="28"/>
      <c r="S26" s="29"/>
      <c r="T26" s="109"/>
      <c r="U26" s="19"/>
      <c r="V26" s="28"/>
      <c r="W26" s="28"/>
      <c r="X26" s="33"/>
      <c r="Y26" s="19"/>
      <c r="Z26" s="21"/>
      <c r="AA26" s="22"/>
      <c r="AB26" s="34"/>
      <c r="AC26" s="114"/>
      <c r="AD26" s="44">
        <f>23.87*2</f>
        <v>47.74</v>
      </c>
      <c r="AE26" s="30">
        <f t="shared" si="30"/>
        <v>679.17000000000007</v>
      </c>
      <c r="AF26" s="31">
        <f>2.5*4</f>
        <v>10</v>
      </c>
      <c r="AG26" s="93"/>
      <c r="AH26" s="94"/>
      <c r="AI26" s="94"/>
      <c r="AJ26" s="94"/>
      <c r="AK26" s="95"/>
      <c r="AL26" s="96"/>
      <c r="AM26" s="66">
        <v>10</v>
      </c>
      <c r="AN26" s="51">
        <f t="shared" si="42"/>
        <v>699.17000000000007</v>
      </c>
      <c r="AO26" s="48"/>
      <c r="AP26" s="45"/>
      <c r="AQ26" s="80">
        <f>700.65-AN26</f>
        <v>1.4799999999999045</v>
      </c>
    </row>
    <row r="27" spans="1:43">
      <c r="A27" s="35" t="s">
        <v>65</v>
      </c>
      <c r="B27" s="18">
        <v>316.86</v>
      </c>
      <c r="C27" s="32">
        <v>4</v>
      </c>
      <c r="D27" s="21">
        <v>32.99</v>
      </c>
      <c r="E27" s="19">
        <f t="shared" si="31"/>
        <v>131.96</v>
      </c>
      <c r="F27" s="20">
        <v>4</v>
      </c>
      <c r="G27" s="21">
        <v>27.49</v>
      </c>
      <c r="H27" s="22">
        <f t="shared" si="32"/>
        <v>109.96</v>
      </c>
      <c r="I27" s="33"/>
      <c r="J27" s="19"/>
      <c r="K27" s="22">
        <v>16.559999999999999</v>
      </c>
      <c r="L27" s="23">
        <f>E27+ H27 + I27 * 4 +K27</f>
        <v>258.48</v>
      </c>
      <c r="M27" s="22">
        <v>1.01</v>
      </c>
      <c r="N27" s="25">
        <f t="shared" si="33"/>
        <v>261.06480000000005</v>
      </c>
      <c r="O27" s="26">
        <f xml:space="preserve">  B27 +N27</f>
        <v>577.9248</v>
      </c>
      <c r="P27" s="27"/>
      <c r="Q27" s="28">
        <v>40.1</v>
      </c>
      <c r="R27" s="28"/>
      <c r="S27" s="29"/>
      <c r="T27" s="109"/>
      <c r="U27" s="19"/>
      <c r="V27" s="28"/>
      <c r="W27" s="28"/>
      <c r="X27" s="33"/>
      <c r="Y27" s="19"/>
      <c r="Z27" s="21"/>
      <c r="AA27" s="22"/>
      <c r="AB27" s="34"/>
      <c r="AC27" s="114"/>
      <c r="AD27" s="44">
        <f>24.11*2</f>
        <v>48.22</v>
      </c>
      <c r="AE27" s="30">
        <f t="shared" si="30"/>
        <v>666.24480000000005</v>
      </c>
      <c r="AF27" s="31"/>
      <c r="AG27" s="93"/>
      <c r="AH27" s="94"/>
      <c r="AI27" s="94"/>
      <c r="AJ27" s="94"/>
      <c r="AK27" s="95"/>
      <c r="AL27" s="96"/>
      <c r="AM27" s="66">
        <v>10</v>
      </c>
      <c r="AN27" s="51">
        <f t="shared" si="34"/>
        <v>676.24480000000005</v>
      </c>
      <c r="AO27" s="48"/>
      <c r="AP27" s="45"/>
      <c r="AQ27" s="80">
        <f>677.74-AN27</f>
        <v>1.4951999999999543</v>
      </c>
    </row>
    <row r="28" spans="1:43" hidden="1">
      <c r="A28" s="90" t="s">
        <v>66</v>
      </c>
      <c r="B28" s="18">
        <v>236.3</v>
      </c>
      <c r="C28" s="32">
        <v>4</v>
      </c>
      <c r="D28" s="21">
        <v>136.49</v>
      </c>
      <c r="E28" s="19">
        <f t="shared" si="31"/>
        <v>545.96</v>
      </c>
      <c r="F28" s="20">
        <v>4</v>
      </c>
      <c r="G28" s="21">
        <v>113.49</v>
      </c>
      <c r="H28" s="22">
        <f t="shared" si="32"/>
        <v>453.96</v>
      </c>
      <c r="I28" s="33"/>
      <c r="J28" s="19"/>
      <c r="K28" s="22">
        <v>24.14</v>
      </c>
      <c r="L28" s="23">
        <f>E28+ H28 + I28 * 4 +K28</f>
        <v>1024.0600000000002</v>
      </c>
      <c r="M28" s="22">
        <v>1.01</v>
      </c>
      <c r="N28" s="25">
        <f t="shared" si="33"/>
        <v>1034.3006000000003</v>
      </c>
      <c r="O28" s="26">
        <f xml:space="preserve">  B28 +N28</f>
        <v>1270.6006000000002</v>
      </c>
      <c r="P28" s="27"/>
      <c r="Q28" s="28">
        <v>33.08</v>
      </c>
      <c r="R28" s="28"/>
      <c r="S28" s="29"/>
      <c r="T28" s="109"/>
      <c r="U28" s="19"/>
      <c r="V28" s="28"/>
      <c r="W28" s="28"/>
      <c r="X28" s="33"/>
      <c r="Y28" s="19"/>
      <c r="Z28" s="21"/>
      <c r="AA28" s="22"/>
      <c r="AB28" s="34"/>
      <c r="AC28" s="114"/>
      <c r="AD28" s="19"/>
      <c r="AE28" s="30">
        <f>O28 + Q28 + ((T28*U28) + (V28*W28)) + ( (X28*Y28) + (Z28*AA28)) + (AB28-AC28)+AD28</f>
        <v>1303.6806000000001</v>
      </c>
      <c r="AF28" s="31"/>
      <c r="AG28" s="93">
        <v>10.34</v>
      </c>
      <c r="AH28" s="94">
        <v>2.69</v>
      </c>
      <c r="AI28" s="94"/>
      <c r="AJ28" s="94"/>
      <c r="AK28" s="95"/>
      <c r="AL28" s="96">
        <v>0.1</v>
      </c>
      <c r="AM28" s="66">
        <v>10</v>
      </c>
      <c r="AN28" s="51">
        <f t="shared" si="34"/>
        <v>1326.8106000000002</v>
      </c>
      <c r="AO28" s="48"/>
      <c r="AP28" s="46"/>
      <c r="AQ28" s="67" t="s">
        <v>53</v>
      </c>
    </row>
    <row r="29" spans="1:43" hidden="1">
      <c r="A29" s="90" t="s">
        <v>67</v>
      </c>
      <c r="B29" s="18">
        <v>232.28</v>
      </c>
      <c r="C29" s="32">
        <v>2</v>
      </c>
      <c r="D29" s="21">
        <v>81.99</v>
      </c>
      <c r="E29" s="19">
        <f t="shared" si="31"/>
        <v>163.98</v>
      </c>
      <c r="F29" s="20">
        <v>2</v>
      </c>
      <c r="G29" s="21">
        <v>56.49</v>
      </c>
      <c r="H29" s="22">
        <f t="shared" si="32"/>
        <v>112.98</v>
      </c>
      <c r="I29" s="33">
        <v>22</v>
      </c>
      <c r="J29" s="19">
        <v>4</v>
      </c>
      <c r="K29" s="22">
        <v>17.79</v>
      </c>
      <c r="L29" s="23">
        <f>E29+ H29 + I29 * 4 +K29</f>
        <v>382.75</v>
      </c>
      <c r="M29" s="22">
        <v>1.01</v>
      </c>
      <c r="N29" s="25">
        <f>(L29* M29)</f>
        <v>386.57749999999999</v>
      </c>
      <c r="O29" s="26">
        <f xml:space="preserve">  B29 +N29</f>
        <v>618.85749999999996</v>
      </c>
      <c r="P29" s="27"/>
      <c r="Q29" s="28">
        <v>35.340000000000003</v>
      </c>
      <c r="R29" s="28"/>
      <c r="S29" s="29"/>
      <c r="T29" s="109"/>
      <c r="U29" s="19"/>
      <c r="V29" s="28"/>
      <c r="W29" s="28"/>
      <c r="X29" s="33"/>
      <c r="Y29" s="19"/>
      <c r="Z29" s="21"/>
      <c r="AA29" s="22"/>
      <c r="AB29" s="34"/>
      <c r="AC29" s="114"/>
      <c r="AD29" s="19"/>
      <c r="AE29" s="30">
        <f t="shared" si="30"/>
        <v>654.19749999999999</v>
      </c>
      <c r="AF29" s="31"/>
      <c r="AG29" s="93">
        <v>3.87</v>
      </c>
      <c r="AH29" s="94">
        <v>2.88</v>
      </c>
      <c r="AI29" s="94"/>
      <c r="AJ29" s="94"/>
      <c r="AK29" s="95"/>
      <c r="AL29" s="96">
        <v>0.1</v>
      </c>
      <c r="AM29" s="66">
        <v>10</v>
      </c>
      <c r="AN29" s="51">
        <f t="shared" si="34"/>
        <v>671.04750000000001</v>
      </c>
      <c r="AO29" s="48"/>
      <c r="AP29" s="45">
        <v>691.19</v>
      </c>
      <c r="AQ29" s="80" t="s">
        <v>68</v>
      </c>
    </row>
    <row r="30" spans="1:43" hidden="1">
      <c r="A30" s="90" t="s">
        <v>69</v>
      </c>
      <c r="B30" s="18">
        <v>158.43</v>
      </c>
      <c r="C30" s="32">
        <v>3</v>
      </c>
      <c r="D30" s="21">
        <v>110.32</v>
      </c>
      <c r="E30" s="19">
        <f t="shared" si="31"/>
        <v>330.96</v>
      </c>
      <c r="F30" s="20">
        <v>3</v>
      </c>
      <c r="G30" s="21">
        <v>82.49</v>
      </c>
      <c r="H30" s="22">
        <f t="shared" si="32"/>
        <v>247.46999999999997</v>
      </c>
      <c r="I30" s="33">
        <v>22</v>
      </c>
      <c r="J30" s="19">
        <v>4</v>
      </c>
      <c r="K30" s="22">
        <v>20.8</v>
      </c>
      <c r="L30" s="23">
        <f>E30+ H30 + I30 * 4 +K30</f>
        <v>687.2299999999999</v>
      </c>
      <c r="M30" s="22">
        <v>1.01</v>
      </c>
      <c r="N30" s="25">
        <f t="shared" si="33"/>
        <v>694.1022999999999</v>
      </c>
      <c r="O30" s="26">
        <f xml:space="preserve">  B30 +N30</f>
        <v>852.53229999999985</v>
      </c>
      <c r="P30" s="27"/>
      <c r="Q30" s="28">
        <v>22.18</v>
      </c>
      <c r="R30" s="28"/>
      <c r="S30" s="29"/>
      <c r="T30" s="109"/>
      <c r="U30" s="19"/>
      <c r="V30" s="28"/>
      <c r="W30" s="28"/>
      <c r="X30" s="33"/>
      <c r="Y30" s="19"/>
      <c r="Z30" s="21"/>
      <c r="AA30" s="22"/>
      <c r="AB30" s="34"/>
      <c r="AC30" s="114"/>
      <c r="AD30" s="19"/>
      <c r="AE30" s="30">
        <f t="shared" si="30"/>
        <v>874.7122999999998</v>
      </c>
      <c r="AF30" s="31"/>
      <c r="AG30" s="93">
        <v>6.94</v>
      </c>
      <c r="AH30" s="94">
        <v>1.81</v>
      </c>
      <c r="AI30" s="94"/>
      <c r="AJ30" s="94"/>
      <c r="AK30" s="95"/>
      <c r="AL30" s="96">
        <v>0.1</v>
      </c>
      <c r="AM30" s="66">
        <v>10</v>
      </c>
      <c r="AN30" s="51">
        <f t="shared" si="34"/>
        <v>893.56229999999982</v>
      </c>
      <c r="AO30" s="48"/>
      <c r="AP30" s="45">
        <v>893.56</v>
      </c>
      <c r="AQ30" s="85" t="s">
        <v>53</v>
      </c>
    </row>
    <row r="31" spans="1:43" hidden="1">
      <c r="A31" s="90" t="s">
        <v>70</v>
      </c>
      <c r="B31" s="18">
        <v>158.43</v>
      </c>
      <c r="C31" s="32">
        <v>2</v>
      </c>
      <c r="D31" s="21">
        <v>45.99</v>
      </c>
      <c r="E31" s="19">
        <f t="shared" si="31"/>
        <v>91.98</v>
      </c>
      <c r="F31" s="20">
        <v>2</v>
      </c>
      <c r="G31" s="21">
        <v>28.99</v>
      </c>
      <c r="H31" s="22">
        <f t="shared" si="32"/>
        <v>57.98</v>
      </c>
      <c r="I31" s="33"/>
      <c r="J31" s="19"/>
      <c r="K31" s="22">
        <v>15.64</v>
      </c>
      <c r="L31" s="23">
        <f>E31+ H31 + I31 * 4 +K31</f>
        <v>165.60000000000002</v>
      </c>
      <c r="M31" s="22">
        <v>1.01</v>
      </c>
      <c r="N31" s="25">
        <f t="shared" si="33"/>
        <v>167.25600000000003</v>
      </c>
      <c r="O31" s="26">
        <f xml:space="preserve">  B31 +N31</f>
        <v>325.68600000000004</v>
      </c>
      <c r="P31" s="27"/>
      <c r="Q31" s="28">
        <v>22.18</v>
      </c>
      <c r="R31" s="28"/>
      <c r="S31" s="29"/>
      <c r="T31" s="109"/>
      <c r="U31" s="19"/>
      <c r="V31" s="28"/>
      <c r="W31" s="28"/>
      <c r="X31" s="33"/>
      <c r="Y31" s="19"/>
      <c r="Z31" s="21"/>
      <c r="AA31" s="22"/>
      <c r="AB31" s="34"/>
      <c r="AC31" s="114"/>
      <c r="AD31" s="19"/>
      <c r="AE31" s="30">
        <f t="shared" si="30"/>
        <v>347.86600000000004</v>
      </c>
      <c r="AF31" s="31"/>
      <c r="AG31" s="93">
        <v>1.67</v>
      </c>
      <c r="AH31" s="94">
        <v>1.81</v>
      </c>
      <c r="AI31" s="94"/>
      <c r="AJ31" s="94"/>
      <c r="AK31" s="95"/>
      <c r="AL31" s="96">
        <v>0.1</v>
      </c>
      <c r="AM31" s="66">
        <v>10</v>
      </c>
      <c r="AN31" s="51">
        <f t="shared" si="34"/>
        <v>361.44600000000003</v>
      </c>
      <c r="AO31" s="48"/>
      <c r="AP31" s="45">
        <v>361.45</v>
      </c>
      <c r="AQ31" s="85" t="s">
        <v>53</v>
      </c>
    </row>
    <row r="32" spans="1:43" hidden="1">
      <c r="A32" s="90" t="s">
        <v>71</v>
      </c>
      <c r="B32" s="18">
        <v>158.43</v>
      </c>
      <c r="C32" s="32">
        <v>2</v>
      </c>
      <c r="D32" s="21">
        <v>55.99</v>
      </c>
      <c r="E32" s="19">
        <f t="shared" ref="E32" si="43">D32*C32</f>
        <v>111.98</v>
      </c>
      <c r="F32" s="20">
        <v>2</v>
      </c>
      <c r="G32" s="21">
        <v>36.49</v>
      </c>
      <c r="H32" s="22">
        <f t="shared" ref="H32" si="44">G32*F32</f>
        <v>72.98</v>
      </c>
      <c r="I32" s="33"/>
      <c r="J32" s="19"/>
      <c r="K32" s="22">
        <v>17.73</v>
      </c>
      <c r="L32" s="23">
        <f>E32+ H32 + I32 * 4 +K32</f>
        <v>202.69</v>
      </c>
      <c r="M32" s="22">
        <v>1.01</v>
      </c>
      <c r="N32" s="25">
        <f t="shared" ref="N32" si="45">(L32* M32)</f>
        <v>204.71690000000001</v>
      </c>
      <c r="O32" s="26">
        <f xml:space="preserve">  B32 +N32</f>
        <v>363.14690000000002</v>
      </c>
      <c r="P32" s="27"/>
      <c r="Q32" s="28">
        <v>22.18</v>
      </c>
      <c r="R32" s="28"/>
      <c r="S32" s="29"/>
      <c r="T32" s="109">
        <v>40.4</v>
      </c>
      <c r="U32" s="19">
        <v>1</v>
      </c>
      <c r="V32" s="28">
        <v>20.2</v>
      </c>
      <c r="W32" s="28">
        <v>2</v>
      </c>
      <c r="X32" s="33">
        <v>40.4</v>
      </c>
      <c r="Y32" s="19">
        <v>1</v>
      </c>
      <c r="Z32" s="21">
        <v>19.190000000000001</v>
      </c>
      <c r="AA32" s="22">
        <v>2</v>
      </c>
      <c r="AB32" s="34">
        <f>4.03*4</f>
        <v>16.12</v>
      </c>
      <c r="AC32" s="114"/>
      <c r="AD32" s="19"/>
      <c r="AE32" s="30">
        <f t="shared" si="30"/>
        <v>561.02690000000007</v>
      </c>
      <c r="AF32" s="31"/>
      <c r="AG32" s="93">
        <v>2.0499999999999998</v>
      </c>
      <c r="AH32" s="94">
        <v>1.81</v>
      </c>
      <c r="AI32" s="94">
        <f>0.4+0.2+0.2+0.19+0.4+0.19</f>
        <v>1.58</v>
      </c>
      <c r="AJ32" s="94">
        <f>0.04+0.04+0.04+0.04</f>
        <v>0.16</v>
      </c>
      <c r="AK32" s="95"/>
      <c r="AL32" s="96">
        <v>0.1</v>
      </c>
      <c r="AM32" s="66">
        <v>10</v>
      </c>
      <c r="AN32" s="51">
        <f t="shared" ref="AN32" si="46">AG32+ AF32+ AH32 + AI32 + AJ32 + AK32 + AL32+AE32 + AM32</f>
        <v>576.72690000000011</v>
      </c>
      <c r="AO32" s="48"/>
      <c r="AP32" s="46"/>
      <c r="AQ32" s="87" t="s">
        <v>53</v>
      </c>
    </row>
    <row r="33" spans="1:44" hidden="1">
      <c r="A33" s="90" t="s">
        <v>72</v>
      </c>
      <c r="B33" s="18">
        <v>158.43</v>
      </c>
      <c r="C33" s="32">
        <v>2</v>
      </c>
      <c r="D33" s="21">
        <v>55.99</v>
      </c>
      <c r="E33" s="19">
        <f t="shared" si="31"/>
        <v>111.98</v>
      </c>
      <c r="F33" s="20">
        <v>2</v>
      </c>
      <c r="G33" s="21">
        <v>36.49</v>
      </c>
      <c r="H33" s="22">
        <f t="shared" si="32"/>
        <v>72.98</v>
      </c>
      <c r="I33" s="33"/>
      <c r="J33" s="19"/>
      <c r="K33" s="22">
        <v>17.73</v>
      </c>
      <c r="L33" s="23">
        <f>E33+ H33 + I33 * 4 +K33</f>
        <v>202.69</v>
      </c>
      <c r="M33" s="22">
        <v>1.01</v>
      </c>
      <c r="N33" s="25">
        <f>(L33* M33)</f>
        <v>204.71690000000001</v>
      </c>
      <c r="O33" s="26">
        <f xml:space="preserve">  B33 +N33</f>
        <v>363.14690000000002</v>
      </c>
      <c r="P33" s="27"/>
      <c r="Q33" s="28">
        <v>7.92</v>
      </c>
      <c r="R33" s="28"/>
      <c r="S33" s="29"/>
      <c r="T33" s="109">
        <v>40.4</v>
      </c>
      <c r="U33" s="19">
        <v>1</v>
      </c>
      <c r="V33" s="28">
        <v>20.2</v>
      </c>
      <c r="W33" s="28">
        <v>2</v>
      </c>
      <c r="X33" s="33">
        <v>40.4</v>
      </c>
      <c r="Y33" s="19">
        <v>1</v>
      </c>
      <c r="Z33" s="21">
        <v>19.190000000000001</v>
      </c>
      <c r="AA33" s="22">
        <v>2</v>
      </c>
      <c r="AB33" s="34">
        <f>4.03*4</f>
        <v>16.12</v>
      </c>
      <c r="AC33" s="114"/>
      <c r="AD33" s="19"/>
      <c r="AE33" s="30">
        <f t="shared" si="30"/>
        <v>546.76690000000008</v>
      </c>
      <c r="AF33" s="31"/>
      <c r="AG33" s="93">
        <v>2.0499999999999998</v>
      </c>
      <c r="AH33" s="94">
        <v>1.66</v>
      </c>
      <c r="AI33" s="94">
        <f>0.4+0.2+0.2+0.19+0.4+0.19</f>
        <v>1.58</v>
      </c>
      <c r="AJ33" s="94">
        <f>0.04+0.04+0.04+0.04</f>
        <v>0.16</v>
      </c>
      <c r="AK33" s="95"/>
      <c r="AL33" s="96">
        <v>0.12</v>
      </c>
      <c r="AM33" s="66">
        <v>12</v>
      </c>
      <c r="AN33" s="51">
        <f t="shared" si="34"/>
        <v>564.33690000000013</v>
      </c>
      <c r="AO33" s="48"/>
      <c r="AP33" s="45"/>
      <c r="AQ33" s="67" t="s">
        <v>53</v>
      </c>
    </row>
    <row r="34" spans="1:44" hidden="1">
      <c r="A34" s="90" t="s">
        <v>73</v>
      </c>
      <c r="B34" s="18">
        <v>158.43</v>
      </c>
      <c r="C34" s="32">
        <v>2</v>
      </c>
      <c r="D34" s="21">
        <v>43.49</v>
      </c>
      <c r="E34" s="19">
        <f t="shared" si="31"/>
        <v>86.98</v>
      </c>
      <c r="F34" s="20">
        <v>2</v>
      </c>
      <c r="G34" s="21">
        <v>26.49</v>
      </c>
      <c r="H34" s="22">
        <f t="shared" si="32"/>
        <v>52.98</v>
      </c>
      <c r="I34" s="33"/>
      <c r="J34" s="19"/>
      <c r="K34" s="22">
        <v>15.54</v>
      </c>
      <c r="L34" s="23">
        <f>E34+ H34 + I34 * 4 +K34</f>
        <v>155.5</v>
      </c>
      <c r="M34" s="22">
        <v>1.01</v>
      </c>
      <c r="N34" s="25">
        <f t="shared" ref="N34:N37" si="47">(L34* M34)</f>
        <v>157.05500000000001</v>
      </c>
      <c r="O34" s="26">
        <f xml:space="preserve">  B34 +N34</f>
        <v>315.48500000000001</v>
      </c>
      <c r="P34" s="27"/>
      <c r="Q34" s="28">
        <v>7.92</v>
      </c>
      <c r="R34" s="28"/>
      <c r="S34" s="29"/>
      <c r="T34" s="109"/>
      <c r="U34" s="19"/>
      <c r="V34" s="28"/>
      <c r="W34" s="28"/>
      <c r="X34" s="33"/>
      <c r="Y34" s="19"/>
      <c r="Z34" s="21"/>
      <c r="AA34" s="22"/>
      <c r="AB34" s="34"/>
      <c r="AC34" s="114"/>
      <c r="AD34" s="19"/>
      <c r="AE34" s="30">
        <f t="shared" si="30"/>
        <v>323.40500000000003</v>
      </c>
      <c r="AF34" s="31"/>
      <c r="AG34" s="93">
        <v>1.57</v>
      </c>
      <c r="AH34" s="94">
        <v>1.66</v>
      </c>
      <c r="AI34" s="94"/>
      <c r="AJ34" s="94"/>
      <c r="AK34" s="95"/>
      <c r="AL34" s="96">
        <v>0.12</v>
      </c>
      <c r="AM34" s="66">
        <v>12</v>
      </c>
      <c r="AN34" s="51">
        <f t="shared" si="34"/>
        <v>338.75500000000005</v>
      </c>
      <c r="AO34" s="49">
        <f t="shared" ref="AO34:AO37" si="48">AP34-AN34</f>
        <v>4.9999999999386091E-3</v>
      </c>
      <c r="AP34" s="45">
        <v>338.76</v>
      </c>
      <c r="AQ34" s="83" t="s">
        <v>53</v>
      </c>
    </row>
    <row r="35" spans="1:44" hidden="1">
      <c r="A35" s="90" t="s">
        <v>74</v>
      </c>
      <c r="B35" s="18">
        <v>158.43</v>
      </c>
      <c r="C35" s="32">
        <v>3</v>
      </c>
      <c r="D35" s="21">
        <v>97.99</v>
      </c>
      <c r="E35" s="19">
        <f t="shared" si="31"/>
        <v>293.96999999999997</v>
      </c>
      <c r="F35" s="20">
        <v>3</v>
      </c>
      <c r="G35" s="21">
        <v>76.989999999999995</v>
      </c>
      <c r="H35" s="22">
        <f t="shared" si="32"/>
        <v>230.96999999999997</v>
      </c>
      <c r="I35" s="33">
        <v>22</v>
      </c>
      <c r="J35" s="19">
        <v>4</v>
      </c>
      <c r="K35" s="22">
        <v>20.27</v>
      </c>
      <c r="L35" s="23">
        <f>E35+ H35 + I35 * 4 +K35</f>
        <v>633.20999999999992</v>
      </c>
      <c r="M35" s="22">
        <v>1.01</v>
      </c>
      <c r="N35" s="25">
        <f t="shared" si="47"/>
        <v>639.54209999999989</v>
      </c>
      <c r="O35" s="26">
        <f xml:space="preserve">  B35 +N35</f>
        <v>797.97209999999995</v>
      </c>
      <c r="P35" s="27"/>
      <c r="Q35" s="28">
        <v>7.92</v>
      </c>
      <c r="R35" s="28"/>
      <c r="S35" s="29"/>
      <c r="T35" s="110"/>
      <c r="U35" s="19"/>
      <c r="V35" s="19"/>
      <c r="W35" s="19"/>
      <c r="X35" s="33"/>
      <c r="Y35" s="19"/>
      <c r="Z35" s="19"/>
      <c r="AA35" s="22"/>
      <c r="AB35" s="34"/>
      <c r="AC35" s="114"/>
      <c r="AD35" s="19"/>
      <c r="AE35" s="30">
        <f t="shared" si="30"/>
        <v>805.89209999999991</v>
      </c>
      <c r="AF35" s="31"/>
      <c r="AG35" s="97">
        <v>6.4</v>
      </c>
      <c r="AH35" s="95">
        <v>1.66</v>
      </c>
      <c r="AI35" s="95"/>
      <c r="AJ35" s="95"/>
      <c r="AK35" s="95"/>
      <c r="AL35" s="96">
        <v>0.12</v>
      </c>
      <c r="AM35" s="66">
        <v>12</v>
      </c>
      <c r="AN35" s="51">
        <f t="shared" si="34"/>
        <v>826.07209999999986</v>
      </c>
      <c r="AO35" s="49">
        <f t="shared" si="48"/>
        <v>-2.0999999998139174E-3</v>
      </c>
      <c r="AP35" s="45">
        <v>826.07</v>
      </c>
      <c r="AQ35" s="84" t="s">
        <v>53</v>
      </c>
    </row>
    <row r="36" spans="1:44" hidden="1">
      <c r="A36" s="90" t="s">
        <v>75</v>
      </c>
      <c r="B36" s="18">
        <v>232.28</v>
      </c>
      <c r="C36" s="32">
        <v>2</v>
      </c>
      <c r="D36" s="21">
        <v>81.99</v>
      </c>
      <c r="E36" s="19">
        <f t="shared" si="31"/>
        <v>163.98</v>
      </c>
      <c r="F36" s="20">
        <v>2</v>
      </c>
      <c r="G36" s="21">
        <v>60.99</v>
      </c>
      <c r="H36" s="22">
        <f t="shared" si="32"/>
        <v>121.98</v>
      </c>
      <c r="I36" s="33">
        <v>22</v>
      </c>
      <c r="J36" s="19">
        <v>4</v>
      </c>
      <c r="K36" s="22">
        <v>17.88</v>
      </c>
      <c r="L36" s="23">
        <f>E36+ H36 + I36 * 4 +K36</f>
        <v>391.84</v>
      </c>
      <c r="M36" s="22">
        <v>1.01</v>
      </c>
      <c r="N36" s="25">
        <f>(L36* M36)</f>
        <v>395.75839999999999</v>
      </c>
      <c r="O36" s="26">
        <f xml:space="preserve">  B36 +N36</f>
        <v>628.03840000000002</v>
      </c>
      <c r="P36" s="27"/>
      <c r="Q36" s="28">
        <v>12.62</v>
      </c>
      <c r="R36" s="28"/>
      <c r="S36" s="29"/>
      <c r="T36" s="109"/>
      <c r="U36" s="19"/>
      <c r="V36" s="28"/>
      <c r="W36" s="28"/>
      <c r="X36" s="33"/>
      <c r="Y36" s="19"/>
      <c r="Z36" s="21"/>
      <c r="AA36" s="22"/>
      <c r="AB36" s="34"/>
      <c r="AC36" s="114"/>
      <c r="AD36" s="19"/>
      <c r="AE36" s="30">
        <f t="shared" si="30"/>
        <v>640.65840000000003</v>
      </c>
      <c r="AF36" s="31"/>
      <c r="AG36" s="93">
        <v>3.96</v>
      </c>
      <c r="AH36" s="94">
        <v>2.65</v>
      </c>
      <c r="AI36" s="94"/>
      <c r="AJ36" s="94"/>
      <c r="AK36" s="95"/>
      <c r="AL36" s="96">
        <v>0.12</v>
      </c>
      <c r="AM36" s="66">
        <v>12</v>
      </c>
      <c r="AN36" s="51">
        <f t="shared" si="34"/>
        <v>659.38840000000005</v>
      </c>
      <c r="AO36" s="49">
        <f>AP36-AN36</f>
        <v>20.141599999999926</v>
      </c>
      <c r="AP36" s="45">
        <v>679.53</v>
      </c>
      <c r="AQ36" s="80" t="s">
        <v>76</v>
      </c>
    </row>
    <row r="37" spans="1:44" hidden="1">
      <c r="A37" s="90" t="s">
        <v>77</v>
      </c>
      <c r="B37" s="18">
        <v>236.3</v>
      </c>
      <c r="C37" s="32">
        <v>4</v>
      </c>
      <c r="D37" s="21">
        <v>136.49</v>
      </c>
      <c r="E37" s="19">
        <f t="shared" si="31"/>
        <v>545.96</v>
      </c>
      <c r="F37" s="20">
        <v>4</v>
      </c>
      <c r="G37" s="21">
        <v>113.49</v>
      </c>
      <c r="H37" s="22">
        <f t="shared" si="32"/>
        <v>453.96</v>
      </c>
      <c r="I37" s="33"/>
      <c r="J37" s="19"/>
      <c r="K37" s="22">
        <v>24.14</v>
      </c>
      <c r="L37" s="23">
        <f>E37+ H37 + I37 * 4 +K37</f>
        <v>1024.0600000000002</v>
      </c>
      <c r="M37" s="22">
        <v>1.01</v>
      </c>
      <c r="N37" s="25">
        <f t="shared" si="47"/>
        <v>1034.3006000000003</v>
      </c>
      <c r="O37" s="26">
        <f xml:space="preserve">  B37 +N37</f>
        <v>1270.6006000000002</v>
      </c>
      <c r="P37" s="27"/>
      <c r="Q37" s="28">
        <v>11.82</v>
      </c>
      <c r="R37" s="28"/>
      <c r="S37" s="29"/>
      <c r="T37" s="109"/>
      <c r="U37" s="19"/>
      <c r="V37" s="28"/>
      <c r="W37" s="28"/>
      <c r="X37" s="33"/>
      <c r="Y37" s="19"/>
      <c r="Z37" s="21"/>
      <c r="AA37" s="22"/>
      <c r="AB37" s="34"/>
      <c r="AC37" s="114"/>
      <c r="AD37" s="19"/>
      <c r="AE37" s="30">
        <f t="shared" si="30"/>
        <v>1282.4206000000001</v>
      </c>
      <c r="AF37" s="31"/>
      <c r="AG37" s="93">
        <v>10.34</v>
      </c>
      <c r="AH37" s="94">
        <v>2.48</v>
      </c>
      <c r="AI37" s="94"/>
      <c r="AJ37" s="94"/>
      <c r="AK37" s="95"/>
      <c r="AL37" s="96">
        <v>0.12</v>
      </c>
      <c r="AM37" s="66">
        <v>12</v>
      </c>
      <c r="AN37" s="51">
        <f t="shared" si="34"/>
        <v>1307.3606000000002</v>
      </c>
      <c r="AO37" s="49"/>
      <c r="AP37" s="45"/>
      <c r="AQ37" s="81">
        <f>1307.36-AN37</f>
        <v>-6.0000000030413503E-4</v>
      </c>
    </row>
    <row r="38" spans="1:44" hidden="1">
      <c r="A38" s="90" t="s">
        <v>78</v>
      </c>
      <c r="B38" s="18">
        <v>249.92</v>
      </c>
      <c r="C38" s="32">
        <v>2</v>
      </c>
      <c r="D38" s="21">
        <v>66.489999999999995</v>
      </c>
      <c r="E38" s="19">
        <f t="shared" ref="E38:E39" si="49">D38*C38</f>
        <v>132.97999999999999</v>
      </c>
      <c r="F38" s="20">
        <v>2</v>
      </c>
      <c r="G38" s="21">
        <v>47.49</v>
      </c>
      <c r="H38" s="22">
        <f t="shared" ref="H38:H39" si="50">G38*F38</f>
        <v>94.98</v>
      </c>
      <c r="I38" s="33">
        <v>22</v>
      </c>
      <c r="J38" s="19">
        <v>4</v>
      </c>
      <c r="K38" s="22">
        <v>17.3</v>
      </c>
      <c r="L38" s="23">
        <f>E38+ H38 + I38 * 4 +K38</f>
        <v>333.26</v>
      </c>
      <c r="M38" s="22">
        <v>1</v>
      </c>
      <c r="N38" s="25">
        <f t="shared" ref="N38:N39" si="51">(L38* M38)</f>
        <v>333.26</v>
      </c>
      <c r="O38" s="26">
        <f xml:space="preserve">  B38 +N38</f>
        <v>583.17999999999995</v>
      </c>
      <c r="P38" s="27"/>
      <c r="Q38" s="28">
        <v>18.3</v>
      </c>
      <c r="R38" s="28"/>
      <c r="S38" s="29"/>
      <c r="T38" s="110"/>
      <c r="U38" s="19"/>
      <c r="V38" s="19"/>
      <c r="W38" s="19"/>
      <c r="X38" s="33"/>
      <c r="Y38" s="19"/>
      <c r="Z38" s="19"/>
      <c r="AA38" s="22"/>
      <c r="AB38" s="34"/>
      <c r="AC38" s="114"/>
      <c r="AD38" s="19"/>
      <c r="AE38" s="30">
        <f>O38 + Q38 + ((T38*U38) + (V38*W38)) + ( (X38*Y38) + (Z38*AA38)) + (AB38-AC38)+AD38</f>
        <v>601.4799999999999</v>
      </c>
      <c r="AF38" s="31">
        <v>10</v>
      </c>
      <c r="AG38" s="97"/>
      <c r="AH38" s="95"/>
      <c r="AI38" s="95"/>
      <c r="AJ38" s="95"/>
      <c r="AK38" s="95"/>
      <c r="AL38" s="96"/>
      <c r="AM38" s="66">
        <v>10</v>
      </c>
      <c r="AN38" s="51">
        <f t="shared" ref="AN38:AN39" si="52">AG38+ AF38+ AH38 + AI38 + AJ38 + AK38 + AL38+AE38 + AM38</f>
        <v>621.4799999999999</v>
      </c>
      <c r="AO38" s="49">
        <f>AP38-AN38</f>
        <v>0</v>
      </c>
      <c r="AP38" s="45">
        <v>621.48</v>
      </c>
      <c r="AQ38" s="88" t="s">
        <v>53</v>
      </c>
    </row>
    <row r="39" spans="1:44" hidden="1">
      <c r="A39" s="90" t="s">
        <v>79</v>
      </c>
      <c r="B39" s="18">
        <v>156.86000000000001</v>
      </c>
      <c r="C39" s="32">
        <v>3</v>
      </c>
      <c r="D39" s="21">
        <v>129.82</v>
      </c>
      <c r="E39" s="19">
        <f t="shared" si="49"/>
        <v>389.46</v>
      </c>
      <c r="F39" s="20">
        <v>3</v>
      </c>
      <c r="G39" s="19">
        <v>100.16</v>
      </c>
      <c r="H39" s="22">
        <f t="shared" si="50"/>
        <v>300.48</v>
      </c>
      <c r="I39" s="33">
        <v>22</v>
      </c>
      <c r="J39" s="19">
        <v>4</v>
      </c>
      <c r="K39" s="22">
        <v>21.92</v>
      </c>
      <c r="L39" s="23">
        <f>E39+ H39 + I39 * 4 +K39</f>
        <v>799.86</v>
      </c>
      <c r="M39" s="22">
        <v>1</v>
      </c>
      <c r="N39" s="25">
        <f t="shared" si="51"/>
        <v>799.86</v>
      </c>
      <c r="O39" s="26">
        <f xml:space="preserve">  B39 +N39</f>
        <v>956.72</v>
      </c>
      <c r="P39" s="27"/>
      <c r="Q39" s="28">
        <v>14.57</v>
      </c>
      <c r="R39" s="28"/>
      <c r="S39" s="29"/>
      <c r="T39" s="110"/>
      <c r="U39" s="19"/>
      <c r="V39" s="19"/>
      <c r="W39" s="19"/>
      <c r="X39" s="33"/>
      <c r="Y39" s="19"/>
      <c r="Z39" s="19"/>
      <c r="AA39" s="22"/>
      <c r="AB39" s="34"/>
      <c r="AC39" s="114"/>
      <c r="AD39" s="19"/>
      <c r="AE39" s="30">
        <f t="shared" si="30"/>
        <v>971.29000000000008</v>
      </c>
      <c r="AF39" s="31">
        <v>7.5</v>
      </c>
      <c r="AG39" s="97"/>
      <c r="AH39" s="95"/>
      <c r="AI39" s="95"/>
      <c r="AJ39" s="95"/>
      <c r="AK39" s="95"/>
      <c r="AL39" s="96"/>
      <c r="AM39" s="66">
        <v>10</v>
      </c>
      <c r="AN39" s="51">
        <f t="shared" si="52"/>
        <v>988.79000000000008</v>
      </c>
      <c r="AO39" s="49">
        <f>AP39-AN39</f>
        <v>14.999999999999886</v>
      </c>
      <c r="AP39" s="45">
        <v>1003.79</v>
      </c>
      <c r="AQ39" s="88" t="s">
        <v>53</v>
      </c>
      <c r="AR39" s="36"/>
    </row>
    <row r="40" spans="1:44" hidden="1">
      <c r="A40" s="90" t="s">
        <v>80</v>
      </c>
      <c r="B40" s="18">
        <v>156.86000000000001</v>
      </c>
      <c r="C40" s="32">
        <v>2</v>
      </c>
      <c r="D40" s="19">
        <v>48.49</v>
      </c>
      <c r="E40" s="19">
        <f>D40*C40</f>
        <v>96.98</v>
      </c>
      <c r="F40" s="20">
        <v>2</v>
      </c>
      <c r="G40" s="19">
        <v>31.49</v>
      </c>
      <c r="H40" s="22">
        <f>G40*F40</f>
        <v>62.98</v>
      </c>
      <c r="I40" s="33"/>
      <c r="J40" s="19"/>
      <c r="K40" s="22">
        <v>15.74</v>
      </c>
      <c r="L40" s="23">
        <f>E40+ H40 + I40 * 4 +K40</f>
        <v>175.70000000000002</v>
      </c>
      <c r="M40" s="22">
        <v>1</v>
      </c>
      <c r="N40" s="25">
        <f>(L40* M40)</f>
        <v>175.70000000000002</v>
      </c>
      <c r="O40" s="26">
        <f xml:space="preserve">  B40 +N40</f>
        <v>332.56000000000006</v>
      </c>
      <c r="P40" s="27"/>
      <c r="Q40" s="28">
        <v>14.57</v>
      </c>
      <c r="R40" s="28"/>
      <c r="S40" s="29"/>
      <c r="T40" s="110"/>
      <c r="U40" s="19"/>
      <c r="V40" s="19"/>
      <c r="W40" s="19"/>
      <c r="X40" s="33"/>
      <c r="Y40" s="19"/>
      <c r="Z40" s="19"/>
      <c r="AA40" s="22"/>
      <c r="AB40" s="34"/>
      <c r="AC40" s="114"/>
      <c r="AD40" s="19"/>
      <c r="AE40" s="30">
        <f t="shared" si="30"/>
        <v>347.13000000000005</v>
      </c>
      <c r="AF40" s="31">
        <v>5</v>
      </c>
      <c r="AG40" s="97"/>
      <c r="AH40" s="95"/>
      <c r="AI40" s="95"/>
      <c r="AJ40" s="95"/>
      <c r="AK40" s="95"/>
      <c r="AL40" s="96"/>
      <c r="AM40" s="66">
        <v>10</v>
      </c>
      <c r="AN40" s="51">
        <f>AG40+ AF40+ AH40 + AI40 + AJ40 + AK40 + AL40+AE40 + AM40</f>
        <v>362.13000000000005</v>
      </c>
      <c r="AO40" s="49">
        <f>AP40-AN40</f>
        <v>14.999999999999943</v>
      </c>
      <c r="AP40" s="45">
        <v>377.13</v>
      </c>
      <c r="AQ40" s="88" t="s">
        <v>53</v>
      </c>
      <c r="AR40" s="36"/>
    </row>
    <row r="41" spans="1:44" hidden="1">
      <c r="A41" s="90" t="s">
        <v>81</v>
      </c>
      <c r="B41" s="18">
        <v>156.86000000000001</v>
      </c>
      <c r="C41" s="32">
        <v>2</v>
      </c>
      <c r="D41" s="21">
        <v>58.99</v>
      </c>
      <c r="E41" s="19">
        <f t="shared" ref="E41" si="53">D41*C41</f>
        <v>117.98</v>
      </c>
      <c r="F41" s="20">
        <v>2</v>
      </c>
      <c r="G41" s="21">
        <v>39.74</v>
      </c>
      <c r="H41" s="22">
        <f t="shared" ref="H41" si="54">G41*F41</f>
        <v>79.48</v>
      </c>
      <c r="I41" s="33"/>
      <c r="J41" s="19"/>
      <c r="K41" s="22">
        <v>17.850000000000001</v>
      </c>
      <c r="L41" s="23">
        <f>E41+ H41 + I41 * 4 +K41</f>
        <v>215.31</v>
      </c>
      <c r="M41" s="22">
        <v>1</v>
      </c>
      <c r="N41" s="25">
        <f>(L41* M41)</f>
        <v>215.31</v>
      </c>
      <c r="O41" s="26">
        <f xml:space="preserve">  B41 +N41</f>
        <v>372.17</v>
      </c>
      <c r="P41" s="27"/>
      <c r="Q41" s="28">
        <v>14.57</v>
      </c>
      <c r="R41" s="28"/>
      <c r="S41" s="29"/>
      <c r="T41" s="109">
        <v>40</v>
      </c>
      <c r="U41" s="19">
        <v>1</v>
      </c>
      <c r="V41" s="28">
        <v>20</v>
      </c>
      <c r="W41" s="28">
        <v>2</v>
      </c>
      <c r="X41" s="33">
        <v>40</v>
      </c>
      <c r="Y41" s="19">
        <v>1</v>
      </c>
      <c r="Z41" s="21">
        <v>19</v>
      </c>
      <c r="AA41" s="22">
        <v>2</v>
      </c>
      <c r="AB41" s="34">
        <f>(3.99*4)</f>
        <v>15.96</v>
      </c>
      <c r="AC41" s="114">
        <v>57.57</v>
      </c>
      <c r="AD41" s="19"/>
      <c r="AE41" s="30">
        <f t="shared" si="30"/>
        <v>503.13</v>
      </c>
      <c r="AF41" s="31">
        <v>5</v>
      </c>
      <c r="AG41" s="93"/>
      <c r="AH41" s="94"/>
      <c r="AI41" s="94"/>
      <c r="AJ41" s="94"/>
      <c r="AK41" s="95"/>
      <c r="AL41" s="96"/>
      <c r="AM41" s="66">
        <v>10</v>
      </c>
      <c r="AN41" s="51">
        <f>AG41+ AF41+ AH41 + AI41 + AJ41 + AK41 + AL41+AE41 + AM41</f>
        <v>518.13</v>
      </c>
      <c r="AO41" s="49"/>
      <c r="AP41" s="45"/>
      <c r="AQ41" s="80" t="s">
        <v>82</v>
      </c>
    </row>
    <row r="42" spans="1:44" hidden="1">
      <c r="A42" s="54" t="s">
        <v>83</v>
      </c>
      <c r="B42" s="18">
        <v>232.28</v>
      </c>
      <c r="C42" s="32">
        <v>2</v>
      </c>
      <c r="D42" s="19">
        <v>70.989999999999995</v>
      </c>
      <c r="E42" s="19">
        <f t="shared" ref="E42:E45" si="55">D42*C42</f>
        <v>141.97999999999999</v>
      </c>
      <c r="F42" s="20">
        <v>2</v>
      </c>
      <c r="G42" s="19">
        <v>51.99</v>
      </c>
      <c r="H42" s="22">
        <f t="shared" ref="H42:H45" si="56">G42*F42</f>
        <v>103.98</v>
      </c>
      <c r="I42" s="33">
        <v>22</v>
      </c>
      <c r="J42" s="21">
        <v>4</v>
      </c>
      <c r="K42" s="22">
        <v>17.48</v>
      </c>
      <c r="L42" s="23">
        <f>E42+ H42 + I42 * 4 +K42</f>
        <v>351.44</v>
      </c>
      <c r="M42" s="24">
        <v>1.01</v>
      </c>
      <c r="N42" s="25">
        <f t="shared" ref="N42:N45" si="57">(L42* M42)</f>
        <v>354.95440000000002</v>
      </c>
      <c r="O42" s="26">
        <f xml:space="preserve">  B42 +N42</f>
        <v>587.23440000000005</v>
      </c>
      <c r="P42" s="27"/>
      <c r="Q42" s="28">
        <v>40.1</v>
      </c>
      <c r="R42" s="28"/>
      <c r="S42" s="29"/>
      <c r="T42" s="110"/>
      <c r="U42" s="19"/>
      <c r="V42" s="19"/>
      <c r="W42" s="19"/>
      <c r="X42" s="33"/>
      <c r="Y42" s="19"/>
      <c r="Z42" s="21"/>
      <c r="AA42" s="22"/>
      <c r="AB42" s="34"/>
      <c r="AC42" s="114"/>
      <c r="AD42" s="19"/>
      <c r="AE42" s="30">
        <f t="shared" si="30"/>
        <v>627.33440000000007</v>
      </c>
      <c r="AF42" s="31"/>
      <c r="AG42" s="97"/>
      <c r="AH42" s="95"/>
      <c r="AI42" s="95"/>
      <c r="AJ42" s="95"/>
      <c r="AK42" s="95"/>
      <c r="AL42" s="96"/>
      <c r="AM42" s="66">
        <v>10</v>
      </c>
      <c r="AN42" s="51">
        <f t="shared" ref="AN42:AN45" si="58">AG42+ AF42+ AH42 + AI42 + AJ42 + AK42 + AL42+AE42 + AM42</f>
        <v>637.33440000000007</v>
      </c>
      <c r="AO42" s="49">
        <f>(AP42-AN42)-20.14</f>
        <v>63.725599999999972</v>
      </c>
      <c r="AP42" s="45">
        <v>721.2</v>
      </c>
      <c r="AQ42" s="79" t="s">
        <v>84</v>
      </c>
      <c r="AR42" s="36"/>
    </row>
    <row r="43" spans="1:44" hidden="1">
      <c r="A43" s="90" t="s">
        <v>85</v>
      </c>
      <c r="B43" s="18">
        <v>158.43</v>
      </c>
      <c r="C43" s="32">
        <v>3</v>
      </c>
      <c r="D43" s="21">
        <v>116.49</v>
      </c>
      <c r="E43" s="19">
        <f t="shared" si="55"/>
        <v>349.46999999999997</v>
      </c>
      <c r="F43" s="20">
        <v>3</v>
      </c>
      <c r="G43" s="21">
        <v>93.49</v>
      </c>
      <c r="H43" s="22">
        <f t="shared" si="56"/>
        <v>280.46999999999997</v>
      </c>
      <c r="I43" s="33">
        <v>22</v>
      </c>
      <c r="J43" s="19">
        <v>4</v>
      </c>
      <c r="K43" s="22">
        <v>21.32</v>
      </c>
      <c r="L43" s="23">
        <f>E43+ H43 + I43 * 4 +K43</f>
        <v>739.26</v>
      </c>
      <c r="M43" s="22">
        <v>1.01</v>
      </c>
      <c r="N43" s="25">
        <f>(L43* M43)</f>
        <v>746.65260000000001</v>
      </c>
      <c r="O43" s="26">
        <f xml:space="preserve">  B43 +N43</f>
        <v>905.08259999999996</v>
      </c>
      <c r="P43" s="27"/>
      <c r="Q43" s="28">
        <v>40.1</v>
      </c>
      <c r="R43" s="28"/>
      <c r="S43" s="29"/>
      <c r="T43" s="109"/>
      <c r="U43" s="19"/>
      <c r="V43" s="28"/>
      <c r="W43" s="28"/>
      <c r="X43" s="33"/>
      <c r="Y43" s="19"/>
      <c r="Z43" s="21"/>
      <c r="AA43" s="22"/>
      <c r="AB43" s="34"/>
      <c r="AC43" s="114"/>
      <c r="AD43" s="19"/>
      <c r="AE43" s="30">
        <f t="shared" si="30"/>
        <v>945.18259999999998</v>
      </c>
      <c r="AF43" s="31"/>
      <c r="AG43" s="93"/>
      <c r="AH43" s="94"/>
      <c r="AI43" s="94"/>
      <c r="AJ43" s="94"/>
      <c r="AK43" s="95"/>
      <c r="AL43" s="96"/>
      <c r="AM43" s="66">
        <v>10</v>
      </c>
      <c r="AN43" s="51">
        <f t="shared" si="58"/>
        <v>955.18259999999998</v>
      </c>
      <c r="AO43" s="49">
        <f>AP43-AN43</f>
        <v>95.517400000000066</v>
      </c>
      <c r="AP43" s="46">
        <v>1050.7</v>
      </c>
      <c r="AQ43" s="85" t="s">
        <v>53</v>
      </c>
    </row>
    <row r="44" spans="1:44" hidden="1">
      <c r="A44" s="90" t="s">
        <v>86</v>
      </c>
      <c r="B44" s="18">
        <v>158.43</v>
      </c>
      <c r="C44" s="32">
        <v>2</v>
      </c>
      <c r="D44" s="19">
        <v>43.49</v>
      </c>
      <c r="E44" s="19">
        <f t="shared" si="55"/>
        <v>86.98</v>
      </c>
      <c r="F44" s="20">
        <v>2</v>
      </c>
      <c r="G44" s="19">
        <v>26.49</v>
      </c>
      <c r="H44" s="22">
        <f t="shared" si="56"/>
        <v>52.98</v>
      </c>
      <c r="I44" s="33"/>
      <c r="J44" s="19"/>
      <c r="K44" s="22">
        <v>15.54</v>
      </c>
      <c r="L44" s="23">
        <f>E44+ H44 + I44 * 4 +K44</f>
        <v>155.5</v>
      </c>
      <c r="M44" s="22">
        <v>1.01</v>
      </c>
      <c r="N44" s="25">
        <f t="shared" si="57"/>
        <v>157.05500000000001</v>
      </c>
      <c r="O44" s="26">
        <f xml:space="preserve">  B44 +N44</f>
        <v>315.48500000000001</v>
      </c>
      <c r="P44" s="27"/>
      <c r="Q44" s="28">
        <v>40.1</v>
      </c>
      <c r="R44" s="28"/>
      <c r="S44" s="29"/>
      <c r="T44" s="110"/>
      <c r="U44" s="19"/>
      <c r="V44" s="19"/>
      <c r="W44" s="19"/>
      <c r="X44" s="33"/>
      <c r="Y44" s="19"/>
      <c r="Z44" s="19"/>
      <c r="AA44" s="22"/>
      <c r="AB44" s="34"/>
      <c r="AC44" s="114"/>
      <c r="AD44" s="19"/>
      <c r="AE44" s="30">
        <f t="shared" si="30"/>
        <v>355.58500000000004</v>
      </c>
      <c r="AF44" s="31"/>
      <c r="AG44" s="97"/>
      <c r="AH44" s="95"/>
      <c r="AI44" s="95"/>
      <c r="AJ44" s="95"/>
      <c r="AK44" s="95"/>
      <c r="AL44" s="96"/>
      <c r="AM44" s="66">
        <v>10</v>
      </c>
      <c r="AN44" s="51">
        <f t="shared" si="58"/>
        <v>365.58500000000004</v>
      </c>
      <c r="AO44" s="49">
        <f>AP44-AN44</f>
        <v>36.564999999999941</v>
      </c>
      <c r="AP44" s="45">
        <v>402.15</v>
      </c>
      <c r="AQ44" s="82" t="s">
        <v>87</v>
      </c>
      <c r="AR44" t="s">
        <v>53</v>
      </c>
    </row>
    <row r="45" spans="1:44" hidden="1">
      <c r="A45" s="90" t="s">
        <v>88</v>
      </c>
      <c r="B45" s="18">
        <v>158.43</v>
      </c>
      <c r="C45" s="32">
        <v>2</v>
      </c>
      <c r="D45" s="19">
        <v>38.49</v>
      </c>
      <c r="E45" s="19">
        <f t="shared" si="55"/>
        <v>76.98</v>
      </c>
      <c r="F45" s="20">
        <v>2</v>
      </c>
      <c r="G45" s="19">
        <v>21.49</v>
      </c>
      <c r="H45" s="22">
        <f t="shared" si="56"/>
        <v>42.98</v>
      </c>
      <c r="I45" s="33"/>
      <c r="J45" s="19"/>
      <c r="K45" s="22">
        <v>17.399999999999999</v>
      </c>
      <c r="L45" s="23">
        <f>E45+ H45 + I45 * 4 +K45</f>
        <v>137.36000000000001</v>
      </c>
      <c r="M45" s="22">
        <v>1.01</v>
      </c>
      <c r="N45" s="25">
        <f t="shared" si="57"/>
        <v>138.73360000000002</v>
      </c>
      <c r="O45" s="26">
        <f xml:space="preserve">  B45 +N45</f>
        <v>297.16360000000003</v>
      </c>
      <c r="P45" s="27"/>
      <c r="Q45" s="28">
        <v>40.1</v>
      </c>
      <c r="R45" s="28"/>
      <c r="S45" s="29"/>
      <c r="T45" s="110">
        <v>40.4</v>
      </c>
      <c r="U45" s="19">
        <v>1</v>
      </c>
      <c r="V45" s="19">
        <v>20.2</v>
      </c>
      <c r="W45" s="19">
        <v>2</v>
      </c>
      <c r="X45" s="33">
        <v>40.4</v>
      </c>
      <c r="Y45" s="19">
        <v>1</v>
      </c>
      <c r="Z45" s="19">
        <v>19.899999999999999</v>
      </c>
      <c r="AA45" s="22">
        <v>2</v>
      </c>
      <c r="AB45" s="34">
        <v>47.96</v>
      </c>
      <c r="AC45" s="114">
        <v>110.64</v>
      </c>
      <c r="AD45" s="19"/>
      <c r="AE45" s="30">
        <f t="shared" si="30"/>
        <v>435.58360000000005</v>
      </c>
      <c r="AF45" s="31"/>
      <c r="AG45" s="97"/>
      <c r="AH45" s="95"/>
      <c r="AI45" s="95"/>
      <c r="AJ45" s="95"/>
      <c r="AK45" s="95"/>
      <c r="AL45" s="96"/>
      <c r="AM45" s="66">
        <v>10</v>
      </c>
      <c r="AN45" s="51">
        <f t="shared" si="58"/>
        <v>445.58360000000005</v>
      </c>
      <c r="AO45" s="48"/>
      <c r="AP45" s="45"/>
      <c r="AQ45" s="82" t="s">
        <v>89</v>
      </c>
    </row>
    <row r="46" spans="1:44">
      <c r="A46" s="35"/>
      <c r="B46" s="18"/>
      <c r="C46" s="32"/>
      <c r="D46" s="21"/>
      <c r="E46" s="19">
        <f t="shared" ref="E46" si="59">D46*C46</f>
        <v>0</v>
      </c>
      <c r="F46" s="20"/>
      <c r="G46" s="21"/>
      <c r="H46" s="22">
        <f t="shared" ref="H46" si="60">G46*F46</f>
        <v>0</v>
      </c>
      <c r="I46" s="33"/>
      <c r="J46" s="19"/>
      <c r="K46" s="22"/>
      <c r="L46" s="23">
        <f>E46+ H46 + I46 * 4 +K46</f>
        <v>0</v>
      </c>
      <c r="M46" s="22"/>
      <c r="N46" s="25">
        <f>(L46* M46)</f>
        <v>0</v>
      </c>
      <c r="O46" s="26">
        <f xml:space="preserve">  B46 +N46</f>
        <v>0</v>
      </c>
      <c r="P46" s="27"/>
      <c r="Q46" s="28"/>
      <c r="R46" s="28"/>
      <c r="S46" s="29"/>
      <c r="T46" s="109"/>
      <c r="U46" s="19"/>
      <c r="V46" s="28"/>
      <c r="W46" s="28"/>
      <c r="X46" s="33"/>
      <c r="Y46" s="19"/>
      <c r="Z46" s="21"/>
      <c r="AA46" s="22"/>
      <c r="AB46" s="34"/>
      <c r="AC46" s="114"/>
      <c r="AD46" s="19"/>
      <c r="AE46" s="30">
        <f t="shared" si="30"/>
        <v>0</v>
      </c>
      <c r="AF46" s="31"/>
      <c r="AG46" s="93"/>
      <c r="AH46" s="94"/>
      <c r="AI46" s="94"/>
      <c r="AJ46" s="94"/>
      <c r="AK46" s="95"/>
      <c r="AL46" s="96"/>
      <c r="AM46" s="66"/>
      <c r="AN46" s="51">
        <f t="shared" ref="AN46" si="61">AG46+ AF46+ AH46 + AI46 + AJ46 + AK46 + AL46+AE46 + AM46</f>
        <v>0</v>
      </c>
      <c r="AO46" s="50"/>
      <c r="AP46" s="52"/>
      <c r="AQ46" s="89"/>
    </row>
    <row r="47" spans="1:44">
      <c r="O47" s="36"/>
      <c r="T47" s="111"/>
      <c r="AE47" s="30">
        <f t="shared" ref="AE47:AE50" si="62">O47 + Q47 + ((T47*U47) + (V47*W47)) + ( (X47*Y47) + (Z47*AA47)) + (AB47-AC47)+AD47</f>
        <v>0</v>
      </c>
      <c r="AF47" s="130"/>
      <c r="AG47" s="131"/>
      <c r="AH47" s="131"/>
      <c r="AI47" s="131"/>
      <c r="AJ47" s="131"/>
      <c r="AK47" s="131"/>
      <c r="AL47" s="131"/>
      <c r="AM47" s="132"/>
      <c r="AN47" s="134">
        <f t="shared" ref="AN47:AN50" si="63">AG47+ AF47+ AH47 + AI47 + AJ47 + AK47 + AL47+AE47 + AM47</f>
        <v>0</v>
      </c>
      <c r="AP47" s="46">
        <f>AN47+AO47</f>
        <v>0</v>
      </c>
    </row>
    <row r="48" spans="1:44">
      <c r="A48" t="s">
        <v>90</v>
      </c>
      <c r="B48">
        <v>158.43</v>
      </c>
      <c r="E48">
        <v>158.53</v>
      </c>
      <c r="H48">
        <v>200</v>
      </c>
      <c r="L48" s="23">
        <f t="shared" ref="L48:L50" si="64">E48+ H48 + I48 * 4 +K48</f>
        <v>358.53</v>
      </c>
      <c r="M48">
        <v>1.01</v>
      </c>
      <c r="N48" s="25">
        <f t="shared" ref="N48:N50" si="65">(L48* M48)</f>
        <v>362.11529999999999</v>
      </c>
      <c r="O48" s="26">
        <f t="shared" ref="O48:O50" si="66" xml:space="preserve">  B48 +N48</f>
        <v>520.5453</v>
      </c>
      <c r="Q48" s="38">
        <v>22.18</v>
      </c>
      <c r="T48" s="111"/>
      <c r="AE48" s="30">
        <f t="shared" si="62"/>
        <v>542.72529999999995</v>
      </c>
      <c r="AF48" s="130"/>
      <c r="AG48" s="133">
        <f>2.02+1.6</f>
        <v>3.62</v>
      </c>
      <c r="AH48" s="133"/>
      <c r="AI48" s="133"/>
      <c r="AJ48" s="133"/>
      <c r="AK48" s="133"/>
      <c r="AL48" s="133">
        <v>0.1</v>
      </c>
      <c r="AM48" s="132">
        <v>10</v>
      </c>
      <c r="AN48" s="134">
        <f t="shared" si="63"/>
        <v>556.44529999999997</v>
      </c>
      <c r="AO48">
        <v>10.1</v>
      </c>
      <c r="AP48" s="46">
        <f>AN48+AO48</f>
        <v>566.5453</v>
      </c>
      <c r="AQ48" s="36">
        <f>568.36-AP48</f>
        <v>1.8147000000000162</v>
      </c>
      <c r="AR48" s="129" t="s">
        <v>91</v>
      </c>
    </row>
    <row r="49" spans="1:44">
      <c r="A49" t="s">
        <v>92</v>
      </c>
      <c r="B49">
        <v>158.43</v>
      </c>
      <c r="E49">
        <v>158.53</v>
      </c>
      <c r="H49">
        <v>200</v>
      </c>
      <c r="L49" s="23">
        <f t="shared" si="64"/>
        <v>358.53</v>
      </c>
      <c r="M49">
        <v>1.01</v>
      </c>
      <c r="N49" s="25">
        <f t="shared" si="65"/>
        <v>362.11529999999999</v>
      </c>
      <c r="O49" s="26">
        <f t="shared" si="66"/>
        <v>520.5453</v>
      </c>
      <c r="Q49" s="38">
        <v>7.92</v>
      </c>
      <c r="T49" s="111"/>
      <c r="AE49" s="30">
        <f t="shared" si="62"/>
        <v>528.46529999999996</v>
      </c>
      <c r="AF49" s="130"/>
      <c r="AG49" s="133">
        <f>2.02+1.6</f>
        <v>3.62</v>
      </c>
      <c r="AH49" s="133"/>
      <c r="AI49" s="133"/>
      <c r="AJ49" s="133"/>
      <c r="AK49" s="133"/>
      <c r="AL49" s="133">
        <v>0.12</v>
      </c>
      <c r="AM49" s="132">
        <v>12</v>
      </c>
      <c r="AN49" s="134">
        <f t="shared" si="63"/>
        <v>544.20529999999997</v>
      </c>
      <c r="AO49">
        <v>15.15</v>
      </c>
      <c r="AP49" s="46">
        <f>AN49+AO49</f>
        <v>559.35529999999994</v>
      </c>
      <c r="AQ49" s="36">
        <v>1.66</v>
      </c>
      <c r="AR49" s="129" t="s">
        <v>91</v>
      </c>
    </row>
    <row r="50" spans="1:44">
      <c r="A50" t="s">
        <v>93</v>
      </c>
      <c r="B50">
        <v>158.43</v>
      </c>
      <c r="E50">
        <v>148.43</v>
      </c>
      <c r="H50">
        <v>200</v>
      </c>
      <c r="L50" s="23">
        <f t="shared" si="64"/>
        <v>348.43</v>
      </c>
      <c r="M50">
        <v>1.01</v>
      </c>
      <c r="N50" s="25">
        <f t="shared" si="65"/>
        <v>351.91430000000003</v>
      </c>
      <c r="O50" s="26">
        <f t="shared" si="66"/>
        <v>510.34430000000003</v>
      </c>
      <c r="Q50" s="38">
        <v>13.44</v>
      </c>
      <c r="T50" s="111"/>
      <c r="AE50" s="30">
        <f t="shared" si="62"/>
        <v>523.78430000000003</v>
      </c>
      <c r="AF50" s="130"/>
      <c r="AG50" s="133"/>
      <c r="AH50" s="133"/>
      <c r="AI50" s="133"/>
      <c r="AJ50" s="133"/>
      <c r="AK50" s="133"/>
      <c r="AL50" s="133"/>
      <c r="AM50" s="132">
        <v>10</v>
      </c>
      <c r="AN50" s="134">
        <f t="shared" si="63"/>
        <v>533.78430000000003</v>
      </c>
      <c r="AO50">
        <v>53.38</v>
      </c>
      <c r="AP50" s="46">
        <f>AN50+AO50</f>
        <v>587.16430000000003</v>
      </c>
      <c r="AQ50" s="36"/>
    </row>
    <row r="51" spans="1:44">
      <c r="A51" s="90" t="s">
        <v>94</v>
      </c>
      <c r="B51" s="18">
        <v>156.86000000000001</v>
      </c>
      <c r="C51" s="32"/>
      <c r="D51" s="19"/>
      <c r="E51" s="19">
        <v>163.58000000000001</v>
      </c>
      <c r="F51" s="20"/>
      <c r="G51" s="19"/>
      <c r="H51" s="22">
        <v>200</v>
      </c>
      <c r="I51" s="33"/>
      <c r="J51" s="19"/>
      <c r="K51" s="22"/>
      <c r="L51" s="23">
        <f>E51+ H51 + I51 * 4 +K51</f>
        <v>363.58000000000004</v>
      </c>
      <c r="M51" s="22">
        <v>1</v>
      </c>
      <c r="N51" s="25">
        <f>(L51* M51)</f>
        <v>363.58000000000004</v>
      </c>
      <c r="O51" s="26">
        <f xml:space="preserve">  B51 +N51</f>
        <v>520.44000000000005</v>
      </c>
      <c r="P51" s="27"/>
      <c r="Q51" s="28">
        <v>10.37</v>
      </c>
      <c r="R51" s="28"/>
      <c r="S51" s="29"/>
      <c r="T51" s="110"/>
      <c r="U51" s="19"/>
      <c r="V51" s="19"/>
      <c r="W51" s="19"/>
      <c r="X51" s="33"/>
      <c r="Y51" s="19"/>
      <c r="Z51" s="19"/>
      <c r="AA51" s="22"/>
      <c r="AB51" s="34"/>
      <c r="AC51" s="114"/>
      <c r="AD51" s="19"/>
      <c r="AE51" s="30">
        <f t="shared" ref="AE51:AE61" si="67">O51 + Q51 + ((T51*U51) + (V51*W51)) + ( (X51*Y51) + (Z51*AA51)) + (AB51-AC51)+AD51</f>
        <v>530.81000000000006</v>
      </c>
      <c r="AF51" s="135">
        <v>5</v>
      </c>
      <c r="AG51" s="97"/>
      <c r="AH51" s="95"/>
      <c r="AI51" s="95"/>
      <c r="AJ51" s="95"/>
      <c r="AK51" s="95"/>
      <c r="AL51" s="96"/>
      <c r="AM51" s="96">
        <v>10</v>
      </c>
      <c r="AN51" s="134">
        <f>AG51+ AF51+ AH51 + AI51 + AJ51 + AK51 + AL51+AE51 + AM51</f>
        <v>545.81000000000006</v>
      </c>
      <c r="AO51" s="49">
        <v>15</v>
      </c>
      <c r="AP51" s="46">
        <f>AN51+AO51</f>
        <v>560.81000000000006</v>
      </c>
      <c r="AQ51" s="88"/>
    </row>
    <row r="52" spans="1:44">
      <c r="A52" t="s">
        <v>95</v>
      </c>
      <c r="B52">
        <v>158.43</v>
      </c>
      <c r="E52">
        <v>215.59</v>
      </c>
      <c r="L52" s="23">
        <f t="shared" ref="L52:L60" si="68">E52+ H52 + I52 * 4 +K52</f>
        <v>215.59</v>
      </c>
      <c r="M52">
        <v>1.01</v>
      </c>
      <c r="N52" s="25">
        <f t="shared" ref="N52:N60" si="69">(L52* M52)</f>
        <v>217.74590000000001</v>
      </c>
      <c r="O52" s="26">
        <f t="shared" ref="O52:O54" si="70" xml:space="preserve">  B52 +N52</f>
        <v>376.17590000000001</v>
      </c>
      <c r="Q52" s="38">
        <v>13.44</v>
      </c>
      <c r="T52" s="111"/>
      <c r="AE52" s="30">
        <f t="shared" si="67"/>
        <v>389.61590000000001</v>
      </c>
      <c r="AF52" s="135"/>
      <c r="AG52" s="97"/>
      <c r="AH52" s="95"/>
      <c r="AI52" s="95"/>
      <c r="AJ52" s="95"/>
      <c r="AK52" s="95"/>
      <c r="AL52" s="96"/>
      <c r="AM52" s="36">
        <v>10</v>
      </c>
      <c r="AN52" s="134">
        <f t="shared" ref="AN52:AN60" si="71">AG52+ AF52+ AH52 + AI52 + AJ52 + AK52 + AL52+AE52 + AM52</f>
        <v>399.61590000000001</v>
      </c>
      <c r="AP52" s="46">
        <f t="shared" ref="AP52:AP61" si="72">AN52+AO52</f>
        <v>399.61590000000001</v>
      </c>
      <c r="AQ52" s="36">
        <f>399.62-AN52</f>
        <v>4.0999999999939973E-3</v>
      </c>
    </row>
    <row r="53" spans="1:44">
      <c r="A53" t="s">
        <v>96</v>
      </c>
      <c r="B53">
        <v>158.43</v>
      </c>
      <c r="E53">
        <v>215.59</v>
      </c>
      <c r="L53" s="23">
        <f t="shared" si="68"/>
        <v>215.59</v>
      </c>
      <c r="M53">
        <v>1.01</v>
      </c>
      <c r="N53" s="25">
        <f t="shared" si="69"/>
        <v>217.74590000000001</v>
      </c>
      <c r="O53" s="26">
        <f t="shared" si="70"/>
        <v>376.17590000000001</v>
      </c>
      <c r="Q53" s="38">
        <v>13.44</v>
      </c>
      <c r="AE53" s="30">
        <f t="shared" si="67"/>
        <v>389.61590000000001</v>
      </c>
      <c r="AF53" s="135"/>
      <c r="AG53" s="97"/>
      <c r="AH53" s="95"/>
      <c r="AI53" s="95"/>
      <c r="AJ53" s="95"/>
      <c r="AK53" s="95"/>
      <c r="AL53" s="96"/>
      <c r="AM53" s="36">
        <v>10</v>
      </c>
      <c r="AN53" s="134">
        <f t="shared" si="71"/>
        <v>399.61590000000001</v>
      </c>
      <c r="AO53">
        <v>-100</v>
      </c>
      <c r="AP53" s="46">
        <f t="shared" si="72"/>
        <v>299.61590000000001</v>
      </c>
    </row>
    <row r="54" spans="1:44">
      <c r="A54" t="s">
        <v>97</v>
      </c>
      <c r="B54">
        <v>158.43</v>
      </c>
      <c r="E54">
        <v>215.59</v>
      </c>
      <c r="L54" s="23">
        <f t="shared" si="68"/>
        <v>215.59</v>
      </c>
      <c r="M54">
        <v>1.01</v>
      </c>
      <c r="N54" s="25">
        <f t="shared" si="69"/>
        <v>217.74590000000001</v>
      </c>
      <c r="O54" s="26">
        <f t="shared" si="70"/>
        <v>376.17590000000001</v>
      </c>
      <c r="Q54" s="38">
        <v>13.44</v>
      </c>
      <c r="AE54" s="30">
        <f t="shared" si="67"/>
        <v>389.61590000000001</v>
      </c>
      <c r="AF54" s="135"/>
      <c r="AG54" s="97"/>
      <c r="AH54" s="95"/>
      <c r="AI54" s="95"/>
      <c r="AJ54" s="95"/>
      <c r="AK54" s="95"/>
      <c r="AL54" s="96">
        <v>24.96</v>
      </c>
      <c r="AM54" s="36">
        <v>10</v>
      </c>
      <c r="AN54" s="134">
        <f t="shared" si="71"/>
        <v>424.57589999999999</v>
      </c>
      <c r="AO54">
        <v>-150</v>
      </c>
      <c r="AP54" s="46">
        <f t="shared" si="72"/>
        <v>274.57589999999999</v>
      </c>
    </row>
    <row r="55" spans="1:44">
      <c r="A55" t="s">
        <v>98</v>
      </c>
      <c r="B55">
        <v>156.86000000000001</v>
      </c>
      <c r="E55">
        <v>209.03</v>
      </c>
      <c r="L55" s="23">
        <f t="shared" si="68"/>
        <v>209.03</v>
      </c>
      <c r="M55">
        <v>1</v>
      </c>
      <c r="N55" s="25">
        <f t="shared" si="69"/>
        <v>209.03</v>
      </c>
      <c r="O55" s="26">
        <f xml:space="preserve">  B55 +N55</f>
        <v>365.89</v>
      </c>
      <c r="Q55" s="38">
        <v>10.37</v>
      </c>
      <c r="AE55" s="30">
        <f t="shared" si="67"/>
        <v>376.26</v>
      </c>
      <c r="AF55" s="135">
        <v>5</v>
      </c>
      <c r="AG55" s="97"/>
      <c r="AH55" s="95"/>
      <c r="AI55" s="95"/>
      <c r="AJ55" s="95"/>
      <c r="AK55" s="95"/>
      <c r="AL55" s="96"/>
      <c r="AM55" s="36">
        <v>10</v>
      </c>
      <c r="AN55" s="134">
        <f t="shared" si="71"/>
        <v>391.26</v>
      </c>
      <c r="AP55" s="46">
        <f t="shared" si="72"/>
        <v>391.26</v>
      </c>
    </row>
    <row r="56" spans="1:44">
      <c r="A56" t="s">
        <v>99</v>
      </c>
      <c r="B56">
        <v>156.86000000000001</v>
      </c>
      <c r="E56">
        <v>209.03</v>
      </c>
      <c r="L56" s="23">
        <f t="shared" si="68"/>
        <v>209.03</v>
      </c>
      <c r="M56">
        <v>1</v>
      </c>
      <c r="N56" s="25">
        <f t="shared" si="69"/>
        <v>209.03</v>
      </c>
      <c r="O56" s="26">
        <f t="shared" ref="O56:O60" si="73" xml:space="preserve">  B56 +N56</f>
        <v>365.89</v>
      </c>
      <c r="Q56" s="38">
        <v>10.37</v>
      </c>
      <c r="AE56" s="30">
        <f t="shared" si="67"/>
        <v>376.26</v>
      </c>
      <c r="AF56" s="135">
        <v>5</v>
      </c>
      <c r="AG56" s="97"/>
      <c r="AH56" s="95"/>
      <c r="AI56" s="95"/>
      <c r="AJ56" s="95"/>
      <c r="AK56" s="95"/>
      <c r="AL56" s="96"/>
      <c r="AM56" s="36">
        <v>10</v>
      </c>
      <c r="AN56" s="134">
        <f t="shared" si="71"/>
        <v>391.26</v>
      </c>
      <c r="AO56">
        <v>-100</v>
      </c>
      <c r="AP56" s="46">
        <f t="shared" si="72"/>
        <v>291.26</v>
      </c>
    </row>
    <row r="57" spans="1:44">
      <c r="A57" t="s">
        <v>100</v>
      </c>
      <c r="B57">
        <v>158.43</v>
      </c>
      <c r="E57">
        <v>230.24</v>
      </c>
      <c r="L57" s="23">
        <f t="shared" si="68"/>
        <v>230.24</v>
      </c>
      <c r="M57">
        <v>1.01</v>
      </c>
      <c r="N57" s="25">
        <f t="shared" si="69"/>
        <v>232.54240000000001</v>
      </c>
      <c r="O57" s="26">
        <f t="shared" si="73"/>
        <v>390.97239999999999</v>
      </c>
      <c r="Q57" s="38">
        <v>7.92</v>
      </c>
      <c r="AE57" s="30">
        <f t="shared" si="67"/>
        <v>398.89240000000001</v>
      </c>
      <c r="AF57" s="135"/>
      <c r="AG57" s="97">
        <v>2.33</v>
      </c>
      <c r="AH57" s="95"/>
      <c r="AI57" s="95"/>
      <c r="AJ57" s="95"/>
      <c r="AK57" s="95"/>
      <c r="AL57" s="96">
        <v>0.12</v>
      </c>
      <c r="AM57" s="36">
        <v>12</v>
      </c>
      <c r="AN57" s="134">
        <f t="shared" si="71"/>
        <v>413.3424</v>
      </c>
      <c r="AP57" s="46">
        <f t="shared" si="72"/>
        <v>413.3424</v>
      </c>
      <c r="AQ57" s="36">
        <f>415-AP57</f>
        <v>1.6576000000000022</v>
      </c>
      <c r="AR57" s="129" t="s">
        <v>91</v>
      </c>
    </row>
    <row r="58" spans="1:44">
      <c r="A58" t="s">
        <v>101</v>
      </c>
      <c r="B58">
        <v>158.43</v>
      </c>
      <c r="E58">
        <v>230.24</v>
      </c>
      <c r="L58" s="23">
        <f t="shared" si="68"/>
        <v>230.24</v>
      </c>
      <c r="M58">
        <v>1.01</v>
      </c>
      <c r="N58" s="25">
        <f t="shared" si="69"/>
        <v>232.54240000000001</v>
      </c>
      <c r="O58" s="26">
        <f t="shared" si="73"/>
        <v>390.97239999999999</v>
      </c>
      <c r="Q58" s="38">
        <v>7.92</v>
      </c>
      <c r="AE58" s="30">
        <f t="shared" si="67"/>
        <v>398.89240000000001</v>
      </c>
      <c r="AF58" s="135"/>
      <c r="AG58" s="97">
        <v>2.33</v>
      </c>
      <c r="AH58" s="95"/>
      <c r="AI58" s="95"/>
      <c r="AJ58" s="95"/>
      <c r="AK58" s="95"/>
      <c r="AL58" s="96">
        <v>0.12</v>
      </c>
      <c r="AM58" s="36">
        <v>12</v>
      </c>
      <c r="AN58" s="134">
        <f t="shared" si="71"/>
        <v>413.3424</v>
      </c>
      <c r="AO58">
        <v>-100</v>
      </c>
      <c r="AP58" s="46">
        <f t="shared" si="72"/>
        <v>313.3424</v>
      </c>
      <c r="AQ58">
        <v>1.66</v>
      </c>
      <c r="AR58" s="129" t="s">
        <v>91</v>
      </c>
    </row>
    <row r="59" spans="1:44">
      <c r="A59" t="s">
        <v>102</v>
      </c>
      <c r="B59">
        <v>158.43</v>
      </c>
      <c r="E59">
        <v>230.24</v>
      </c>
      <c r="G59" s="42"/>
      <c r="H59" s="42"/>
      <c r="L59" s="23">
        <f t="shared" si="68"/>
        <v>230.24</v>
      </c>
      <c r="M59">
        <v>1.01</v>
      </c>
      <c r="N59" s="25">
        <f t="shared" si="69"/>
        <v>232.54240000000001</v>
      </c>
      <c r="O59" s="26">
        <f t="shared" si="73"/>
        <v>390.97239999999999</v>
      </c>
      <c r="Q59" s="38">
        <v>22.18</v>
      </c>
      <c r="AE59" s="30">
        <f t="shared" si="67"/>
        <v>413.1524</v>
      </c>
      <c r="AF59" s="135"/>
      <c r="AG59" s="97">
        <v>2.33</v>
      </c>
      <c r="AH59" s="95"/>
      <c r="AI59" s="95"/>
      <c r="AJ59" s="95"/>
      <c r="AK59" s="95"/>
      <c r="AL59" s="96">
        <v>0.1</v>
      </c>
      <c r="AM59" s="36">
        <v>10</v>
      </c>
      <c r="AN59" s="134">
        <f t="shared" si="71"/>
        <v>425.58240000000001</v>
      </c>
      <c r="AP59" s="46">
        <f t="shared" si="72"/>
        <v>425.58240000000001</v>
      </c>
      <c r="AQ59" s="36">
        <f>427.39-AP59</f>
        <v>1.8075999999999794</v>
      </c>
      <c r="AR59" s="129" t="s">
        <v>91</v>
      </c>
    </row>
    <row r="60" spans="1:44">
      <c r="A60" t="s">
        <v>103</v>
      </c>
      <c r="B60">
        <v>158.43</v>
      </c>
      <c r="E60">
        <v>230.24</v>
      </c>
      <c r="L60" s="23">
        <f t="shared" si="68"/>
        <v>230.24</v>
      </c>
      <c r="M60">
        <v>1.01</v>
      </c>
      <c r="N60" s="25">
        <f t="shared" si="69"/>
        <v>232.54240000000001</v>
      </c>
      <c r="O60" s="26">
        <f t="shared" si="73"/>
        <v>390.97239999999999</v>
      </c>
      <c r="Q60" s="38">
        <v>22.18</v>
      </c>
      <c r="AE60" s="30">
        <f t="shared" si="67"/>
        <v>413.1524</v>
      </c>
      <c r="AF60" s="135"/>
      <c r="AG60" s="97">
        <v>2.33</v>
      </c>
      <c r="AH60" s="95"/>
      <c r="AI60" s="95"/>
      <c r="AJ60" s="95"/>
      <c r="AK60" s="95"/>
      <c r="AL60" s="96">
        <v>0.1</v>
      </c>
      <c r="AM60" s="36">
        <v>10</v>
      </c>
      <c r="AN60" s="134">
        <f t="shared" si="71"/>
        <v>425.58240000000001</v>
      </c>
      <c r="AO60">
        <v>-100</v>
      </c>
      <c r="AP60" s="46">
        <f t="shared" si="72"/>
        <v>325.58240000000001</v>
      </c>
      <c r="AQ60" s="36">
        <f>327.39-AP60</f>
        <v>1.8075999999999794</v>
      </c>
      <c r="AR60" s="129" t="s">
        <v>91</v>
      </c>
    </row>
    <row r="61" spans="1:44">
      <c r="AE61" s="30">
        <f t="shared" si="67"/>
        <v>0</v>
      </c>
      <c r="AF61" s="135"/>
      <c r="AG61" s="97"/>
      <c r="AH61" s="95"/>
      <c r="AI61" s="95"/>
      <c r="AJ61" s="95"/>
      <c r="AK61" s="95"/>
      <c r="AL61" s="96"/>
      <c r="AP61" s="46">
        <f t="shared" si="72"/>
        <v>0</v>
      </c>
    </row>
    <row r="65" spans="38:38">
      <c r="AL65" s="136"/>
    </row>
  </sheetData>
  <mergeCells count="4">
    <mergeCell ref="C1:N1"/>
    <mergeCell ref="P1:S1"/>
    <mergeCell ref="X1:AA1"/>
    <mergeCell ref="T1:W1"/>
  </mergeCells>
  <pageMargins left="0.70000000000000007" right="0.70000000000000007" top="0.75" bottom="0.75" header="0.30000000000000004" footer="0.30000000000000004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3E3C-A83C-48F9-8187-0C5A71059544}">
  <dimension ref="A1:J16"/>
  <sheetViews>
    <sheetView workbookViewId="0" xr3:uid="{F744C781-8607-5DE9-BEF8-B9A0A4B3721B}">
      <pane ySplit="1" topLeftCell="A2" activePane="bottomRight" state="frozen"/>
      <selection activeCell="B3" sqref="B3"/>
      <selection pane="bottomLeft"/>
    </sheetView>
  </sheetViews>
  <sheetFormatPr defaultRowHeight="15"/>
  <cols>
    <col min="1" max="1" width="19.28515625" bestFit="1" customWidth="1"/>
    <col min="2" max="2" width="15.140625" customWidth="1"/>
    <col min="9" max="9" width="61.5703125" bestFit="1" customWidth="1"/>
  </cols>
  <sheetData>
    <row r="1" spans="1:10">
      <c r="A1" s="70"/>
      <c r="B1" s="98" t="s">
        <v>104</v>
      </c>
      <c r="C1" s="98" t="s">
        <v>105</v>
      </c>
      <c r="D1" s="98" t="s">
        <v>106</v>
      </c>
      <c r="E1" s="98" t="s">
        <v>107</v>
      </c>
      <c r="F1" s="98" t="s">
        <v>108</v>
      </c>
      <c r="G1" s="98" t="s">
        <v>109</v>
      </c>
      <c r="H1" s="98" t="s">
        <v>110</v>
      </c>
      <c r="I1" s="70" t="s">
        <v>111</v>
      </c>
    </row>
    <row r="2" spans="1:10">
      <c r="A2" s="71" t="s">
        <v>112</v>
      </c>
      <c r="B2" s="71">
        <v>72.11</v>
      </c>
      <c r="C2" s="70"/>
      <c r="D2" s="70"/>
      <c r="E2" s="70"/>
      <c r="F2" s="70"/>
      <c r="G2" s="70"/>
      <c r="H2" s="70"/>
      <c r="I2" s="70" t="s">
        <v>53</v>
      </c>
    </row>
    <row r="3" spans="1:10">
      <c r="A3" s="70" t="s">
        <v>113</v>
      </c>
      <c r="B3" s="70">
        <v>74.5</v>
      </c>
      <c r="C3" s="70"/>
      <c r="D3" s="70"/>
      <c r="E3" s="70"/>
      <c r="F3" s="70"/>
      <c r="G3" s="70"/>
      <c r="H3" s="70"/>
      <c r="I3" s="99" t="s">
        <v>114</v>
      </c>
      <c r="J3" t="s">
        <v>115</v>
      </c>
    </row>
    <row r="4" spans="1:10">
      <c r="A4" s="70" t="s">
        <v>116</v>
      </c>
      <c r="B4" s="70">
        <v>72.11</v>
      </c>
      <c r="C4" s="70"/>
      <c r="D4" s="70"/>
      <c r="E4" s="70"/>
      <c r="F4" s="70"/>
      <c r="G4" s="70"/>
      <c r="H4" s="70"/>
      <c r="I4" s="70" t="s">
        <v>53</v>
      </c>
    </row>
    <row r="5" spans="1:10">
      <c r="A5" s="70" t="s">
        <v>117</v>
      </c>
      <c r="B5" s="70"/>
      <c r="C5" s="70"/>
      <c r="D5" s="70"/>
      <c r="E5" s="70"/>
      <c r="F5" s="70">
        <v>72.11</v>
      </c>
      <c r="G5" s="70"/>
      <c r="H5" s="70"/>
      <c r="I5" s="70" t="s">
        <v>53</v>
      </c>
    </row>
    <row r="6" spans="1:10">
      <c r="A6" s="70" t="s">
        <v>118</v>
      </c>
      <c r="B6" s="70"/>
      <c r="C6" s="70"/>
      <c r="D6" s="70"/>
      <c r="E6" s="70"/>
      <c r="F6" s="70"/>
      <c r="G6" s="70">
        <v>72.11</v>
      </c>
      <c r="H6" s="70"/>
      <c r="I6" s="70" t="s">
        <v>53</v>
      </c>
    </row>
    <row r="7" spans="1:10">
      <c r="A7" s="70" t="s">
        <v>119</v>
      </c>
      <c r="B7" s="70"/>
      <c r="C7" s="70"/>
      <c r="D7" s="70"/>
      <c r="E7" s="70"/>
      <c r="F7" s="70"/>
      <c r="G7" s="70"/>
      <c r="H7" s="70">
        <v>72.11</v>
      </c>
      <c r="I7" s="70" t="s">
        <v>53</v>
      </c>
    </row>
    <row r="8" spans="1:10">
      <c r="A8" s="70" t="s">
        <v>120</v>
      </c>
      <c r="B8" s="70"/>
      <c r="C8" s="70"/>
      <c r="D8" s="70">
        <v>72.11</v>
      </c>
      <c r="E8" s="70"/>
      <c r="F8" s="70"/>
      <c r="G8" s="70"/>
      <c r="H8" s="70"/>
      <c r="I8" s="70" t="s">
        <v>53</v>
      </c>
    </row>
    <row r="9" spans="1:10">
      <c r="A9" s="70"/>
      <c r="B9" s="70"/>
      <c r="C9" s="70"/>
      <c r="D9" s="70"/>
      <c r="E9" s="70"/>
      <c r="F9" s="70"/>
      <c r="G9" s="70"/>
      <c r="H9" s="70"/>
      <c r="I9" s="70"/>
    </row>
    <row r="10" spans="1:10">
      <c r="A10" s="70"/>
      <c r="B10" s="70"/>
      <c r="C10" s="70"/>
      <c r="D10" s="70"/>
      <c r="E10" s="70"/>
      <c r="F10" s="70"/>
      <c r="G10" s="70"/>
      <c r="H10" s="70"/>
      <c r="I10" s="70"/>
    </row>
    <row r="11" spans="1:10">
      <c r="A11" s="70"/>
      <c r="B11" s="70"/>
      <c r="C11" s="70"/>
      <c r="D11" s="70"/>
      <c r="E11" s="70"/>
      <c r="F11" s="70"/>
      <c r="G11" s="70"/>
      <c r="H11" s="70"/>
      <c r="I11" s="70"/>
    </row>
    <row r="12" spans="1:10">
      <c r="A12" s="70"/>
      <c r="B12" s="70"/>
      <c r="C12" s="70"/>
      <c r="D12" s="70"/>
      <c r="E12" s="70"/>
      <c r="F12" s="70"/>
      <c r="G12" s="70"/>
      <c r="H12" s="70"/>
      <c r="I12" s="70"/>
    </row>
    <row r="13" spans="1:10">
      <c r="A13" s="70"/>
      <c r="B13" s="70"/>
      <c r="C13" s="70"/>
      <c r="D13" s="70"/>
      <c r="E13" s="70"/>
      <c r="F13" s="70"/>
      <c r="G13" s="70"/>
      <c r="H13" s="70"/>
      <c r="I13" s="70"/>
    </row>
    <row r="14" spans="1:10">
      <c r="A14" s="70"/>
      <c r="B14" s="70"/>
      <c r="C14" s="70"/>
      <c r="D14" s="70"/>
      <c r="E14" s="70"/>
      <c r="F14" s="70"/>
      <c r="G14" s="70"/>
      <c r="H14" s="70"/>
      <c r="I14" s="70"/>
    </row>
    <row r="15" spans="1:10">
      <c r="A15" s="70"/>
      <c r="B15" s="70"/>
      <c r="C15" s="70"/>
      <c r="D15" s="70"/>
      <c r="E15" s="70"/>
      <c r="F15" s="70"/>
      <c r="G15" s="70"/>
      <c r="H15" s="70"/>
      <c r="I15" s="70"/>
    </row>
    <row r="16" spans="1:10">
      <c r="A16" s="70"/>
      <c r="B16" s="70"/>
      <c r="C16" s="70"/>
      <c r="D16" s="70"/>
      <c r="E16" s="70"/>
      <c r="F16" s="70"/>
      <c r="G16" s="70"/>
      <c r="H16" s="70"/>
      <c r="I16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87FE-1295-4382-A082-299894C492C9}">
  <dimension ref="A1:W75"/>
  <sheetViews>
    <sheetView topLeftCell="A16" workbookViewId="0" xr3:uid="{C064A5A9-03CD-58FF-8841-F862C9F9C190}">
      <selection activeCell="F22" sqref="F22"/>
    </sheetView>
  </sheetViews>
  <sheetFormatPr defaultRowHeight="15"/>
  <cols>
    <col min="1" max="1" width="16" customWidth="1"/>
    <col min="9" max="9" width="12.5703125" customWidth="1"/>
    <col min="17" max="17" width="12.7109375" customWidth="1"/>
  </cols>
  <sheetData>
    <row r="1" spans="1:23">
      <c r="A1" t="s">
        <v>121</v>
      </c>
    </row>
    <row r="2" spans="1:23">
      <c r="A2" s="100" t="s">
        <v>122</v>
      </c>
      <c r="B2" s="100" t="s">
        <v>123</v>
      </c>
      <c r="C2" s="100"/>
      <c r="D2" s="100"/>
      <c r="E2" s="100"/>
      <c r="F2" s="100"/>
      <c r="G2" s="100"/>
      <c r="I2" s="100" t="s">
        <v>124</v>
      </c>
      <c r="J2" s="100" t="s">
        <v>125</v>
      </c>
      <c r="K2" s="100"/>
      <c r="L2" s="100"/>
      <c r="M2" s="100"/>
      <c r="N2" s="100"/>
      <c r="O2" s="100"/>
      <c r="Q2" s="100" t="s">
        <v>126</v>
      </c>
      <c r="R2" s="100" t="s">
        <v>127</v>
      </c>
      <c r="S2" s="100"/>
      <c r="T2" s="100"/>
      <c r="U2" s="100"/>
      <c r="V2" s="100"/>
      <c r="W2" s="100"/>
    </row>
    <row r="3" spans="1:23">
      <c r="A3" s="104"/>
      <c r="B3" s="104"/>
      <c r="C3" s="100"/>
      <c r="D3" s="100"/>
      <c r="E3" s="100"/>
      <c r="F3" s="100"/>
      <c r="G3" s="100"/>
      <c r="I3" s="100"/>
      <c r="J3" s="100"/>
      <c r="K3" s="100"/>
      <c r="L3" s="100"/>
      <c r="M3" s="100"/>
      <c r="N3" s="100"/>
      <c r="O3" s="100"/>
      <c r="Q3" s="100"/>
      <c r="R3" s="100"/>
      <c r="S3" s="100"/>
      <c r="T3" s="100"/>
      <c r="U3" s="100"/>
      <c r="V3" s="100"/>
      <c r="W3" s="100"/>
    </row>
    <row r="4" spans="1:23">
      <c r="A4" s="106" t="s">
        <v>128</v>
      </c>
      <c r="B4" s="103"/>
      <c r="C4" s="103"/>
      <c r="D4" s="103"/>
      <c r="E4" s="103"/>
      <c r="F4" s="103" t="s">
        <v>129</v>
      </c>
      <c r="G4" s="103"/>
      <c r="I4" s="106" t="s">
        <v>130</v>
      </c>
      <c r="J4" s="106"/>
      <c r="K4" s="103"/>
      <c r="L4" s="103"/>
      <c r="M4" s="103"/>
      <c r="N4" s="103" t="s">
        <v>129</v>
      </c>
      <c r="O4" s="103"/>
      <c r="Q4" s="106" t="s">
        <v>113</v>
      </c>
      <c r="R4" s="106"/>
      <c r="S4" s="103" t="s">
        <v>131</v>
      </c>
      <c r="T4" s="103"/>
      <c r="U4" s="103"/>
      <c r="V4" s="103" t="s">
        <v>129</v>
      </c>
      <c r="W4" s="103"/>
    </row>
    <row r="5" spans="1:23">
      <c r="A5" s="154" t="s">
        <v>2</v>
      </c>
      <c r="B5" s="148" t="s">
        <v>132</v>
      </c>
      <c r="C5" s="148"/>
      <c r="D5" s="148"/>
      <c r="E5" s="19">
        <v>16</v>
      </c>
      <c r="F5" s="19">
        <v>1.01</v>
      </c>
      <c r="G5" s="19">
        <f>E5*F5</f>
        <v>16.16</v>
      </c>
      <c r="I5" s="147" t="s">
        <v>2</v>
      </c>
      <c r="J5" s="148" t="s">
        <v>132</v>
      </c>
      <c r="K5" s="148"/>
      <c r="L5" s="148"/>
      <c r="M5" s="19">
        <v>16</v>
      </c>
      <c r="N5" s="19">
        <v>1</v>
      </c>
      <c r="O5" s="19">
        <f>M5*N5</f>
        <v>16</v>
      </c>
      <c r="Q5" s="147" t="s">
        <v>2</v>
      </c>
      <c r="R5" s="148" t="s">
        <v>132</v>
      </c>
      <c r="S5" s="148"/>
      <c r="T5" s="148"/>
      <c r="U5" s="19">
        <v>16</v>
      </c>
      <c r="V5" s="19">
        <v>1.01</v>
      </c>
      <c r="W5" s="19">
        <f>U5*V5</f>
        <v>16.16</v>
      </c>
    </row>
    <row r="6" spans="1:23">
      <c r="A6" s="154"/>
      <c r="B6" s="149" t="s">
        <v>133</v>
      </c>
      <c r="C6" s="149"/>
      <c r="D6" s="149"/>
      <c r="E6" s="19">
        <v>25</v>
      </c>
      <c r="F6" s="19">
        <v>1.01</v>
      </c>
      <c r="G6" s="19">
        <f t="shared" ref="G6:G7" si="0">E6*F6</f>
        <v>25.25</v>
      </c>
      <c r="I6" s="145"/>
      <c r="J6" s="149" t="s">
        <v>133</v>
      </c>
      <c r="K6" s="149"/>
      <c r="L6" s="149"/>
      <c r="M6" s="19">
        <v>25</v>
      </c>
      <c r="N6" s="19">
        <v>1</v>
      </c>
      <c r="O6" s="19">
        <f t="shared" ref="O6:O7" si="1">M6*N6</f>
        <v>25</v>
      </c>
      <c r="Q6" s="145"/>
      <c r="R6" s="149" t="s">
        <v>133</v>
      </c>
      <c r="S6" s="149"/>
      <c r="T6" s="149"/>
      <c r="U6" s="19">
        <v>25</v>
      </c>
      <c r="V6" s="19">
        <v>1.01</v>
      </c>
      <c r="W6" s="19">
        <f t="shared" ref="W6:W7" si="2">U6*V6</f>
        <v>25.25</v>
      </c>
    </row>
    <row r="7" spans="1:23">
      <c r="A7" s="155"/>
      <c r="B7" s="150" t="s">
        <v>29</v>
      </c>
      <c r="C7" s="150"/>
      <c r="D7" s="150"/>
      <c r="E7" s="103">
        <v>14</v>
      </c>
      <c r="F7" s="103">
        <v>1.01</v>
      </c>
      <c r="G7" s="103">
        <f t="shared" si="0"/>
        <v>14.14</v>
      </c>
      <c r="I7" s="146"/>
      <c r="J7" s="150" t="s">
        <v>29</v>
      </c>
      <c r="K7" s="150"/>
      <c r="L7" s="150"/>
      <c r="M7" s="103">
        <v>14</v>
      </c>
      <c r="N7" s="103">
        <v>1</v>
      </c>
      <c r="O7" s="103">
        <f t="shared" si="1"/>
        <v>14</v>
      </c>
      <c r="Q7" s="146"/>
      <c r="R7" s="150" t="s">
        <v>29</v>
      </c>
      <c r="S7" s="150"/>
      <c r="T7" s="150"/>
      <c r="U7" s="103">
        <v>14</v>
      </c>
      <c r="V7" s="103">
        <v>1.01</v>
      </c>
      <c r="W7" s="103">
        <f t="shared" si="2"/>
        <v>14.14</v>
      </c>
    </row>
    <row r="8" spans="1:23">
      <c r="A8" s="103" t="s">
        <v>1</v>
      </c>
      <c r="B8" s="151" t="s">
        <v>1</v>
      </c>
      <c r="C8" s="151"/>
      <c r="D8" s="151"/>
      <c r="E8" s="151"/>
      <c r="F8" s="151"/>
      <c r="G8" s="103">
        <v>0</v>
      </c>
      <c r="I8" s="103" t="s">
        <v>134</v>
      </c>
      <c r="J8" s="151" t="s">
        <v>134</v>
      </c>
      <c r="K8" s="151"/>
      <c r="L8" s="151"/>
      <c r="M8" s="151"/>
      <c r="N8" s="151"/>
      <c r="O8" s="103">
        <v>0</v>
      </c>
      <c r="Q8" s="103" t="s">
        <v>134</v>
      </c>
      <c r="R8" s="151" t="s">
        <v>134</v>
      </c>
      <c r="S8" s="151"/>
      <c r="T8" s="151"/>
      <c r="U8" s="151"/>
      <c r="V8" s="151"/>
      <c r="W8" s="103">
        <v>0</v>
      </c>
    </row>
    <row r="9" spans="1:23">
      <c r="A9" s="147" t="s">
        <v>135</v>
      </c>
      <c r="B9" s="148" t="s">
        <v>136</v>
      </c>
      <c r="C9" s="148"/>
      <c r="D9" s="148"/>
      <c r="E9" s="148"/>
      <c r="F9" s="148"/>
      <c r="G9" s="19">
        <v>10</v>
      </c>
      <c r="I9" s="147" t="s">
        <v>135</v>
      </c>
      <c r="J9" s="148" t="s">
        <v>136</v>
      </c>
      <c r="K9" s="148"/>
      <c r="L9" s="148"/>
      <c r="M9" s="148"/>
      <c r="N9" s="148"/>
      <c r="O9" s="19">
        <v>10</v>
      </c>
      <c r="Q9" s="147" t="s">
        <v>135</v>
      </c>
      <c r="R9" s="148" t="s">
        <v>136</v>
      </c>
      <c r="S9" s="148"/>
      <c r="T9" s="148"/>
      <c r="U9" s="148"/>
      <c r="V9" s="148"/>
      <c r="W9" s="19">
        <v>12</v>
      </c>
    </row>
    <row r="10" spans="1:23">
      <c r="A10" s="146"/>
      <c r="B10" s="150" t="s">
        <v>137</v>
      </c>
      <c r="C10" s="150"/>
      <c r="D10" s="150"/>
      <c r="E10" s="150"/>
      <c r="F10" s="150"/>
      <c r="G10" s="103">
        <v>6.56</v>
      </c>
      <c r="I10" s="146"/>
      <c r="J10" s="150" t="s">
        <v>137</v>
      </c>
      <c r="K10" s="150"/>
      <c r="L10" s="150"/>
      <c r="M10" s="150"/>
      <c r="N10" s="150"/>
      <c r="O10" s="103">
        <v>6.5</v>
      </c>
      <c r="Q10" s="146"/>
      <c r="R10" s="150" t="s">
        <v>137</v>
      </c>
      <c r="S10" s="150"/>
      <c r="T10" s="150"/>
      <c r="U10" s="150"/>
      <c r="V10" s="150"/>
      <c r="W10" s="103">
        <v>6.76</v>
      </c>
    </row>
    <row r="11" spans="1:23">
      <c r="A11" s="19"/>
      <c r="B11" s="19"/>
      <c r="C11" s="19"/>
      <c r="D11" s="19"/>
      <c r="E11" s="19"/>
      <c r="F11" s="19"/>
      <c r="G11" s="103">
        <f>SUM(G5:G10)</f>
        <v>72.11</v>
      </c>
      <c r="O11" s="103">
        <f>SUM(O5:O10)</f>
        <v>71.5</v>
      </c>
      <c r="W11">
        <f>SUM(W5:W10)</f>
        <v>74.31</v>
      </c>
    </row>
    <row r="14" spans="1:23">
      <c r="A14" s="102" t="s">
        <v>138</v>
      </c>
      <c r="B14" t="s">
        <v>139</v>
      </c>
      <c r="E14" t="s">
        <v>140</v>
      </c>
      <c r="G14" t="s">
        <v>141</v>
      </c>
    </row>
    <row r="15" spans="1:23">
      <c r="A15" s="105" t="s">
        <v>142</v>
      </c>
      <c r="B15" s="103"/>
      <c r="C15" s="103"/>
      <c r="D15" s="103"/>
      <c r="E15" s="103"/>
      <c r="F15" s="103" t="s">
        <v>129</v>
      </c>
      <c r="G15" s="103"/>
      <c r="I15" s="107" t="s">
        <v>142</v>
      </c>
      <c r="N15" t="s">
        <v>129</v>
      </c>
    </row>
    <row r="16" spans="1:23">
      <c r="A16" s="147" t="s">
        <v>2</v>
      </c>
      <c r="B16" s="148" t="s">
        <v>132</v>
      </c>
      <c r="C16" s="148"/>
      <c r="D16" s="148"/>
      <c r="E16">
        <v>0</v>
      </c>
      <c r="F16">
        <v>1.01</v>
      </c>
      <c r="G16">
        <f>E16*F16</f>
        <v>0</v>
      </c>
      <c r="I16" s="147" t="s">
        <v>2</v>
      </c>
      <c r="J16" s="148" t="s">
        <v>132</v>
      </c>
      <c r="K16" s="148"/>
      <c r="L16" s="148"/>
      <c r="M16" s="101">
        <v>0</v>
      </c>
      <c r="N16" s="101">
        <v>1</v>
      </c>
      <c r="O16" s="101">
        <f>M16*N16</f>
        <v>0</v>
      </c>
    </row>
    <row r="17" spans="1:15">
      <c r="A17" s="152"/>
      <c r="B17" s="153" t="s">
        <v>133</v>
      </c>
      <c r="C17" s="153"/>
      <c r="D17" s="153"/>
      <c r="E17">
        <v>0</v>
      </c>
      <c r="F17">
        <v>1.01</v>
      </c>
      <c r="G17">
        <v>0</v>
      </c>
      <c r="I17" s="145"/>
      <c r="J17" s="149" t="s">
        <v>133</v>
      </c>
      <c r="K17" s="149"/>
      <c r="L17" s="149"/>
      <c r="M17" s="19">
        <v>0</v>
      </c>
      <c r="N17" s="19">
        <v>1</v>
      </c>
      <c r="O17" s="19">
        <f t="shared" ref="O17:O18" si="3">M17*N17</f>
        <v>0</v>
      </c>
    </row>
    <row r="18" spans="1:15">
      <c r="A18" s="152"/>
      <c r="B18" s="153" t="s">
        <v>29</v>
      </c>
      <c r="C18" s="153"/>
      <c r="D18" s="153"/>
      <c r="E18">
        <v>0</v>
      </c>
      <c r="F18">
        <v>1.01</v>
      </c>
      <c r="G18">
        <v>0</v>
      </c>
      <c r="I18" s="146"/>
      <c r="J18" s="150" t="s">
        <v>29</v>
      </c>
      <c r="K18" s="150"/>
      <c r="L18" s="150"/>
      <c r="M18" s="103">
        <v>0</v>
      </c>
      <c r="N18" s="103">
        <v>1</v>
      </c>
      <c r="O18" s="103">
        <f t="shared" si="3"/>
        <v>0</v>
      </c>
    </row>
    <row r="19" spans="1:15">
      <c r="A19" s="103" t="s">
        <v>134</v>
      </c>
      <c r="B19" s="150" t="s">
        <v>134</v>
      </c>
      <c r="C19" s="150"/>
      <c r="D19" s="150"/>
      <c r="E19" s="150"/>
      <c r="F19" s="150"/>
      <c r="G19" s="103">
        <v>0</v>
      </c>
      <c r="I19" s="103" t="s">
        <v>134</v>
      </c>
      <c r="J19" s="151" t="s">
        <v>134</v>
      </c>
      <c r="K19" s="151"/>
      <c r="L19" s="151"/>
      <c r="M19" s="151"/>
      <c r="N19" s="151"/>
      <c r="O19" s="103">
        <v>0</v>
      </c>
    </row>
    <row r="20" spans="1:15">
      <c r="A20" s="147" t="s">
        <v>135</v>
      </c>
      <c r="B20" s="148" t="s">
        <v>136</v>
      </c>
      <c r="C20" s="148"/>
      <c r="D20" s="148"/>
      <c r="E20" s="148"/>
      <c r="F20" s="148"/>
      <c r="G20" s="19">
        <v>0</v>
      </c>
      <c r="I20" s="147" t="s">
        <v>135</v>
      </c>
      <c r="J20" s="148" t="s">
        <v>136</v>
      </c>
      <c r="K20" s="148"/>
      <c r="L20" s="148"/>
      <c r="M20" s="148"/>
      <c r="N20" s="148"/>
      <c r="O20" s="19">
        <v>0</v>
      </c>
    </row>
    <row r="21" spans="1:15">
      <c r="A21" s="146"/>
      <c r="B21" s="150" t="s">
        <v>137</v>
      </c>
      <c r="C21" s="150"/>
      <c r="D21" s="150"/>
      <c r="E21" s="150"/>
      <c r="F21" s="150"/>
      <c r="G21" s="103">
        <v>0</v>
      </c>
      <c r="I21" s="146"/>
      <c r="J21" s="150" t="s">
        <v>137</v>
      </c>
      <c r="K21" s="150"/>
      <c r="L21" s="150"/>
      <c r="M21" s="150"/>
      <c r="N21" s="150"/>
      <c r="O21" s="103">
        <v>0</v>
      </c>
    </row>
    <row r="22" spans="1:15">
      <c r="G22" s="103">
        <f>SUM(G16:G21)</f>
        <v>0</v>
      </c>
      <c r="O22">
        <f>SUM(O16:O21)</f>
        <v>0</v>
      </c>
    </row>
    <row r="25" spans="1:15">
      <c r="A25" t="s">
        <v>143</v>
      </c>
    </row>
    <row r="26" spans="1:15">
      <c r="A26" s="107" t="s">
        <v>106</v>
      </c>
      <c r="F26" t="s">
        <v>129</v>
      </c>
      <c r="I26" s="107" t="s">
        <v>106</v>
      </c>
      <c r="N26" t="s">
        <v>129</v>
      </c>
      <c r="O26" s="103"/>
    </row>
    <row r="27" spans="1:15">
      <c r="A27" s="147" t="s">
        <v>2</v>
      </c>
      <c r="B27" s="148" t="s">
        <v>132</v>
      </c>
      <c r="C27" s="148"/>
      <c r="D27" s="148"/>
      <c r="E27" s="101">
        <v>16</v>
      </c>
      <c r="F27" s="101">
        <v>1.01</v>
      </c>
      <c r="G27" s="101">
        <f>E27*F27</f>
        <v>16.16</v>
      </c>
      <c r="I27" s="147" t="s">
        <v>2</v>
      </c>
      <c r="J27" s="148" t="s">
        <v>132</v>
      </c>
      <c r="K27" s="148"/>
      <c r="L27" s="148"/>
      <c r="M27" s="101">
        <v>0</v>
      </c>
      <c r="N27" s="101">
        <v>1</v>
      </c>
      <c r="O27" s="19">
        <f>M27*N27</f>
        <v>0</v>
      </c>
    </row>
    <row r="28" spans="1:15">
      <c r="A28" s="145"/>
      <c r="B28" s="149" t="s">
        <v>133</v>
      </c>
      <c r="C28" s="149"/>
      <c r="D28" s="149"/>
      <c r="E28" s="19">
        <v>25</v>
      </c>
      <c r="F28" s="19">
        <v>1.01</v>
      </c>
      <c r="G28" s="19">
        <f t="shared" ref="G28:G29" si="4">E28*F28</f>
        <v>25.25</v>
      </c>
      <c r="I28" s="145"/>
      <c r="J28" s="149" t="s">
        <v>133</v>
      </c>
      <c r="K28" s="149"/>
      <c r="L28" s="149"/>
      <c r="M28" s="19">
        <v>0</v>
      </c>
      <c r="N28" s="19">
        <v>1</v>
      </c>
      <c r="O28" s="19">
        <f t="shared" ref="O28:O29" si="5">M28*N28</f>
        <v>0</v>
      </c>
    </row>
    <row r="29" spans="1:15">
      <c r="A29" s="146"/>
      <c r="B29" s="150" t="s">
        <v>29</v>
      </c>
      <c r="C29" s="150"/>
      <c r="D29" s="150"/>
      <c r="E29" s="103">
        <v>14</v>
      </c>
      <c r="F29" s="103">
        <v>1.01</v>
      </c>
      <c r="G29" s="103">
        <f t="shared" si="4"/>
        <v>14.14</v>
      </c>
      <c r="I29" s="146"/>
      <c r="J29" s="150" t="s">
        <v>29</v>
      </c>
      <c r="K29" s="150"/>
      <c r="L29" s="150"/>
      <c r="M29" s="103">
        <v>0</v>
      </c>
      <c r="N29" s="103">
        <v>1</v>
      </c>
      <c r="O29" s="103">
        <f t="shared" si="5"/>
        <v>0</v>
      </c>
    </row>
    <row r="30" spans="1:15">
      <c r="A30" s="103" t="s">
        <v>134</v>
      </c>
      <c r="B30" s="150" t="s">
        <v>134</v>
      </c>
      <c r="C30" s="150"/>
      <c r="D30" s="150"/>
      <c r="E30" s="150"/>
      <c r="F30" s="150"/>
      <c r="G30" s="103">
        <v>0</v>
      </c>
      <c r="I30" s="103" t="s">
        <v>134</v>
      </c>
      <c r="J30" s="103" t="s">
        <v>134</v>
      </c>
      <c r="K30" s="103"/>
      <c r="L30" s="103"/>
      <c r="M30" s="103"/>
      <c r="N30" s="103"/>
      <c r="O30" s="103">
        <v>0</v>
      </c>
    </row>
    <row r="31" spans="1:15">
      <c r="A31" s="145" t="s">
        <v>135</v>
      </c>
      <c r="B31" s="149" t="s">
        <v>136</v>
      </c>
      <c r="C31" s="149"/>
      <c r="D31" s="149"/>
      <c r="E31" s="149"/>
      <c r="F31" s="149"/>
      <c r="G31" s="19">
        <v>10</v>
      </c>
      <c r="I31" s="145" t="s">
        <v>135</v>
      </c>
      <c r="J31" s="149" t="s">
        <v>136</v>
      </c>
      <c r="K31" s="149"/>
      <c r="L31" s="149"/>
      <c r="M31" s="149"/>
      <c r="N31" s="149"/>
      <c r="O31" s="19">
        <v>0</v>
      </c>
    </row>
    <row r="32" spans="1:15">
      <c r="A32" s="146"/>
      <c r="B32" s="150" t="s">
        <v>137</v>
      </c>
      <c r="C32" s="150"/>
      <c r="D32" s="150"/>
      <c r="E32" s="150"/>
      <c r="F32" s="150"/>
      <c r="G32" s="103">
        <v>6.56</v>
      </c>
      <c r="I32" s="146"/>
      <c r="J32" s="150" t="s">
        <v>137</v>
      </c>
      <c r="K32" s="150"/>
      <c r="L32" s="150"/>
      <c r="M32" s="150"/>
      <c r="N32" s="150"/>
      <c r="O32" s="103">
        <v>0</v>
      </c>
    </row>
    <row r="33" spans="1:23">
      <c r="G33" s="103">
        <f>SUM(G27:G32)</f>
        <v>72.11</v>
      </c>
      <c r="O33" s="103">
        <f>SUM(O27:O32)</f>
        <v>0</v>
      </c>
    </row>
    <row r="35" spans="1:23">
      <c r="I35" t="s">
        <v>144</v>
      </c>
    </row>
    <row r="36" spans="1:23">
      <c r="A36" s="107" t="s">
        <v>107</v>
      </c>
      <c r="F36" t="s">
        <v>129</v>
      </c>
      <c r="G36" s="103"/>
      <c r="I36" s="107" t="s">
        <v>107</v>
      </c>
      <c r="N36" t="s">
        <v>129</v>
      </c>
      <c r="O36" s="103"/>
      <c r="Q36" s="107" t="s">
        <v>107</v>
      </c>
      <c r="V36" t="s">
        <v>129</v>
      </c>
    </row>
    <row r="37" spans="1:23">
      <c r="A37" s="147" t="s">
        <v>2</v>
      </c>
      <c r="B37" s="148" t="s">
        <v>132</v>
      </c>
      <c r="C37" s="148"/>
      <c r="D37" s="148"/>
      <c r="E37" s="101">
        <v>0</v>
      </c>
      <c r="F37" s="101">
        <v>1.01</v>
      </c>
      <c r="G37" s="19">
        <f>E37*F37</f>
        <v>0</v>
      </c>
      <c r="I37" s="147" t="s">
        <v>2</v>
      </c>
      <c r="J37" s="148" t="s">
        <v>132</v>
      </c>
      <c r="K37" s="148"/>
      <c r="L37" s="148"/>
      <c r="M37" s="101">
        <v>16</v>
      </c>
      <c r="N37" s="101">
        <v>1</v>
      </c>
      <c r="O37" s="19">
        <f>M37*N37</f>
        <v>16</v>
      </c>
      <c r="Q37" s="147" t="s">
        <v>2</v>
      </c>
      <c r="R37" s="148" t="s">
        <v>132</v>
      </c>
      <c r="S37" s="148"/>
      <c r="T37" s="148"/>
      <c r="U37" s="101">
        <v>0</v>
      </c>
      <c r="V37" s="101">
        <v>1</v>
      </c>
      <c r="W37" s="101">
        <f>U37*V37</f>
        <v>0</v>
      </c>
    </row>
    <row r="38" spans="1:23">
      <c r="A38" s="145"/>
      <c r="B38" s="149" t="s">
        <v>133</v>
      </c>
      <c r="C38" s="149"/>
      <c r="D38" s="149"/>
      <c r="E38" s="19">
        <v>0</v>
      </c>
      <c r="F38" s="19">
        <v>1.01</v>
      </c>
      <c r="G38" s="19">
        <f t="shared" ref="G38:G39" si="6">E38*F38</f>
        <v>0</v>
      </c>
      <c r="I38" s="145"/>
      <c r="J38" s="149" t="s">
        <v>133</v>
      </c>
      <c r="K38" s="149"/>
      <c r="L38" s="149"/>
      <c r="M38" s="19">
        <v>25</v>
      </c>
      <c r="N38" s="19">
        <v>1</v>
      </c>
      <c r="O38" s="19">
        <f t="shared" ref="O38:O39" si="7">M38*N38</f>
        <v>25</v>
      </c>
      <c r="Q38" s="145"/>
      <c r="R38" s="149" t="s">
        <v>133</v>
      </c>
      <c r="S38" s="149"/>
      <c r="T38" s="149"/>
      <c r="U38" s="19">
        <v>0</v>
      </c>
      <c r="V38" s="19">
        <v>1</v>
      </c>
      <c r="W38" s="19">
        <f t="shared" ref="W38:W39" si="8">U38*V38</f>
        <v>0</v>
      </c>
    </row>
    <row r="39" spans="1:23">
      <c r="A39" s="146"/>
      <c r="B39" s="150" t="s">
        <v>29</v>
      </c>
      <c r="C39" s="150"/>
      <c r="D39" s="150"/>
      <c r="E39" s="103">
        <v>0</v>
      </c>
      <c r="F39" s="103">
        <v>1.01</v>
      </c>
      <c r="G39" s="103">
        <f t="shared" si="6"/>
        <v>0</v>
      </c>
      <c r="I39" s="146"/>
      <c r="J39" s="150" t="s">
        <v>29</v>
      </c>
      <c r="K39" s="150"/>
      <c r="L39" s="150"/>
      <c r="M39" s="103">
        <v>14</v>
      </c>
      <c r="N39" s="103">
        <v>1</v>
      </c>
      <c r="O39" s="103">
        <f t="shared" si="7"/>
        <v>14</v>
      </c>
      <c r="Q39" s="146"/>
      <c r="R39" s="150" t="s">
        <v>29</v>
      </c>
      <c r="S39" s="150"/>
      <c r="T39" s="150"/>
      <c r="U39" s="103">
        <v>0</v>
      </c>
      <c r="V39" s="103">
        <v>1</v>
      </c>
      <c r="W39" s="103">
        <f t="shared" si="8"/>
        <v>0</v>
      </c>
    </row>
    <row r="40" spans="1:23">
      <c r="A40" s="103" t="s">
        <v>134</v>
      </c>
      <c r="B40" s="150" t="s">
        <v>134</v>
      </c>
      <c r="C40" s="150"/>
      <c r="D40" s="150"/>
      <c r="E40" s="150"/>
      <c r="F40" s="150"/>
      <c r="G40" s="103">
        <v>0</v>
      </c>
      <c r="I40" s="103" t="s">
        <v>134</v>
      </c>
      <c r="J40" s="151" t="s">
        <v>134</v>
      </c>
      <c r="K40" s="151"/>
      <c r="L40" s="151"/>
      <c r="M40" s="151"/>
      <c r="N40" s="151"/>
      <c r="O40" s="103">
        <v>0</v>
      </c>
      <c r="Q40" s="103" t="s">
        <v>134</v>
      </c>
      <c r="R40" s="150" t="s">
        <v>134</v>
      </c>
      <c r="S40" s="150"/>
      <c r="T40" s="150"/>
      <c r="U40" s="150"/>
      <c r="V40" s="150"/>
      <c r="W40" s="103">
        <v>0</v>
      </c>
    </row>
    <row r="41" spans="1:23">
      <c r="A41" s="19" t="s">
        <v>135</v>
      </c>
      <c r="B41" s="149" t="s">
        <v>136</v>
      </c>
      <c r="C41" s="149"/>
      <c r="D41" s="149"/>
      <c r="E41" s="149"/>
      <c r="F41" s="149"/>
      <c r="G41" s="19">
        <v>0</v>
      </c>
      <c r="I41" s="147" t="s">
        <v>135</v>
      </c>
      <c r="J41" s="148" t="s">
        <v>136</v>
      </c>
      <c r="K41" s="148"/>
      <c r="L41" s="148"/>
      <c r="M41" s="148"/>
      <c r="N41" s="148"/>
      <c r="O41" s="19">
        <v>10</v>
      </c>
      <c r="Q41" s="145" t="s">
        <v>135</v>
      </c>
      <c r="R41" s="149" t="s">
        <v>136</v>
      </c>
      <c r="S41" s="149"/>
      <c r="T41" s="149"/>
      <c r="U41" s="149"/>
      <c r="V41" s="149"/>
      <c r="W41" s="19">
        <v>0</v>
      </c>
    </row>
    <row r="42" spans="1:23">
      <c r="A42" s="103"/>
      <c r="B42" s="150" t="s">
        <v>137</v>
      </c>
      <c r="C42" s="150"/>
      <c r="D42" s="150"/>
      <c r="E42" s="150"/>
      <c r="F42" s="150"/>
      <c r="G42" s="103">
        <v>0</v>
      </c>
      <c r="I42" s="146"/>
      <c r="J42" s="150" t="s">
        <v>137</v>
      </c>
      <c r="K42" s="150"/>
      <c r="L42" s="150"/>
      <c r="M42" s="150"/>
      <c r="N42" s="150"/>
      <c r="O42" s="103">
        <v>6.5</v>
      </c>
      <c r="Q42" s="146"/>
      <c r="R42" s="150" t="s">
        <v>137</v>
      </c>
      <c r="S42" s="150"/>
      <c r="T42" s="150"/>
      <c r="U42" s="150"/>
      <c r="V42" s="150"/>
      <c r="W42" s="103">
        <v>0</v>
      </c>
    </row>
    <row r="43" spans="1:23">
      <c r="G43" s="103">
        <f>SUM(G37:G42)</f>
        <v>0</v>
      </c>
      <c r="O43">
        <f>SUM(O37:O42)</f>
        <v>71.5</v>
      </c>
      <c r="W43" s="103">
        <f>SUM(W37:W42)</f>
        <v>0</v>
      </c>
    </row>
    <row r="46" spans="1:23">
      <c r="A46" s="107" t="s">
        <v>108</v>
      </c>
      <c r="F46" t="s">
        <v>129</v>
      </c>
      <c r="I46" s="106" t="s">
        <v>108</v>
      </c>
      <c r="N46" t="s">
        <v>129</v>
      </c>
    </row>
    <row r="47" spans="1:23">
      <c r="A47" s="147" t="s">
        <v>2</v>
      </c>
      <c r="B47" s="148" t="s">
        <v>132</v>
      </c>
      <c r="C47" s="148"/>
      <c r="D47" s="148"/>
      <c r="E47" s="101">
        <v>16</v>
      </c>
      <c r="F47" s="101">
        <v>1.01</v>
      </c>
      <c r="G47" s="101">
        <f>E47*F47</f>
        <v>16.16</v>
      </c>
      <c r="I47" s="147" t="s">
        <v>2</v>
      </c>
      <c r="J47" s="149" t="s">
        <v>132</v>
      </c>
      <c r="K47" s="149"/>
      <c r="L47" s="149"/>
      <c r="M47" s="19">
        <v>16</v>
      </c>
      <c r="N47" s="19">
        <v>1</v>
      </c>
      <c r="O47" s="19">
        <f>M47*N47</f>
        <v>16</v>
      </c>
    </row>
    <row r="48" spans="1:23">
      <c r="A48" s="145"/>
      <c r="B48" s="149" t="s">
        <v>133</v>
      </c>
      <c r="C48" s="149"/>
      <c r="D48" s="149"/>
      <c r="E48" s="19">
        <v>25</v>
      </c>
      <c r="F48" s="19">
        <v>1.01</v>
      </c>
      <c r="G48" s="19">
        <f t="shared" ref="G48:G50" si="9">E48*F48</f>
        <v>25.25</v>
      </c>
      <c r="I48" s="145"/>
      <c r="J48" s="149" t="s">
        <v>133</v>
      </c>
      <c r="K48" s="149"/>
      <c r="L48" s="149"/>
      <c r="M48" s="19">
        <v>25</v>
      </c>
      <c r="N48" s="19">
        <v>1</v>
      </c>
      <c r="O48" s="19">
        <f t="shared" ref="O48:O50" si="10">M48*N48</f>
        <v>25</v>
      </c>
    </row>
    <row r="49" spans="1:15">
      <c r="A49" s="145"/>
      <c r="B49" s="149" t="s">
        <v>27</v>
      </c>
      <c r="C49" s="149"/>
      <c r="D49" s="149"/>
      <c r="E49" s="19">
        <v>0</v>
      </c>
      <c r="F49" s="19">
        <v>1.01</v>
      </c>
      <c r="G49" s="19">
        <f t="shared" si="9"/>
        <v>0</v>
      </c>
      <c r="I49" s="145"/>
      <c r="J49" s="149" t="s">
        <v>27</v>
      </c>
      <c r="K49" s="149"/>
      <c r="L49" s="149"/>
      <c r="M49" s="19">
        <v>-22</v>
      </c>
      <c r="N49" s="19">
        <v>1</v>
      </c>
      <c r="O49" s="19">
        <f t="shared" si="10"/>
        <v>-22</v>
      </c>
    </row>
    <row r="50" spans="1:15">
      <c r="A50" s="146"/>
      <c r="B50" s="150" t="s">
        <v>29</v>
      </c>
      <c r="C50" s="150"/>
      <c r="D50" s="150"/>
      <c r="E50" s="103">
        <v>14</v>
      </c>
      <c r="F50" s="103">
        <v>1.01</v>
      </c>
      <c r="G50" s="103">
        <f t="shared" si="9"/>
        <v>14.14</v>
      </c>
      <c r="I50" s="146"/>
      <c r="J50" s="150" t="s">
        <v>29</v>
      </c>
      <c r="K50" s="150"/>
      <c r="L50" s="150"/>
      <c r="M50" s="103">
        <v>14</v>
      </c>
      <c r="N50" s="103">
        <v>1</v>
      </c>
      <c r="O50" s="103">
        <f t="shared" si="10"/>
        <v>14</v>
      </c>
    </row>
    <row r="51" spans="1:15">
      <c r="A51" s="103" t="s">
        <v>134</v>
      </c>
      <c r="B51" s="150" t="s">
        <v>134</v>
      </c>
      <c r="C51" s="150"/>
      <c r="D51" s="150"/>
      <c r="E51" s="150"/>
      <c r="F51" s="150"/>
      <c r="G51" s="103">
        <v>0</v>
      </c>
      <c r="I51" s="103" t="s">
        <v>134</v>
      </c>
      <c r="J51" s="150" t="s">
        <v>134</v>
      </c>
      <c r="K51" s="150"/>
      <c r="L51" s="150"/>
      <c r="M51" s="150"/>
      <c r="N51" s="150"/>
      <c r="O51" s="103">
        <v>0</v>
      </c>
    </row>
    <row r="52" spans="1:15">
      <c r="A52" s="145" t="s">
        <v>135</v>
      </c>
      <c r="B52" s="149" t="s">
        <v>136</v>
      </c>
      <c r="C52" s="149"/>
      <c r="D52" s="149"/>
      <c r="E52" s="149"/>
      <c r="F52" s="149"/>
      <c r="G52" s="19">
        <v>10</v>
      </c>
      <c r="I52" s="145" t="s">
        <v>135</v>
      </c>
      <c r="J52" s="149" t="s">
        <v>136</v>
      </c>
      <c r="K52" s="149"/>
      <c r="L52" s="149"/>
      <c r="M52" s="149"/>
      <c r="N52" s="149"/>
      <c r="O52" s="19">
        <v>0</v>
      </c>
    </row>
    <row r="53" spans="1:15">
      <c r="A53" s="146"/>
      <c r="B53" s="150" t="s">
        <v>137</v>
      </c>
      <c r="C53" s="150"/>
      <c r="D53" s="150"/>
      <c r="E53" s="150"/>
      <c r="F53" s="150"/>
      <c r="G53" s="103">
        <v>6.56</v>
      </c>
      <c r="I53" s="146"/>
      <c r="J53" s="150" t="s">
        <v>137</v>
      </c>
      <c r="K53" s="150"/>
      <c r="L53" s="150"/>
      <c r="M53" s="150"/>
      <c r="N53" s="150"/>
      <c r="O53" s="103">
        <v>0</v>
      </c>
    </row>
    <row r="54" spans="1:15">
      <c r="G54" s="103">
        <f>SUM(G47:G53)</f>
        <v>72.11</v>
      </c>
      <c r="O54" s="103">
        <f>SUM(O47:O53)</f>
        <v>33</v>
      </c>
    </row>
    <row r="57" spans="1:15">
      <c r="G57" t="s">
        <v>145</v>
      </c>
    </row>
    <row r="58" spans="1:15">
      <c r="A58" s="107" t="s">
        <v>109</v>
      </c>
      <c r="F58" t="s">
        <v>129</v>
      </c>
      <c r="I58" s="107" t="s">
        <v>109</v>
      </c>
      <c r="J58" s="107"/>
      <c r="N58" t="s">
        <v>129</v>
      </c>
    </row>
    <row r="59" spans="1:15">
      <c r="A59" s="147" t="s">
        <v>2</v>
      </c>
      <c r="B59" s="148" t="s">
        <v>132</v>
      </c>
      <c r="C59" s="148"/>
      <c r="D59" s="148"/>
      <c r="E59" s="101">
        <v>16</v>
      </c>
      <c r="F59" s="101">
        <v>1.01</v>
      </c>
      <c r="G59" s="101">
        <f>E59*F59</f>
        <v>16.16</v>
      </c>
      <c r="I59" s="147" t="s">
        <v>2</v>
      </c>
      <c r="J59" s="101" t="s">
        <v>132</v>
      </c>
      <c r="K59" s="101"/>
      <c r="L59" s="101"/>
      <c r="M59" s="101">
        <v>0</v>
      </c>
      <c r="N59" s="101">
        <v>1</v>
      </c>
      <c r="O59" s="101">
        <f>M59*N59</f>
        <v>0</v>
      </c>
    </row>
    <row r="60" spans="1:15">
      <c r="A60" s="145"/>
      <c r="B60" s="149" t="s">
        <v>133</v>
      </c>
      <c r="C60" s="149"/>
      <c r="D60" s="149"/>
      <c r="E60" s="19">
        <v>25</v>
      </c>
      <c r="F60" s="19">
        <v>1.01</v>
      </c>
      <c r="G60" s="19">
        <f t="shared" ref="G60:G61" si="11">E60*F60</f>
        <v>25.25</v>
      </c>
      <c r="I60" s="145"/>
      <c r="J60" s="19" t="s">
        <v>133</v>
      </c>
      <c r="K60" s="19"/>
      <c r="L60" s="19"/>
      <c r="M60" s="19">
        <v>0</v>
      </c>
      <c r="N60" s="19">
        <v>1</v>
      </c>
      <c r="O60" s="19">
        <v>0</v>
      </c>
    </row>
    <row r="61" spans="1:15">
      <c r="A61" s="146"/>
      <c r="B61" s="150" t="s">
        <v>29</v>
      </c>
      <c r="C61" s="150"/>
      <c r="D61" s="150"/>
      <c r="E61" s="103">
        <v>14</v>
      </c>
      <c r="F61" s="103">
        <v>1.01</v>
      </c>
      <c r="G61" s="103">
        <f t="shared" si="11"/>
        <v>14.14</v>
      </c>
      <c r="I61" s="146"/>
      <c r="J61" s="103" t="s">
        <v>29</v>
      </c>
      <c r="K61" s="103"/>
      <c r="L61" s="103"/>
      <c r="M61" s="103">
        <v>0</v>
      </c>
      <c r="N61" s="103">
        <v>1</v>
      </c>
      <c r="O61" s="103">
        <v>0</v>
      </c>
    </row>
    <row r="62" spans="1:15">
      <c r="A62" s="103" t="s">
        <v>134</v>
      </c>
      <c r="B62" s="150" t="s">
        <v>134</v>
      </c>
      <c r="C62" s="150"/>
      <c r="D62" s="150"/>
      <c r="E62" s="150"/>
      <c r="F62" s="150"/>
      <c r="G62" s="103">
        <v>0</v>
      </c>
      <c r="I62" s="103" t="s">
        <v>134</v>
      </c>
      <c r="J62" s="103" t="s">
        <v>134</v>
      </c>
      <c r="K62" s="103"/>
      <c r="L62" s="103"/>
      <c r="M62" s="103"/>
      <c r="N62" s="103"/>
      <c r="O62" s="103">
        <v>0</v>
      </c>
    </row>
    <row r="63" spans="1:15">
      <c r="A63" s="19" t="s">
        <v>135</v>
      </c>
      <c r="B63" s="149" t="s">
        <v>136</v>
      </c>
      <c r="C63" s="149"/>
      <c r="D63" s="149"/>
      <c r="E63" s="149"/>
      <c r="F63" s="149"/>
      <c r="G63" s="19">
        <v>10</v>
      </c>
      <c r="I63" s="145" t="s">
        <v>135</v>
      </c>
      <c r="J63" s="19" t="s">
        <v>136</v>
      </c>
      <c r="K63" s="19"/>
      <c r="L63" s="19"/>
      <c r="M63" s="19"/>
      <c r="N63" s="19"/>
      <c r="O63" s="19">
        <v>0</v>
      </c>
    </row>
    <row r="64" spans="1:15">
      <c r="A64" s="103"/>
      <c r="B64" s="150" t="s">
        <v>137</v>
      </c>
      <c r="C64" s="150"/>
      <c r="D64" s="150"/>
      <c r="E64" s="150"/>
      <c r="F64" s="150"/>
      <c r="G64" s="103">
        <v>6.56</v>
      </c>
      <c r="I64" s="146"/>
      <c r="J64" s="103" t="s">
        <v>137</v>
      </c>
      <c r="K64" s="103"/>
      <c r="L64" s="103"/>
      <c r="M64" s="103"/>
      <c r="N64" s="103"/>
      <c r="O64" s="103">
        <v>0</v>
      </c>
    </row>
    <row r="65" spans="1:23">
      <c r="G65" s="103">
        <f>SUM(G59:G64)</f>
        <v>72.11</v>
      </c>
      <c r="O65" s="103">
        <f>SUM(O59:O64)</f>
        <v>0</v>
      </c>
    </row>
    <row r="67" spans="1:23">
      <c r="A67" t="s">
        <v>146</v>
      </c>
      <c r="B67" t="s">
        <v>147</v>
      </c>
    </row>
    <row r="68" spans="1:23">
      <c r="A68" s="107" t="s">
        <v>110</v>
      </c>
      <c r="F68" t="s">
        <v>129</v>
      </c>
      <c r="I68" s="108" t="s">
        <v>110</v>
      </c>
      <c r="N68" t="s">
        <v>129</v>
      </c>
      <c r="Q68" s="107" t="s">
        <v>110</v>
      </c>
      <c r="V68" t="s">
        <v>129</v>
      </c>
    </row>
    <row r="69" spans="1:23">
      <c r="A69" s="147" t="s">
        <v>2</v>
      </c>
      <c r="B69" s="148" t="s">
        <v>132</v>
      </c>
      <c r="C69" s="148"/>
      <c r="D69" s="148"/>
      <c r="E69" s="101">
        <v>16</v>
      </c>
      <c r="F69" s="101">
        <v>1.01</v>
      </c>
      <c r="G69" s="101">
        <f>E69*F69</f>
        <v>16.16</v>
      </c>
      <c r="I69" s="147" t="s">
        <v>2</v>
      </c>
      <c r="J69" s="148" t="s">
        <v>132</v>
      </c>
      <c r="K69" s="148"/>
      <c r="L69" s="148"/>
      <c r="M69" s="101">
        <v>16</v>
      </c>
      <c r="N69" s="101">
        <v>1</v>
      </c>
      <c r="O69" s="101">
        <f>M69*N69</f>
        <v>16</v>
      </c>
      <c r="Q69" s="147" t="s">
        <v>2</v>
      </c>
      <c r="R69" s="148" t="s">
        <v>132</v>
      </c>
      <c r="S69" s="148"/>
      <c r="T69" s="148"/>
      <c r="U69" s="101">
        <v>0</v>
      </c>
      <c r="V69" s="101">
        <v>1</v>
      </c>
      <c r="W69" s="101">
        <f>U69*V69</f>
        <v>0</v>
      </c>
    </row>
    <row r="70" spans="1:23">
      <c r="A70" s="145"/>
      <c r="B70" s="149" t="s">
        <v>133</v>
      </c>
      <c r="C70" s="149"/>
      <c r="D70" s="149"/>
      <c r="E70" s="19">
        <v>25</v>
      </c>
      <c r="F70" s="19">
        <v>1.01</v>
      </c>
      <c r="G70" s="19">
        <f t="shared" ref="G70:G71" si="12">E70*F70</f>
        <v>25.25</v>
      </c>
      <c r="I70" s="145"/>
      <c r="J70" s="149" t="s">
        <v>133</v>
      </c>
      <c r="K70" s="149"/>
      <c r="L70" s="149"/>
      <c r="M70" s="19">
        <v>25</v>
      </c>
      <c r="N70" s="19">
        <v>1</v>
      </c>
      <c r="O70" s="19">
        <f t="shared" ref="O70:O71" si="13">M70*N70</f>
        <v>25</v>
      </c>
      <c r="Q70" s="145"/>
      <c r="R70" s="149" t="s">
        <v>133</v>
      </c>
      <c r="S70" s="149"/>
      <c r="T70" s="149"/>
      <c r="U70" s="19">
        <v>0</v>
      </c>
      <c r="V70" s="19">
        <v>1</v>
      </c>
      <c r="W70" s="19">
        <f t="shared" ref="W70:W71" si="14">U70*V70</f>
        <v>0</v>
      </c>
    </row>
    <row r="71" spans="1:23">
      <c r="A71" s="146"/>
      <c r="B71" s="150" t="s">
        <v>29</v>
      </c>
      <c r="C71" s="150"/>
      <c r="D71" s="150"/>
      <c r="E71" s="103">
        <v>14</v>
      </c>
      <c r="F71" s="103">
        <v>1.01</v>
      </c>
      <c r="G71" s="103">
        <f t="shared" si="12"/>
        <v>14.14</v>
      </c>
      <c r="I71" s="146"/>
      <c r="J71" s="150" t="s">
        <v>29</v>
      </c>
      <c r="K71" s="150"/>
      <c r="L71" s="150"/>
      <c r="M71" s="103">
        <v>14</v>
      </c>
      <c r="N71" s="103">
        <v>1</v>
      </c>
      <c r="O71" s="103">
        <f t="shared" si="13"/>
        <v>14</v>
      </c>
      <c r="Q71" s="146"/>
      <c r="R71" s="150" t="s">
        <v>29</v>
      </c>
      <c r="S71" s="150"/>
      <c r="T71" s="150"/>
      <c r="U71" s="103">
        <v>0</v>
      </c>
      <c r="V71" s="103">
        <v>1</v>
      </c>
      <c r="W71" s="103">
        <f t="shared" si="14"/>
        <v>0</v>
      </c>
    </row>
    <row r="72" spans="1:23">
      <c r="A72" s="103" t="s">
        <v>134</v>
      </c>
      <c r="B72" s="150" t="s">
        <v>134</v>
      </c>
      <c r="C72" s="150"/>
      <c r="D72" s="150"/>
      <c r="E72" s="103"/>
      <c r="F72" s="103"/>
      <c r="G72" s="103">
        <v>0</v>
      </c>
      <c r="I72" s="103" t="s">
        <v>134</v>
      </c>
      <c r="J72" s="150" t="s">
        <v>134</v>
      </c>
      <c r="K72" s="150"/>
      <c r="L72" s="150"/>
      <c r="M72" s="150"/>
      <c r="N72" s="150"/>
      <c r="O72" s="103">
        <v>0</v>
      </c>
      <c r="Q72" s="103" t="s">
        <v>134</v>
      </c>
      <c r="R72" s="150" t="s">
        <v>134</v>
      </c>
      <c r="S72" s="150"/>
      <c r="T72" s="150"/>
      <c r="U72" s="150"/>
      <c r="V72" s="150"/>
      <c r="W72" s="103">
        <v>0</v>
      </c>
    </row>
    <row r="73" spans="1:23">
      <c r="A73" s="145" t="s">
        <v>135</v>
      </c>
      <c r="B73" s="149" t="s">
        <v>136</v>
      </c>
      <c r="C73" s="149"/>
      <c r="D73" s="149"/>
      <c r="E73" s="149"/>
      <c r="F73" s="149"/>
      <c r="G73" s="19">
        <v>10</v>
      </c>
      <c r="I73" s="145" t="s">
        <v>135</v>
      </c>
      <c r="J73" s="149" t="s">
        <v>136</v>
      </c>
      <c r="K73" s="149"/>
      <c r="L73" s="149"/>
      <c r="M73" s="149"/>
      <c r="N73" s="149"/>
      <c r="O73" s="19">
        <v>10</v>
      </c>
      <c r="Q73" s="145" t="s">
        <v>135</v>
      </c>
      <c r="R73" s="149" t="s">
        <v>136</v>
      </c>
      <c r="S73" s="149"/>
      <c r="T73" s="149"/>
      <c r="U73" s="149"/>
      <c r="V73" s="149"/>
      <c r="W73" s="19">
        <v>0</v>
      </c>
    </row>
    <row r="74" spans="1:23">
      <c r="A74" s="146"/>
      <c r="B74" s="150" t="s">
        <v>137</v>
      </c>
      <c r="C74" s="150"/>
      <c r="D74" s="150"/>
      <c r="E74" s="150"/>
      <c r="F74" s="150"/>
      <c r="G74" s="103">
        <v>6.56</v>
      </c>
      <c r="I74" s="146"/>
      <c r="J74" s="150" t="s">
        <v>137</v>
      </c>
      <c r="K74" s="150"/>
      <c r="L74" s="150"/>
      <c r="M74" s="150"/>
      <c r="N74" s="150"/>
      <c r="O74" s="103">
        <v>6.5</v>
      </c>
      <c r="Q74" s="146"/>
      <c r="R74" s="150" t="s">
        <v>137</v>
      </c>
      <c r="S74" s="150"/>
      <c r="T74" s="150"/>
      <c r="U74" s="150"/>
      <c r="V74" s="150"/>
      <c r="W74" s="103">
        <v>0</v>
      </c>
    </row>
    <row r="75" spans="1:23">
      <c r="G75" s="103">
        <f>SUM(G69:G74)</f>
        <v>72.11</v>
      </c>
      <c r="O75" s="103">
        <f>SUM(O69:O74)</f>
        <v>71.5</v>
      </c>
      <c r="W75" s="103">
        <f>SUM(W69:W74)</f>
        <v>0</v>
      </c>
    </row>
  </sheetData>
  <mergeCells count="129">
    <mergeCell ref="A5:A7"/>
    <mergeCell ref="A9:A10"/>
    <mergeCell ref="I9:I10"/>
    <mergeCell ref="Q5:Q7"/>
    <mergeCell ref="I5:I7"/>
    <mergeCell ref="Q9:Q10"/>
    <mergeCell ref="B5:D5"/>
    <mergeCell ref="B6:D6"/>
    <mergeCell ref="B7:D7"/>
    <mergeCell ref="B8:F8"/>
    <mergeCell ref="R5:T5"/>
    <mergeCell ref="R6:T6"/>
    <mergeCell ref="R7:T7"/>
    <mergeCell ref="R9:V9"/>
    <mergeCell ref="R10:V10"/>
    <mergeCell ref="R8:V8"/>
    <mergeCell ref="B9:F9"/>
    <mergeCell ref="B10:F10"/>
    <mergeCell ref="J5:L5"/>
    <mergeCell ref="J6:L6"/>
    <mergeCell ref="J7:L7"/>
    <mergeCell ref="J9:N9"/>
    <mergeCell ref="J10:N10"/>
    <mergeCell ref="J8:N8"/>
    <mergeCell ref="B21:F21"/>
    <mergeCell ref="A20:A21"/>
    <mergeCell ref="I16:I18"/>
    <mergeCell ref="J16:L16"/>
    <mergeCell ref="J17:L17"/>
    <mergeCell ref="J18:L18"/>
    <mergeCell ref="J19:N19"/>
    <mergeCell ref="I20:I21"/>
    <mergeCell ref="J20:N20"/>
    <mergeCell ref="J21:N21"/>
    <mergeCell ref="A16:A18"/>
    <mergeCell ref="B16:D16"/>
    <mergeCell ref="B17:D17"/>
    <mergeCell ref="B18:D18"/>
    <mergeCell ref="B19:F19"/>
    <mergeCell ref="B20:F20"/>
    <mergeCell ref="J27:L27"/>
    <mergeCell ref="J28:L28"/>
    <mergeCell ref="J29:L29"/>
    <mergeCell ref="I31:I32"/>
    <mergeCell ref="J31:N31"/>
    <mergeCell ref="J32:N32"/>
    <mergeCell ref="A27:A29"/>
    <mergeCell ref="B27:D27"/>
    <mergeCell ref="B28:D28"/>
    <mergeCell ref="B29:D29"/>
    <mergeCell ref="B30:F30"/>
    <mergeCell ref="B31:F31"/>
    <mergeCell ref="A37:A39"/>
    <mergeCell ref="B37:D37"/>
    <mergeCell ref="B38:D38"/>
    <mergeCell ref="B39:D39"/>
    <mergeCell ref="B40:F40"/>
    <mergeCell ref="B41:F41"/>
    <mergeCell ref="B32:F32"/>
    <mergeCell ref="A31:A32"/>
    <mergeCell ref="I27:I29"/>
    <mergeCell ref="Q37:Q39"/>
    <mergeCell ref="R37:T37"/>
    <mergeCell ref="R40:V40"/>
    <mergeCell ref="Q41:Q42"/>
    <mergeCell ref="R41:V41"/>
    <mergeCell ref="R42:V42"/>
    <mergeCell ref="R38:T38"/>
    <mergeCell ref="R39:T39"/>
    <mergeCell ref="B42:F42"/>
    <mergeCell ref="I37:I39"/>
    <mergeCell ref="J37:L37"/>
    <mergeCell ref="J38:L38"/>
    <mergeCell ref="J39:L39"/>
    <mergeCell ref="I41:I42"/>
    <mergeCell ref="J41:N41"/>
    <mergeCell ref="J42:N42"/>
    <mergeCell ref="J40:N40"/>
    <mergeCell ref="I47:I50"/>
    <mergeCell ref="J47:L47"/>
    <mergeCell ref="J48:L48"/>
    <mergeCell ref="J49:L49"/>
    <mergeCell ref="J50:L50"/>
    <mergeCell ref="J51:N51"/>
    <mergeCell ref="A52:A53"/>
    <mergeCell ref="B47:D47"/>
    <mergeCell ref="B48:D48"/>
    <mergeCell ref="B49:D49"/>
    <mergeCell ref="B50:D50"/>
    <mergeCell ref="B51:F51"/>
    <mergeCell ref="B52:F52"/>
    <mergeCell ref="B53:F53"/>
    <mergeCell ref="A47:A50"/>
    <mergeCell ref="I59:I61"/>
    <mergeCell ref="I63:I64"/>
    <mergeCell ref="A69:A71"/>
    <mergeCell ref="I69:I71"/>
    <mergeCell ref="J52:N52"/>
    <mergeCell ref="J53:N53"/>
    <mergeCell ref="I52:I53"/>
    <mergeCell ref="A59:A61"/>
    <mergeCell ref="B59:D59"/>
    <mergeCell ref="B60:D60"/>
    <mergeCell ref="B61:D61"/>
    <mergeCell ref="A73:A74"/>
    <mergeCell ref="B69:D69"/>
    <mergeCell ref="B70:D70"/>
    <mergeCell ref="B71:D71"/>
    <mergeCell ref="B72:D72"/>
    <mergeCell ref="B73:F73"/>
    <mergeCell ref="B74:F74"/>
    <mergeCell ref="B62:F62"/>
    <mergeCell ref="B63:F63"/>
    <mergeCell ref="B64:F64"/>
    <mergeCell ref="I73:I74"/>
    <mergeCell ref="Q69:Q71"/>
    <mergeCell ref="Q73:Q74"/>
    <mergeCell ref="R69:T69"/>
    <mergeCell ref="R70:T70"/>
    <mergeCell ref="R71:T71"/>
    <mergeCell ref="R72:V72"/>
    <mergeCell ref="R73:V73"/>
    <mergeCell ref="R74:V74"/>
    <mergeCell ref="J69:L69"/>
    <mergeCell ref="J70:L70"/>
    <mergeCell ref="J71:L71"/>
    <mergeCell ref="J72:N72"/>
    <mergeCell ref="J73:N73"/>
    <mergeCell ref="J74:N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Maria Marcilla Salvado</dc:creator>
  <cp:keywords/>
  <dc:description/>
  <cp:lastModifiedBy>Fanny De Mendonca</cp:lastModifiedBy>
  <cp:revision/>
  <dcterms:created xsi:type="dcterms:W3CDTF">2017-01-17T08:46:29Z</dcterms:created>
  <dcterms:modified xsi:type="dcterms:W3CDTF">2017-01-20T13:14:02Z</dcterms:modified>
  <cp:category/>
  <cp:contentStatus/>
</cp:coreProperties>
</file>