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okesh\Documents\documents\"/>
    </mc:Choice>
  </mc:AlternateContent>
  <xr:revisionPtr revIDLastSave="0" documentId="13_ncr:1_{FE0483FC-0E27-4FC7-9FD8-42AF9D96CBF3}" xr6:coauthVersionLast="47" xr6:coauthVersionMax="47" xr10:uidLastSave="{00000000-0000-0000-0000-000000000000}"/>
  <bookViews>
    <workbookView xWindow="-120" yWindow="-120" windowWidth="38640" windowHeight="21120" xr2:uid="{00000000-000D-0000-FFFF-FFFF00000000}"/>
  </bookViews>
  <sheets>
    <sheet name="Energy Recharge Calculator" sheetId="1" r:id="rId1"/>
    <sheet name="Data" sheetId="2" r:id="rId2"/>
    <sheet name="Enemy Particles" sheetId="3" r:id="rId3"/>
    <sheet name="Changelog" sheetId="4" r:id="rId4"/>
    <sheet name="Summary Table" sheetId="5" state="hidden" r:id="rId5"/>
    <sheet name="Self-Funding" sheetId="6" state="hidden" r:id="rId6"/>
    <sheet name="Calculations" sheetId="7" state="hidden" r:id="rId7"/>
    <sheet name="Team Energy" sheetId="8" state="hidden" r:id="rId8"/>
    <sheet name="Energy Abilities" sheetId="9" state="hidden" r:id="rId9"/>
  </sheets>
  <definedNames>
    <definedName name="Fixed">'Energy Recharge Calculator'!$AO$6</definedName>
    <definedName name="Flexible">'Energy Recharge Calculator'!$AO$5</definedName>
    <definedName name="HighEPS">'Team Energy'!$E$12</definedName>
    <definedName name="LowEPS">'Team Energy'!$C$12</definedName>
    <definedName name="MedEPS">'Team Energy'!$D$12</definedName>
    <definedName name="NoElement">Data!$D$147</definedName>
    <definedName name="OffField">Data!$D$150</definedName>
    <definedName name="OffFieldClear">Data!$D$139</definedName>
    <definedName name="OffFieldOrb">Data!$D$141</definedName>
    <definedName name="OffFieldRight">Data!$D$138</definedName>
    <definedName name="OffFieldWrong">Data!$D$140</definedName>
    <definedName name="OnField">Data!$D$149</definedName>
    <definedName name="OnFieldClear">Data!$D$135</definedName>
    <definedName name="OnFieldOrb">Data!$D$137</definedName>
    <definedName name="OnFieldRight">Data!$D$134</definedName>
    <definedName name="OnFieldWrong">Data!$D$136</definedName>
    <definedName name="OrbsPerRun">Data!$D$143</definedName>
    <definedName name="RightElement">Data!$D$146</definedName>
    <definedName name="RotationLength">'Energy Recharge Calculator'!$C$6</definedName>
    <definedName name="RotationMode">'Energy Recharge Calculator'!$C$5</definedName>
    <definedName name="RunDuration">Data!$D$144</definedName>
    <definedName name="VarianceLabels">'Energy Recharge Calculator'!$AO$1:$AO$3</definedName>
    <definedName name="VarianceMultipliers">'Energy Recharge Calculator'!$AP$1:$AP$3</definedName>
    <definedName name="VHighEPS">'Team Energy'!$F$12</definedName>
    <definedName name="WrongElement">Data!$D$148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1" i="1" l="1" a="1"/>
  <c r="E81" i="1" s="1"/>
  <c r="R65" i="1"/>
  <c r="N125" i="2" a="1"/>
  <c r="N125" i="2" s="1"/>
  <c r="E35" i="1"/>
  <c r="N115" i="2"/>
  <c r="R43" i="1"/>
  <c r="F196" i="2"/>
  <c r="A121" i="2" a="1"/>
  <c r="A121" i="2" s="1"/>
  <c r="I121" i="2" a="1"/>
  <c r="I121" i="2" s="1"/>
  <c r="H121" i="2" a="1"/>
  <c r="H121" i="2" s="1"/>
  <c r="V34" i="1" a="1"/>
  <c r="V34" i="1" s="1"/>
  <c r="V29" i="1" a="1"/>
  <c r="V29" i="1" s="1"/>
  <c r="W28" i="1"/>
  <c r="V28" i="1" a="1"/>
  <c r="V28" i="1" s="1"/>
  <c r="U28" i="1"/>
  <c r="B5" i="3"/>
  <c r="E8" i="8"/>
  <c r="D8" i="8"/>
  <c r="C8" i="8"/>
  <c r="F6" i="8"/>
  <c r="E6" i="8"/>
  <c r="F4" i="8"/>
  <c r="E4" i="8"/>
  <c r="F2" i="8"/>
  <c r="E2" i="8"/>
  <c r="H41" i="7" a="1"/>
  <c r="H41" i="7" s="1"/>
  <c r="G41" i="7" a="1"/>
  <c r="G41" i="7" s="1"/>
  <c r="I41" i="7" s="1" a="1"/>
  <c r="I41" i="7" s="1"/>
  <c r="J41" i="7" s="1"/>
  <c r="I40" i="7" a="1"/>
  <c r="I40" i="7" s="1"/>
  <c r="J40" i="7" s="1"/>
  <c r="H40" i="7" a="1"/>
  <c r="H40" i="7" s="1"/>
  <c r="G40" i="7" a="1"/>
  <c r="G40" i="7" s="1"/>
  <c r="H39" i="7" a="1"/>
  <c r="H39" i="7" s="1"/>
  <c r="G39" i="7" a="1"/>
  <c r="G39" i="7" s="1"/>
  <c r="I39" i="7" s="1" a="1"/>
  <c r="I39" i="7" s="1"/>
  <c r="J39" i="7" s="1"/>
  <c r="H38" i="7" a="1"/>
  <c r="H38" i="7" s="1"/>
  <c r="G38" i="7" a="1"/>
  <c r="G38" i="7" s="1"/>
  <c r="I38" i="7" s="1" a="1"/>
  <c r="I38" i="7" s="1"/>
  <c r="J38" i="7" s="1"/>
  <c r="H37" i="7" a="1"/>
  <c r="H37" i="7" s="1"/>
  <c r="G37" i="7" a="1"/>
  <c r="G37" i="7" s="1"/>
  <c r="I37" i="7" s="1" a="1"/>
  <c r="I37" i="7" s="1"/>
  <c r="J37" i="7" s="1"/>
  <c r="I36" i="7" a="1"/>
  <c r="I36" i="7" s="1"/>
  <c r="J36" i="7" s="1"/>
  <c r="H36" i="7" a="1"/>
  <c r="H36" i="7" s="1"/>
  <c r="G36" i="7" a="1"/>
  <c r="G36" i="7" s="1"/>
  <c r="H35" i="7" a="1"/>
  <c r="H35" i="7" s="1"/>
  <c r="G35" i="7" a="1"/>
  <c r="G35" i="7" s="1"/>
  <c r="I35" i="7" s="1" a="1"/>
  <c r="I35" i="7" s="1"/>
  <c r="J35" i="7" s="1"/>
  <c r="I34" i="7" a="1"/>
  <c r="I34" i="7" s="1"/>
  <c r="J34" i="7" s="1"/>
  <c r="H34" i="7" a="1"/>
  <c r="H34" i="7" s="1"/>
  <c r="G34" i="7" a="1"/>
  <c r="G34" i="7" s="1"/>
  <c r="H33" i="7" a="1"/>
  <c r="H33" i="7" s="1"/>
  <c r="G33" i="7" a="1"/>
  <c r="G33" i="7" s="1"/>
  <c r="I33" i="7" s="1" a="1"/>
  <c r="I33" i="7" s="1"/>
  <c r="J33" i="7" s="1"/>
  <c r="H32" i="7" a="1"/>
  <c r="H32" i="7" s="1"/>
  <c r="G32" i="7" a="1"/>
  <c r="G32" i="7" s="1"/>
  <c r="I32" i="7" s="1" a="1"/>
  <c r="I32" i="7" s="1"/>
  <c r="J32" i="7" s="1"/>
  <c r="I31" i="7" a="1"/>
  <c r="I31" i="7" s="1"/>
  <c r="J31" i="7" s="1"/>
  <c r="H31" i="7" a="1"/>
  <c r="H31" i="7" s="1"/>
  <c r="G31" i="7" a="1"/>
  <c r="G31" i="7" s="1"/>
  <c r="H30" i="7" a="1"/>
  <c r="H30" i="7" s="1"/>
  <c r="G30" i="7" a="1"/>
  <c r="G30" i="7" s="1"/>
  <c r="I30" i="7" s="1" a="1"/>
  <c r="I30" i="7" s="1"/>
  <c r="J30" i="7" s="1"/>
  <c r="H29" i="7" a="1"/>
  <c r="H29" i="7" s="1"/>
  <c r="G29" i="7" a="1"/>
  <c r="G29" i="7" s="1"/>
  <c r="I29" i="7" s="1" a="1"/>
  <c r="I29" i="7" s="1"/>
  <c r="J29" i="7" s="1"/>
  <c r="H28" i="7" a="1"/>
  <c r="H28" i="7" s="1"/>
  <c r="G28" i="7" a="1"/>
  <c r="G28" i="7" s="1"/>
  <c r="I28" i="7" s="1" a="1"/>
  <c r="I28" i="7" s="1"/>
  <c r="J28" i="7" s="1"/>
  <c r="I27" i="7" a="1"/>
  <c r="I27" i="7" s="1"/>
  <c r="J27" i="7" s="1"/>
  <c r="H27" i="7" a="1"/>
  <c r="H27" i="7" s="1"/>
  <c r="G27" i="7" a="1"/>
  <c r="G27" i="7" s="1"/>
  <c r="I26" i="7" a="1"/>
  <c r="I26" i="7" s="1"/>
  <c r="J26" i="7" s="1"/>
  <c r="H26" i="7" a="1"/>
  <c r="H26" i="7" s="1"/>
  <c r="G26" i="7" a="1"/>
  <c r="G26" i="7" s="1"/>
  <c r="H25" i="7" a="1"/>
  <c r="H25" i="7" s="1"/>
  <c r="G25" i="7" a="1"/>
  <c r="G25" i="7" s="1"/>
  <c r="I25" i="7" s="1" a="1"/>
  <c r="I25" i="7" s="1"/>
  <c r="J25" i="7" s="1"/>
  <c r="H24" i="7" a="1"/>
  <c r="H24" i="7" s="1"/>
  <c r="G24" i="7" a="1"/>
  <c r="G24" i="7" s="1"/>
  <c r="I24" i="7" s="1" a="1"/>
  <c r="I24" i="7" s="1"/>
  <c r="J24" i="7" s="1"/>
  <c r="H23" i="7" a="1"/>
  <c r="H23" i="7" s="1"/>
  <c r="G23" i="7" a="1"/>
  <c r="G23" i="7" s="1"/>
  <c r="I23" i="7" s="1" a="1"/>
  <c r="I23" i="7" s="1"/>
  <c r="J23" i="7" s="1"/>
  <c r="H22" i="7" a="1"/>
  <c r="H22" i="7" s="1"/>
  <c r="G22" i="7" a="1"/>
  <c r="G22" i="7" s="1"/>
  <c r="I22" i="7" s="1" a="1"/>
  <c r="I22" i="7" s="1"/>
  <c r="J22" i="7" s="1"/>
  <c r="H21" i="7" a="1"/>
  <c r="H21" i="7" s="1"/>
  <c r="G21" i="7" a="1"/>
  <c r="G21" i="7" s="1"/>
  <c r="I21" i="7" s="1" a="1"/>
  <c r="I21" i="7" s="1"/>
  <c r="J21" i="7" s="1"/>
  <c r="H20" i="7" a="1"/>
  <c r="H20" i="7" s="1"/>
  <c r="G20" i="7" a="1"/>
  <c r="G20" i="7" s="1"/>
  <c r="I20" i="7" s="1" a="1"/>
  <c r="I20" i="7" s="1"/>
  <c r="J20" i="7" s="1"/>
  <c r="H19" i="7" a="1"/>
  <c r="H19" i="7" s="1"/>
  <c r="G19" i="7" a="1"/>
  <c r="G19" i="7" s="1"/>
  <c r="I19" i="7" s="1" a="1"/>
  <c r="I19" i="7" s="1"/>
  <c r="J19" i="7" s="1"/>
  <c r="H18" i="7" a="1"/>
  <c r="H18" i="7" s="1"/>
  <c r="G18" i="7" a="1"/>
  <c r="G18" i="7" s="1"/>
  <c r="I18" i="7" s="1" a="1"/>
  <c r="I18" i="7" s="1"/>
  <c r="J18" i="7" s="1"/>
  <c r="H17" i="7" a="1"/>
  <c r="H17" i="7" s="1"/>
  <c r="G17" i="7" a="1"/>
  <c r="G17" i="7" s="1"/>
  <c r="I17" i="7" s="1" a="1"/>
  <c r="I17" i="7" s="1"/>
  <c r="J17" i="7" s="1"/>
  <c r="H16" i="7" a="1"/>
  <c r="H16" i="7" s="1"/>
  <c r="G16" i="7" a="1"/>
  <c r="G16" i="7" s="1"/>
  <c r="I16" i="7" s="1" a="1"/>
  <c r="I16" i="7" s="1"/>
  <c r="J16" i="7" s="1"/>
  <c r="H15" i="7" a="1"/>
  <c r="H15" i="7" s="1"/>
  <c r="G15" i="7" a="1"/>
  <c r="G15" i="7" s="1"/>
  <c r="I15" i="7" s="1" a="1"/>
  <c r="I15" i="7" s="1"/>
  <c r="J15" i="7" s="1"/>
  <c r="H14" i="7" a="1"/>
  <c r="H14" i="7" s="1"/>
  <c r="G14" i="7" a="1"/>
  <c r="G14" i="7" s="1"/>
  <c r="I14" i="7" s="1" a="1"/>
  <c r="I14" i="7" s="1"/>
  <c r="J14" i="7" s="1"/>
  <c r="H13" i="7" a="1"/>
  <c r="H13" i="7" s="1"/>
  <c r="G13" i="7" a="1"/>
  <c r="G13" i="7" s="1"/>
  <c r="I13" i="7" s="1" a="1"/>
  <c r="I13" i="7" s="1"/>
  <c r="J13" i="7" s="1"/>
  <c r="I12" i="7" a="1"/>
  <c r="I12" i="7" s="1"/>
  <c r="J12" i="7" s="1"/>
  <c r="H12" i="7" a="1"/>
  <c r="H12" i="7" s="1"/>
  <c r="H11" i="7" a="1"/>
  <c r="H11" i="7" s="1"/>
  <c r="G11" i="7" a="1"/>
  <c r="G11" i="7" s="1"/>
  <c r="I11" i="7" s="1" a="1"/>
  <c r="I11" i="7" s="1"/>
  <c r="J11" i="7" s="1"/>
  <c r="H10" i="7" a="1"/>
  <c r="H10" i="7" s="1"/>
  <c r="G10" i="7" a="1"/>
  <c r="G10" i="7" s="1"/>
  <c r="I10" i="7" s="1" a="1"/>
  <c r="I10" i="7" s="1"/>
  <c r="J10" i="7" s="1"/>
  <c r="H9" i="7" a="1"/>
  <c r="H9" i="7" s="1"/>
  <c r="G9" i="7" a="1"/>
  <c r="G9" i="7" s="1"/>
  <c r="I9" i="7" s="1" a="1"/>
  <c r="I9" i="7" s="1"/>
  <c r="J9" i="7" s="1"/>
  <c r="H8" i="7" a="1"/>
  <c r="H8" i="7" s="1"/>
  <c r="G8" i="7" a="1"/>
  <c r="G8" i="7" s="1"/>
  <c r="I8" i="7" s="1" a="1"/>
  <c r="I8" i="7" s="1"/>
  <c r="J8" i="7" s="1"/>
  <c r="H7" i="7" a="1"/>
  <c r="H7" i="7" s="1"/>
  <c r="G7" i="7" a="1"/>
  <c r="G7" i="7" s="1"/>
  <c r="I7" i="7" s="1" a="1"/>
  <c r="I7" i="7" s="1"/>
  <c r="J7" i="7" s="1"/>
  <c r="H6" i="7" a="1"/>
  <c r="H6" i="7" s="1"/>
  <c r="G6" i="7" a="1"/>
  <c r="G6" i="7" s="1"/>
  <c r="I6" i="7" s="1" a="1"/>
  <c r="I6" i="7" s="1"/>
  <c r="J6" i="7" s="1"/>
  <c r="H5" i="7" a="1"/>
  <c r="H5" i="7" s="1"/>
  <c r="G5" i="7" a="1"/>
  <c r="G5" i="7" s="1"/>
  <c r="I5" i="7" s="1" a="1"/>
  <c r="I5" i="7" s="1"/>
  <c r="J5" i="7" s="1"/>
  <c r="H4" i="7" a="1"/>
  <c r="H4" i="7" s="1"/>
  <c r="G4" i="7" a="1"/>
  <c r="G4" i="7" s="1"/>
  <c r="I4" i="7" s="1" a="1"/>
  <c r="I4" i="7" s="1"/>
  <c r="J4" i="7" s="1"/>
  <c r="H3" i="7" a="1"/>
  <c r="H3" i="7" s="1"/>
  <c r="G3" i="7" a="1"/>
  <c r="G3" i="7" s="1"/>
  <c r="I3" i="7" s="1" a="1"/>
  <c r="I3" i="7" s="1"/>
  <c r="J3" i="7" s="1"/>
  <c r="H35" i="6"/>
  <c r="I35" i="6" s="1"/>
  <c r="G35" i="6"/>
  <c r="F35" i="6"/>
  <c r="E35" i="6"/>
  <c r="D35" i="6"/>
  <c r="A35" i="6"/>
  <c r="H34" i="6"/>
  <c r="I34" i="6" s="1"/>
  <c r="F34" i="6"/>
  <c r="E34" i="6"/>
  <c r="D34" i="6"/>
  <c r="G34" i="6" s="1"/>
  <c r="A34" i="6"/>
  <c r="H33" i="6"/>
  <c r="I33" i="6" s="1"/>
  <c r="F33" i="6"/>
  <c r="E33" i="6"/>
  <c r="D33" i="6"/>
  <c r="G33" i="6" s="1"/>
  <c r="J33" i="6" s="1"/>
  <c r="A33" i="6"/>
  <c r="H32" i="6"/>
  <c r="I32" i="6" s="1"/>
  <c r="F32" i="6"/>
  <c r="E32" i="6"/>
  <c r="D32" i="6"/>
  <c r="G32" i="6" s="1"/>
  <c r="A32" i="6"/>
  <c r="H31" i="6"/>
  <c r="I31" i="6" s="1"/>
  <c r="F31" i="6"/>
  <c r="E31" i="6"/>
  <c r="D31" i="6"/>
  <c r="G31" i="6" s="1"/>
  <c r="A31" i="6"/>
  <c r="H30" i="6"/>
  <c r="I30" i="6" s="1"/>
  <c r="F30" i="6"/>
  <c r="E30" i="6"/>
  <c r="D30" i="6"/>
  <c r="G30" i="6" s="1"/>
  <c r="A30" i="6"/>
  <c r="H29" i="6"/>
  <c r="I29" i="6" s="1"/>
  <c r="G29" i="6"/>
  <c r="F29" i="6"/>
  <c r="E29" i="6"/>
  <c r="D29" i="6"/>
  <c r="A29" i="6"/>
  <c r="H28" i="6"/>
  <c r="I28" i="6" s="1"/>
  <c r="F28" i="6"/>
  <c r="E28" i="6"/>
  <c r="D28" i="6"/>
  <c r="G28" i="6" s="1"/>
  <c r="A28" i="6"/>
  <c r="H27" i="6"/>
  <c r="I27" i="6" s="1"/>
  <c r="F27" i="6"/>
  <c r="E27" i="6"/>
  <c r="D27" i="6"/>
  <c r="G27" i="6" s="1"/>
  <c r="A27" i="6"/>
  <c r="H26" i="6"/>
  <c r="I26" i="6" s="1"/>
  <c r="F26" i="6"/>
  <c r="E26" i="6"/>
  <c r="D26" i="6"/>
  <c r="G26" i="6" s="1"/>
  <c r="A26" i="6"/>
  <c r="H25" i="6"/>
  <c r="I25" i="6" s="1"/>
  <c r="G25" i="6"/>
  <c r="J25" i="6" s="1"/>
  <c r="F25" i="6"/>
  <c r="E25" i="6"/>
  <c r="D25" i="6"/>
  <c r="A25" i="6"/>
  <c r="H24" i="6"/>
  <c r="I24" i="6" s="1"/>
  <c r="F24" i="6"/>
  <c r="E24" i="6"/>
  <c r="D24" i="6"/>
  <c r="G24" i="6" s="1"/>
  <c r="J24" i="6" s="1"/>
  <c r="A24" i="6"/>
  <c r="H23" i="6"/>
  <c r="I23" i="6" s="1"/>
  <c r="F23" i="6"/>
  <c r="E23" i="6"/>
  <c r="D23" i="6"/>
  <c r="G23" i="6" s="1"/>
  <c r="A23" i="6"/>
  <c r="H22" i="6"/>
  <c r="I22" i="6" s="1"/>
  <c r="F22" i="6"/>
  <c r="E22" i="6"/>
  <c r="D22" i="6"/>
  <c r="G22" i="6" s="1"/>
  <c r="J22" i="6" s="1"/>
  <c r="A22" i="6"/>
  <c r="H21" i="6"/>
  <c r="I21" i="6" s="1"/>
  <c r="F21" i="6"/>
  <c r="E21" i="6"/>
  <c r="D21" i="6"/>
  <c r="G21" i="6" s="1"/>
  <c r="A21" i="6"/>
  <c r="H20" i="6"/>
  <c r="I20" i="6" s="1"/>
  <c r="F20" i="6"/>
  <c r="E20" i="6"/>
  <c r="D20" i="6"/>
  <c r="G20" i="6" s="1"/>
  <c r="A20" i="6"/>
  <c r="H19" i="6"/>
  <c r="I19" i="6" s="1"/>
  <c r="F19" i="6"/>
  <c r="E19" i="6"/>
  <c r="D19" i="6"/>
  <c r="G19" i="6" s="1"/>
  <c r="A19" i="6"/>
  <c r="I18" i="6"/>
  <c r="H18" i="6"/>
  <c r="F18" i="6"/>
  <c r="E18" i="6"/>
  <c r="D18" i="6"/>
  <c r="G18" i="6" s="1"/>
  <c r="A18" i="6"/>
  <c r="H17" i="6"/>
  <c r="I17" i="6" s="1"/>
  <c r="F17" i="6"/>
  <c r="E17" i="6"/>
  <c r="D17" i="6"/>
  <c r="G17" i="6" s="1"/>
  <c r="J17" i="6" s="1"/>
  <c r="A17" i="6"/>
  <c r="H16" i="6"/>
  <c r="I16" i="6" s="1"/>
  <c r="F16" i="6"/>
  <c r="E16" i="6"/>
  <c r="D16" i="6"/>
  <c r="G16" i="6" s="1"/>
  <c r="A16" i="6"/>
  <c r="H15" i="6"/>
  <c r="I15" i="6" s="1"/>
  <c r="F15" i="6"/>
  <c r="E15" i="6"/>
  <c r="D15" i="6"/>
  <c r="G15" i="6" s="1"/>
  <c r="A15" i="6"/>
  <c r="H14" i="6"/>
  <c r="I14" i="6" s="1"/>
  <c r="F14" i="6"/>
  <c r="E14" i="6"/>
  <c r="D14" i="6"/>
  <c r="G14" i="6" s="1"/>
  <c r="J14" i="6" s="1"/>
  <c r="A14" i="6"/>
  <c r="A13" i="6"/>
  <c r="H12" i="6"/>
  <c r="I12" i="6" s="1"/>
  <c r="F12" i="6"/>
  <c r="E12" i="6"/>
  <c r="D12" i="6"/>
  <c r="G12" i="6" s="1"/>
  <c r="A12" i="6"/>
  <c r="H11" i="6"/>
  <c r="I11" i="6" s="1"/>
  <c r="G11" i="6"/>
  <c r="J11" i="6" s="1"/>
  <c r="E11" i="6"/>
  <c r="A11" i="6"/>
  <c r="H10" i="6"/>
  <c r="I10" i="6" s="1"/>
  <c r="F10" i="6"/>
  <c r="E10" i="6"/>
  <c r="D10" i="6"/>
  <c r="G10" i="6" s="1"/>
  <c r="A10" i="6"/>
  <c r="H9" i="6"/>
  <c r="I9" i="6" s="1"/>
  <c r="G9" i="6"/>
  <c r="F9" i="6"/>
  <c r="E9" i="6"/>
  <c r="D9" i="6"/>
  <c r="A9" i="6"/>
  <c r="H8" i="6"/>
  <c r="I8" i="6" s="1"/>
  <c r="F8" i="6"/>
  <c r="E8" i="6"/>
  <c r="D8" i="6"/>
  <c r="G8" i="6" s="1"/>
  <c r="A8" i="6"/>
  <c r="H7" i="6"/>
  <c r="I7" i="6" s="1"/>
  <c r="F7" i="6"/>
  <c r="E7" i="6"/>
  <c r="D7" i="6"/>
  <c r="A7" i="6"/>
  <c r="H6" i="6"/>
  <c r="I6" i="6" s="1"/>
  <c r="F6" i="6"/>
  <c r="E6" i="6"/>
  <c r="D6" i="6"/>
  <c r="G6" i="6" s="1"/>
  <c r="A6" i="6"/>
  <c r="H5" i="6"/>
  <c r="I5" i="6" s="1"/>
  <c r="F5" i="6"/>
  <c r="E5" i="6"/>
  <c r="D5" i="6"/>
  <c r="G5" i="6" s="1"/>
  <c r="J5" i="6" s="1"/>
  <c r="A5" i="6"/>
  <c r="H4" i="6"/>
  <c r="I4" i="6" s="1"/>
  <c r="F4" i="6"/>
  <c r="E4" i="6"/>
  <c r="D4" i="6"/>
  <c r="G4" i="6" s="1"/>
  <c r="A4" i="6"/>
  <c r="H3" i="6"/>
  <c r="I3" i="6" s="1"/>
  <c r="F3" i="6"/>
  <c r="E3" i="6"/>
  <c r="D3" i="6"/>
  <c r="G3" i="6" s="1"/>
  <c r="A3" i="6"/>
  <c r="H2" i="6"/>
  <c r="G2" i="6"/>
  <c r="J2" i="6" s="1"/>
  <c r="F2" i="6"/>
  <c r="E2" i="6"/>
  <c r="D2" i="6"/>
  <c r="A2" i="6"/>
  <c r="B41" i="5"/>
  <c r="A41" i="5"/>
  <c r="B40" i="5"/>
  <c r="A40" i="5"/>
  <c r="B39" i="5"/>
  <c r="A39" i="5"/>
  <c r="B38" i="5"/>
  <c r="A38" i="5"/>
  <c r="B37" i="5"/>
  <c r="A37" i="5"/>
  <c r="B36" i="5"/>
  <c r="A36" i="5"/>
  <c r="B35" i="5"/>
  <c r="A35" i="5"/>
  <c r="B34" i="5"/>
  <c r="A34" i="5"/>
  <c r="B33" i="5"/>
  <c r="A33" i="5"/>
  <c r="B32" i="5"/>
  <c r="A32" i="5"/>
  <c r="B31" i="5"/>
  <c r="A31" i="5"/>
  <c r="B30" i="5"/>
  <c r="A30" i="5"/>
  <c r="B29" i="5"/>
  <c r="A29" i="5"/>
  <c r="B28" i="5"/>
  <c r="A28" i="5"/>
  <c r="B27" i="5"/>
  <c r="A27" i="5"/>
  <c r="B26" i="5"/>
  <c r="A26" i="5"/>
  <c r="B25" i="5"/>
  <c r="A25" i="5"/>
  <c r="B24" i="5"/>
  <c r="A24" i="5"/>
  <c r="B23" i="5"/>
  <c r="A23" i="5"/>
  <c r="B22" i="5"/>
  <c r="A22" i="5"/>
  <c r="B21" i="5"/>
  <c r="A21" i="5"/>
  <c r="B20" i="5"/>
  <c r="A20" i="5"/>
  <c r="B19" i="5"/>
  <c r="A19" i="5"/>
  <c r="B18" i="5"/>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I21" i="3"/>
  <c r="H21" i="3"/>
  <c r="G21" i="3"/>
  <c r="F21" i="3"/>
  <c r="E21" i="3"/>
  <c r="D21" i="3"/>
  <c r="C21" i="3"/>
  <c r="B21" i="3"/>
  <c r="A21" i="3"/>
  <c r="I20" i="3"/>
  <c r="H20" i="3"/>
  <c r="G20" i="3"/>
  <c r="F20" i="3"/>
  <c r="E20" i="3"/>
  <c r="D20" i="3"/>
  <c r="C20" i="3"/>
  <c r="B20" i="3"/>
  <c r="A20" i="3"/>
  <c r="I19" i="3"/>
  <c r="H19" i="3"/>
  <c r="G19" i="3"/>
  <c r="F19" i="3"/>
  <c r="E19" i="3"/>
  <c r="D19" i="3"/>
  <c r="C19" i="3"/>
  <c r="B19" i="3"/>
  <c r="A19" i="3"/>
  <c r="I18" i="3"/>
  <c r="H18" i="3"/>
  <c r="G18" i="3"/>
  <c r="F18" i="3"/>
  <c r="E18" i="3"/>
  <c r="D18" i="3"/>
  <c r="C18" i="3"/>
  <c r="B18" i="3"/>
  <c r="A18" i="3"/>
  <c r="I17" i="3"/>
  <c r="H17" i="3"/>
  <c r="G17" i="3"/>
  <c r="F17" i="3"/>
  <c r="E17" i="3"/>
  <c r="D17" i="3"/>
  <c r="C17" i="3"/>
  <c r="B17" i="3"/>
  <c r="A17" i="3"/>
  <c r="I16" i="3"/>
  <c r="H16" i="3"/>
  <c r="G16" i="3"/>
  <c r="F16" i="3"/>
  <c r="E16" i="3"/>
  <c r="D16" i="3"/>
  <c r="C16" i="3"/>
  <c r="B16" i="3"/>
  <c r="A16" i="3"/>
  <c r="I15" i="3"/>
  <c r="H15" i="3"/>
  <c r="G15" i="3"/>
  <c r="F15" i="3"/>
  <c r="E15" i="3"/>
  <c r="D15" i="3"/>
  <c r="C15" i="3"/>
  <c r="A15" i="3"/>
  <c r="I14" i="3"/>
  <c r="H14" i="3"/>
  <c r="G14" i="3"/>
  <c r="F14" i="3"/>
  <c r="E14" i="3"/>
  <c r="D14" i="3"/>
  <c r="C14" i="3"/>
  <c r="B14" i="3"/>
  <c r="A14" i="3"/>
  <c r="I13" i="3"/>
  <c r="H13" i="3"/>
  <c r="G13" i="3"/>
  <c r="F13" i="3"/>
  <c r="E13" i="3"/>
  <c r="D13" i="3"/>
  <c r="C13" i="3"/>
  <c r="B13" i="3"/>
  <c r="A13" i="3"/>
  <c r="S11" i="3"/>
  <c r="Q11" i="3"/>
  <c r="P11" i="3"/>
  <c r="O11" i="3"/>
  <c r="N11" i="3"/>
  <c r="M11" i="3"/>
  <c r="L11" i="3"/>
  <c r="K11" i="3"/>
  <c r="S10" i="3"/>
  <c r="Q10" i="3"/>
  <c r="P10" i="3"/>
  <c r="O10" i="3"/>
  <c r="N10" i="3"/>
  <c r="M10" i="3"/>
  <c r="L10" i="3"/>
  <c r="K10" i="3"/>
  <c r="S9" i="3"/>
  <c r="Q9" i="3"/>
  <c r="P9" i="3"/>
  <c r="O9" i="3"/>
  <c r="N9" i="3"/>
  <c r="M9" i="3"/>
  <c r="L9" i="3"/>
  <c r="K9" i="3"/>
  <c r="S8" i="3"/>
  <c r="Q8" i="3"/>
  <c r="P8" i="3"/>
  <c r="O8" i="3"/>
  <c r="N8" i="3"/>
  <c r="M8" i="3"/>
  <c r="L8" i="3"/>
  <c r="K8" i="3"/>
  <c r="S7" i="3"/>
  <c r="Q7" i="3"/>
  <c r="P7" i="3"/>
  <c r="O7" i="3"/>
  <c r="N7" i="3"/>
  <c r="M7" i="3"/>
  <c r="L7" i="3"/>
  <c r="K7" i="3"/>
  <c r="S6" i="3"/>
  <c r="Q6" i="3"/>
  <c r="P6" i="3"/>
  <c r="O6" i="3"/>
  <c r="N6" i="3"/>
  <c r="M6" i="3"/>
  <c r="L6" i="3"/>
  <c r="K6" i="3"/>
  <c r="O5" i="3"/>
  <c r="N5" i="3"/>
  <c r="L5" i="3"/>
  <c r="B15" i="3"/>
  <c r="Q4" i="3"/>
  <c r="P4" i="3"/>
  <c r="O4" i="3"/>
  <c r="N4" i="3"/>
  <c r="M4" i="3"/>
  <c r="L4" i="3"/>
  <c r="K4" i="3"/>
  <c r="S3" i="3"/>
  <c r="R3" i="1" s="1" a="1"/>
  <c r="R3" i="1" s="1"/>
  <c r="Q3" i="3"/>
  <c r="P3" i="3"/>
  <c r="O3" i="3"/>
  <c r="N3" i="3"/>
  <c r="M3" i="3"/>
  <c r="L3" i="3"/>
  <c r="K3" i="3"/>
  <c r="D150" i="2"/>
  <c r="D141" i="2" s="1"/>
  <c r="AC105" i="2"/>
  <c r="Q105" i="2"/>
  <c r="P105" i="2"/>
  <c r="N105" i="2"/>
  <c r="M105" i="2"/>
  <c r="L105" i="2"/>
  <c r="AC104" i="2"/>
  <c r="Q104" i="2"/>
  <c r="P104" i="2"/>
  <c r="N104" i="2"/>
  <c r="M104" i="2"/>
  <c r="L104" i="2"/>
  <c r="AC103" i="2"/>
  <c r="AC102" i="2"/>
  <c r="Q102" i="2"/>
  <c r="P102" i="2"/>
  <c r="N102" i="2"/>
  <c r="M102" i="2"/>
  <c r="L102" i="2"/>
  <c r="AC101" i="2"/>
  <c r="Q101" i="2"/>
  <c r="P101" i="2"/>
  <c r="N101" i="2"/>
  <c r="M101" i="2"/>
  <c r="L101" i="2"/>
  <c r="AC100" i="2"/>
  <c r="AC99" i="2"/>
  <c r="Q99" i="2"/>
  <c r="P99" i="2"/>
  <c r="N99" i="2"/>
  <c r="M99" i="2"/>
  <c r="L99" i="2"/>
  <c r="AC98" i="2"/>
  <c r="Q98" i="2"/>
  <c r="P98" i="2"/>
  <c r="AC97" i="2"/>
  <c r="Q97" i="2"/>
  <c r="P97" i="2"/>
  <c r="N97" i="2"/>
  <c r="M97" i="2"/>
  <c r="L97" i="2"/>
  <c r="Q96" i="2"/>
  <c r="P96" i="2"/>
  <c r="N96" i="2"/>
  <c r="M96" i="2"/>
  <c r="L96" i="2"/>
  <c r="AC95" i="2"/>
  <c r="AC94" i="2"/>
  <c r="Q94" i="2"/>
  <c r="P94" i="2"/>
  <c r="N94" i="2"/>
  <c r="M94" i="2"/>
  <c r="L94" i="2"/>
  <c r="AC93" i="2"/>
  <c r="AC92" i="2"/>
  <c r="Q92" i="2"/>
  <c r="P92" i="2"/>
  <c r="AC91" i="2"/>
  <c r="M91" i="2"/>
  <c r="AC90" i="2"/>
  <c r="M90" i="2"/>
  <c r="L90" i="2"/>
  <c r="AC89" i="2"/>
  <c r="Q89" i="2"/>
  <c r="P89" i="2"/>
  <c r="M89" i="2"/>
  <c r="L89" i="2"/>
  <c r="AC87" i="2"/>
  <c r="Q87" i="2"/>
  <c r="P87" i="2"/>
  <c r="N87" i="2"/>
  <c r="M87" i="2"/>
  <c r="L87" i="2"/>
  <c r="Q86" i="2"/>
  <c r="P86" i="2"/>
  <c r="N86" i="2"/>
  <c r="M86" i="2"/>
  <c r="L86" i="2"/>
  <c r="AC85" i="2"/>
  <c r="Q85" i="2"/>
  <c r="P85" i="2"/>
  <c r="N85" i="2"/>
  <c r="M85" i="2"/>
  <c r="L85" i="2"/>
  <c r="AC84" i="2"/>
  <c r="Q84" i="2"/>
  <c r="P84" i="2"/>
  <c r="N84" i="2"/>
  <c r="M84" i="2"/>
  <c r="L84" i="2"/>
  <c r="AC83" i="2"/>
  <c r="Q83" i="2"/>
  <c r="P83" i="2"/>
  <c r="N83" i="2"/>
  <c r="M83" i="2"/>
  <c r="L83" i="2"/>
  <c r="Q82" i="2"/>
  <c r="P82" i="2"/>
  <c r="N82" i="2"/>
  <c r="M82" i="2"/>
  <c r="L82" i="2"/>
  <c r="AC81" i="2"/>
  <c r="Q81" i="2"/>
  <c r="P81" i="2"/>
  <c r="N81" i="2"/>
  <c r="M81" i="2"/>
  <c r="L81" i="2"/>
  <c r="AC80" i="2"/>
  <c r="AC14" i="2" s="1"/>
  <c r="Q80" i="2"/>
  <c r="Q14" i="2" s="1"/>
  <c r="P80" i="2"/>
  <c r="N80" i="2"/>
  <c r="N14" i="2" s="1"/>
  <c r="M80" i="2"/>
  <c r="L80" i="2"/>
  <c r="L14" i="2" s="1"/>
  <c r="AC79" i="2"/>
  <c r="Q79" i="2"/>
  <c r="P79" i="2"/>
  <c r="N79" i="2"/>
  <c r="M79" i="2"/>
  <c r="L79" i="2"/>
  <c r="AC77" i="2"/>
  <c r="Y77" i="2"/>
  <c r="X77" i="2"/>
  <c r="W77" i="2"/>
  <c r="V77" i="2"/>
  <c r="U77" i="2"/>
  <c r="T77" i="2"/>
  <c r="S77" i="2"/>
  <c r="R77" i="2"/>
  <c r="O77" i="2"/>
  <c r="N77" i="2"/>
  <c r="M77" i="2"/>
  <c r="H77" i="2"/>
  <c r="G77" i="2"/>
  <c r="F77" i="2"/>
  <c r="L77" i="2" s="1"/>
  <c r="E77" i="2"/>
  <c r="D77" i="2"/>
  <c r="C77" i="2"/>
  <c r="B77" i="2"/>
  <c r="AC76" i="2"/>
  <c r="Q76" i="2"/>
  <c r="P76" i="2"/>
  <c r="N76" i="2"/>
  <c r="M76" i="2"/>
  <c r="L76" i="2"/>
  <c r="AC74" i="2"/>
  <c r="Q74" i="2"/>
  <c r="P74" i="2"/>
  <c r="N74" i="2"/>
  <c r="M74" i="2"/>
  <c r="L74" i="2"/>
  <c r="AC73" i="2"/>
  <c r="Q73" i="2"/>
  <c r="P73" i="2"/>
  <c r="N73" i="2"/>
  <c r="M73" i="2"/>
  <c r="L73" i="2"/>
  <c r="AC72" i="2"/>
  <c r="Q72" i="2"/>
  <c r="P72" i="2"/>
  <c r="N72" i="2"/>
  <c r="M72" i="2"/>
  <c r="L72" i="2"/>
  <c r="AC71" i="2"/>
  <c r="Q71" i="2"/>
  <c r="P71" i="2"/>
  <c r="N71" i="2"/>
  <c r="M71" i="2"/>
  <c r="L71" i="2"/>
  <c r="AC70" i="2"/>
  <c r="Q70" i="2"/>
  <c r="P70" i="2"/>
  <c r="N70" i="2"/>
  <c r="M70" i="2"/>
  <c r="L70" i="2"/>
  <c r="AC69" i="2"/>
  <c r="Q69" i="2"/>
  <c r="P69" i="2"/>
  <c r="N69" i="2"/>
  <c r="M69" i="2"/>
  <c r="L69" i="2"/>
  <c r="AC68" i="2"/>
  <c r="AC67" i="2"/>
  <c r="Q67" i="2"/>
  <c r="P67" i="2"/>
  <c r="N67" i="2"/>
  <c r="M67" i="2"/>
  <c r="L67" i="2"/>
  <c r="AC66" i="2"/>
  <c r="Q66" i="2"/>
  <c r="P66" i="2"/>
  <c r="AC65" i="2"/>
  <c r="Q65" i="2"/>
  <c r="P65" i="2"/>
  <c r="N65" i="2"/>
  <c r="M65" i="2"/>
  <c r="L65" i="2"/>
  <c r="AC64" i="2"/>
  <c r="Q64" i="2"/>
  <c r="N64" i="2"/>
  <c r="M64" i="2"/>
  <c r="L64" i="2"/>
  <c r="AC63" i="2"/>
  <c r="P63" i="2"/>
  <c r="N63" i="2"/>
  <c r="M63" i="2"/>
  <c r="L63" i="2"/>
  <c r="AC62" i="2"/>
  <c r="P62" i="2"/>
  <c r="N62" i="2"/>
  <c r="M62" i="2"/>
  <c r="L62" i="2"/>
  <c r="AC61" i="2"/>
  <c r="AE59" i="2"/>
  <c r="AC59" i="2"/>
  <c r="Q59" i="2"/>
  <c r="P59" i="2"/>
  <c r="N59" i="2"/>
  <c r="M59" i="2"/>
  <c r="L59" i="2"/>
  <c r="AE58" i="2"/>
  <c r="N58" i="2"/>
  <c r="M58" i="2"/>
  <c r="L58" i="2"/>
  <c r="AE56" i="2"/>
  <c r="AC56" i="2"/>
  <c r="N56" i="2"/>
  <c r="M56" i="2"/>
  <c r="L56" i="2"/>
  <c r="AE55" i="2"/>
  <c r="AC55" i="2"/>
  <c r="P55" i="2"/>
  <c r="N55" i="2"/>
  <c r="M55" i="2"/>
  <c r="L55" i="2"/>
  <c r="AE54" i="2"/>
  <c r="AC54" i="2"/>
  <c r="Q54" i="2"/>
  <c r="P54" i="2"/>
  <c r="N54" i="2"/>
  <c r="M54" i="2"/>
  <c r="L54" i="2"/>
  <c r="AE52" i="2"/>
  <c r="AC52" i="2"/>
  <c r="Q52" i="2"/>
  <c r="P52" i="2"/>
  <c r="N52" i="2"/>
  <c r="M52" i="2"/>
  <c r="L52" i="2"/>
  <c r="AE51" i="2"/>
  <c r="AC51" i="2"/>
  <c r="N51" i="2"/>
  <c r="M51" i="2"/>
  <c r="L51" i="2"/>
  <c r="AE50" i="2"/>
  <c r="AC50" i="2"/>
  <c r="Q50" i="2"/>
  <c r="P50" i="2"/>
  <c r="N50" i="2"/>
  <c r="M50" i="2"/>
  <c r="L50" i="2"/>
  <c r="AE49" i="2"/>
  <c r="AC49" i="2"/>
  <c r="Q49" i="2"/>
  <c r="P49" i="2"/>
  <c r="N49" i="2"/>
  <c r="M49" i="2"/>
  <c r="L49" i="2"/>
  <c r="AE47" i="2"/>
  <c r="AC47" i="2"/>
  <c r="Q47" i="2"/>
  <c r="N47" i="2"/>
  <c r="M47" i="2"/>
  <c r="L47" i="2"/>
  <c r="AE46" i="2"/>
  <c r="AC46" i="2"/>
  <c r="Q46" i="2"/>
  <c r="P46" i="2"/>
  <c r="N46" i="2"/>
  <c r="M46" i="2"/>
  <c r="L46" i="2"/>
  <c r="AE45" i="2"/>
  <c r="AC45" i="2"/>
  <c r="Q45" i="2"/>
  <c r="P45" i="2"/>
  <c r="N45" i="2"/>
  <c r="M45" i="2"/>
  <c r="L45" i="2"/>
  <c r="AE44" i="2"/>
  <c r="AC44" i="2"/>
  <c r="Q44" i="2"/>
  <c r="P44" i="2"/>
  <c r="N44" i="2"/>
  <c r="M44" i="2"/>
  <c r="L44" i="2"/>
  <c r="AE43" i="2"/>
  <c r="AC43" i="2"/>
  <c r="Q43" i="2"/>
  <c r="P43" i="2"/>
  <c r="N43" i="2"/>
  <c r="M43" i="2"/>
  <c r="L43" i="2"/>
  <c r="AE41" i="2"/>
  <c r="AC41" i="2"/>
  <c r="Q41" i="2"/>
  <c r="P41" i="2"/>
  <c r="N41" i="2"/>
  <c r="M41" i="2"/>
  <c r="L41" i="2"/>
  <c r="AE40" i="2"/>
  <c r="Q40" i="2"/>
  <c r="P40" i="2"/>
  <c r="N40" i="2"/>
  <c r="M40" i="2"/>
  <c r="L40" i="2"/>
  <c r="AE38" i="2"/>
  <c r="AC38" i="2"/>
  <c r="Q38" i="2"/>
  <c r="P38" i="2"/>
  <c r="N38" i="2"/>
  <c r="M38" i="2"/>
  <c r="L38" i="2"/>
  <c r="AE37" i="2"/>
  <c r="Q37" i="2"/>
  <c r="P37" i="2"/>
  <c r="N37" i="2"/>
  <c r="M37" i="2"/>
  <c r="L37" i="2"/>
  <c r="AE36" i="2"/>
  <c r="AC36" i="2"/>
  <c r="Q36" i="2"/>
  <c r="P36" i="2"/>
  <c r="N36" i="2"/>
  <c r="M36" i="2"/>
  <c r="L36" i="2"/>
  <c r="AE35" i="2"/>
  <c r="AC35" i="2"/>
  <c r="Q35" i="2"/>
  <c r="P35" i="2"/>
  <c r="N35" i="2"/>
  <c r="M35" i="2"/>
  <c r="L35" i="2"/>
  <c r="AC34" i="2"/>
  <c r="AE32" i="2"/>
  <c r="AC32" i="2"/>
  <c r="P32" i="2"/>
  <c r="N32" i="2"/>
  <c r="M32" i="2"/>
  <c r="L32" i="2"/>
  <c r="Q31" i="2"/>
  <c r="P31" i="2"/>
  <c r="N31" i="2"/>
  <c r="M31" i="2"/>
  <c r="L31" i="2"/>
  <c r="AE30" i="2"/>
  <c r="AC30" i="2"/>
  <c r="P30" i="2"/>
  <c r="L30" i="2"/>
  <c r="AE29" i="2"/>
  <c r="AC29" i="2"/>
  <c r="Q29" i="2"/>
  <c r="P29" i="2"/>
  <c r="N29" i="2"/>
  <c r="M29" i="2"/>
  <c r="L29" i="2"/>
  <c r="AE27" i="2"/>
  <c r="AC27" i="2"/>
  <c r="Q27" i="2"/>
  <c r="N27" i="2"/>
  <c r="M27" i="2"/>
  <c r="L27" i="2"/>
  <c r="AE26" i="2"/>
  <c r="Q26" i="2"/>
  <c r="P26" i="2"/>
  <c r="N26" i="2"/>
  <c r="L26" i="2"/>
  <c r="AE25" i="2"/>
  <c r="AC25" i="2"/>
  <c r="Q25" i="2"/>
  <c r="P25" i="2"/>
  <c r="N25" i="2"/>
  <c r="M25" i="2"/>
  <c r="L25" i="2"/>
  <c r="AE24" i="2"/>
  <c r="P24" i="2"/>
  <c r="N24" i="2"/>
  <c r="M24" i="2"/>
  <c r="L24" i="2"/>
  <c r="AE23" i="2"/>
  <c r="AC23" i="2"/>
  <c r="Q23" i="2"/>
  <c r="P23" i="2"/>
  <c r="N23" i="2"/>
  <c r="M23" i="2"/>
  <c r="L23" i="2"/>
  <c r="AE22" i="2"/>
  <c r="AC22" i="2"/>
  <c r="Q22" i="2"/>
  <c r="P22" i="2"/>
  <c r="N22" i="2"/>
  <c r="M22" i="2"/>
  <c r="L22" i="2"/>
  <c r="Q21" i="2"/>
  <c r="P21" i="2"/>
  <c r="AE19" i="2"/>
  <c r="AC19" i="2"/>
  <c r="Q19" i="2"/>
  <c r="P19" i="2"/>
  <c r="N19" i="2"/>
  <c r="M19" i="2"/>
  <c r="L19" i="2"/>
  <c r="P18" i="2"/>
  <c r="O18" i="2"/>
  <c r="AC17" i="2"/>
  <c r="AC16" i="2"/>
  <c r="AC15" i="2"/>
  <c r="AE14" i="2"/>
  <c r="AD14" i="2"/>
  <c r="AB14" i="2"/>
  <c r="AA14" i="2"/>
  <c r="Z14" i="2"/>
  <c r="Y14" i="2"/>
  <c r="H13" i="6" s="1"/>
  <c r="I13" i="6" s="1"/>
  <c r="X14" i="2"/>
  <c r="F13" i="6" s="1"/>
  <c r="W14" i="2"/>
  <c r="V14" i="2"/>
  <c r="U14" i="2"/>
  <c r="E13" i="6" s="1"/>
  <c r="T14" i="2"/>
  <c r="S14" i="2"/>
  <c r="R14" i="2"/>
  <c r="D13" i="6" s="1"/>
  <c r="P14" i="2"/>
  <c r="O14" i="2"/>
  <c r="M14" i="2"/>
  <c r="H14" i="2"/>
  <c r="G14" i="2"/>
  <c r="F14" i="2"/>
  <c r="E14" i="2"/>
  <c r="D14" i="2"/>
  <c r="C14" i="2"/>
  <c r="B14" i="2"/>
  <c r="AE13" i="2"/>
  <c r="AC13" i="2"/>
  <c r="Q13" i="2"/>
  <c r="P13" i="2"/>
  <c r="N13" i="2"/>
  <c r="M13" i="2"/>
  <c r="L13" i="2"/>
  <c r="AE12" i="2"/>
  <c r="AC12" i="2"/>
  <c r="Q12" i="2"/>
  <c r="P12" i="2"/>
  <c r="N12" i="2"/>
  <c r="M12" i="2"/>
  <c r="L12" i="2"/>
  <c r="AE11" i="2"/>
  <c r="AC11" i="2"/>
  <c r="Q11" i="2"/>
  <c r="P11" i="2"/>
  <c r="N11" i="2"/>
  <c r="M11" i="2"/>
  <c r="L11" i="2"/>
  <c r="AE10" i="2"/>
  <c r="AC10" i="2"/>
  <c r="Q10" i="2"/>
  <c r="P10" i="2"/>
  <c r="N10" i="2"/>
  <c r="M10" i="2"/>
  <c r="L10" i="2"/>
  <c r="AE9" i="2"/>
  <c r="AC9" i="2"/>
  <c r="Q9" i="2"/>
  <c r="P9" i="2"/>
  <c r="N9" i="2"/>
  <c r="M9" i="2"/>
  <c r="L9" i="2"/>
  <c r="AE8" i="2"/>
  <c r="AC8" i="2"/>
  <c r="Q8" i="2"/>
  <c r="P8" i="2"/>
  <c r="N8" i="2"/>
  <c r="M8" i="2"/>
  <c r="F8" i="2"/>
  <c r="AE7" i="2"/>
  <c r="AC7" i="2"/>
  <c r="Q7" i="2"/>
  <c r="P7" i="2"/>
  <c r="N7" i="2"/>
  <c r="M7" i="2"/>
  <c r="L7" i="2"/>
  <c r="AC6" i="2"/>
  <c r="Q6" i="2"/>
  <c r="Q77" i="2" s="1"/>
  <c r="P6" i="2"/>
  <c r="P77" i="2" s="1"/>
  <c r="N6" i="2"/>
  <c r="M6" i="2"/>
  <c r="L6" i="2"/>
  <c r="AE5" i="2"/>
  <c r="AC5" i="2"/>
  <c r="Q5" i="2"/>
  <c r="P5" i="2"/>
  <c r="N5" i="2"/>
  <c r="M5" i="2"/>
  <c r="L5" i="2"/>
  <c r="AE4" i="2"/>
  <c r="AC4" i="2"/>
  <c r="Q4" i="2"/>
  <c r="P4" i="2"/>
  <c r="N4" i="2"/>
  <c r="M4" i="2"/>
  <c r="L4" i="2"/>
  <c r="AE3" i="2"/>
  <c r="AC3" i="2"/>
  <c r="N3" i="2"/>
  <c r="M3" i="2"/>
  <c r="L3" i="2"/>
  <c r="AE2" i="2"/>
  <c r="AC2" i="2"/>
  <c r="Q2" i="2"/>
  <c r="P2" i="2"/>
  <c r="N2" i="2"/>
  <c r="M2" i="2"/>
  <c r="L2" i="2"/>
  <c r="K123" i="1"/>
  <c r="C123" i="1"/>
  <c r="N112" i="1"/>
  <c r="AB64" i="1" s="1"/>
  <c r="AB68" i="1" s="1"/>
  <c r="AB72" i="1" s="1"/>
  <c r="K112" i="1"/>
  <c r="H112" i="1"/>
  <c r="AB62" i="1" s="1"/>
  <c r="AB66" i="1" s="1"/>
  <c r="AB70" i="1" s="1"/>
  <c r="E112" i="1"/>
  <c r="N111" i="1" a="1"/>
  <c r="N111" i="1" s="1"/>
  <c r="K111" i="1" a="1"/>
  <c r="K111" i="1" s="1"/>
  <c r="H111" i="1" a="1"/>
  <c r="H111" i="1" s="1"/>
  <c r="E111" i="1" a="1"/>
  <c r="E111" i="1" s="1"/>
  <c r="N110" i="1" a="1"/>
  <c r="N110" i="1" s="1"/>
  <c r="K110" i="1" a="1"/>
  <c r="K110" i="1" s="1"/>
  <c r="H110" i="1" a="1"/>
  <c r="H110" i="1" s="1"/>
  <c r="E110" i="1" a="1"/>
  <c r="E110" i="1" s="1"/>
  <c r="N109" i="1" a="1"/>
  <c r="N109" i="1" s="1"/>
  <c r="N61" i="1" s="1"/>
  <c r="K109" i="1" a="1"/>
  <c r="K109" i="1" s="1"/>
  <c r="H109" i="1" a="1"/>
  <c r="H109" i="1" s="1"/>
  <c r="E109" i="1" a="1"/>
  <c r="E109" i="1" s="1"/>
  <c r="E61" i="1" s="1"/>
  <c r="K80" i="1" a="1"/>
  <c r="K80" i="1" s="1"/>
  <c r="Z67" i="1" s="1"/>
  <c r="H80" i="1" a="1"/>
  <c r="H80" i="1" s="1"/>
  <c r="Z66" i="1" s="1"/>
  <c r="C78" i="1"/>
  <c r="B78" i="1"/>
  <c r="E78" i="1" s="1"/>
  <c r="H78" i="1" s="1"/>
  <c r="K78" i="1" s="1"/>
  <c r="N78" i="1" s="1"/>
  <c r="C77" i="1"/>
  <c r="B77" i="1"/>
  <c r="E77" i="1" s="1"/>
  <c r="H77" i="1" s="1"/>
  <c r="K77" i="1" s="1"/>
  <c r="N77" i="1" s="1"/>
  <c r="C76" i="1"/>
  <c r="B76" i="1"/>
  <c r="E76" i="1" s="1"/>
  <c r="H76" i="1" s="1"/>
  <c r="K76" i="1" s="1"/>
  <c r="N76" i="1" s="1"/>
  <c r="C75" i="1"/>
  <c r="B75" i="1"/>
  <c r="N75" i="1" s="1"/>
  <c r="N74" i="1"/>
  <c r="N59" i="1" s="1"/>
  <c r="K74" i="1"/>
  <c r="K50" i="1" s="1"/>
  <c r="Y63" i="1" s="1"/>
  <c r="H74" i="1"/>
  <c r="H50" i="1" s="1"/>
  <c r="Y62" i="1" s="1"/>
  <c r="E74" i="1"/>
  <c r="E59" i="1" s="1"/>
  <c r="R35" i="1" s="1" a="1"/>
  <c r="R35" i="1" s="1"/>
  <c r="N73" i="1"/>
  <c r="N71" i="1" s="1"/>
  <c r="K73" i="1"/>
  <c r="H73" i="1"/>
  <c r="H67" i="1" s="1"/>
  <c r="H68" i="1" s="1"/>
  <c r="E73" i="1"/>
  <c r="E67" i="1" s="1"/>
  <c r="K71" i="1"/>
  <c r="H71" i="1"/>
  <c r="AC64" i="1" a="1"/>
  <c r="AJ64" i="1" s="1"/>
  <c r="S64" i="1"/>
  <c r="B95" i="1" s="1"/>
  <c r="AC63" i="1" a="1"/>
  <c r="AD63" i="1" s="1"/>
  <c r="AB63" i="1"/>
  <c r="AB67" i="1" s="1"/>
  <c r="AB71" i="1" s="1"/>
  <c r="S63" i="1"/>
  <c r="B98" i="1" s="1"/>
  <c r="AC62" i="1" a="1"/>
  <c r="AM62" i="1" s="1"/>
  <c r="AI93" i="1" s="1"/>
  <c r="AC62" i="1"/>
  <c r="S62" i="1"/>
  <c r="S66" i="1" s="1"/>
  <c r="B101" i="1" s="1"/>
  <c r="K62" i="1"/>
  <c r="H62" i="1"/>
  <c r="AC61" i="1" a="1"/>
  <c r="AM61" i="1" s="1"/>
  <c r="AB61" i="1"/>
  <c r="AB65" i="1" s="1"/>
  <c r="AB69" i="1" s="1"/>
  <c r="S61" i="1"/>
  <c r="B88" i="1" s="1"/>
  <c r="AN60" i="1"/>
  <c r="AM60" i="1"/>
  <c r="AL60" i="1"/>
  <c r="AK60" i="1"/>
  <c r="AJ60" i="1"/>
  <c r="AI60" i="1"/>
  <c r="AH60" i="1"/>
  <c r="AG60" i="1"/>
  <c r="AF60" i="1"/>
  <c r="AL83" i="1" s="1"/>
  <c r="AE60" i="1"/>
  <c r="AI83" i="1" s="1"/>
  <c r="AD60" i="1"/>
  <c r="AF83" i="1" s="1"/>
  <c r="AC60" i="1"/>
  <c r="AC83" i="1" s="1"/>
  <c r="N60" i="1"/>
  <c r="K60" i="1"/>
  <c r="H60" i="1"/>
  <c r="E60" i="1"/>
  <c r="O59" i="1"/>
  <c r="L59" i="1"/>
  <c r="I59" i="1"/>
  <c r="F59" i="1"/>
  <c r="B54" i="1"/>
  <c r="B53" i="1"/>
  <c r="B52" i="1"/>
  <c r="B51" i="1"/>
  <c r="B43" i="1"/>
  <c r="B42" i="1"/>
  <c r="B41" i="1"/>
  <c r="R40" i="1" a="1"/>
  <c r="R40" i="1" s="1"/>
  <c r="B40" i="1"/>
  <c r="R37" i="1" a="1"/>
  <c r="R37" i="1" s="1"/>
  <c r="N36" i="1" a="1"/>
  <c r="N36" i="1" s="1"/>
  <c r="K36" i="1" a="1"/>
  <c r="K36" i="1" s="1"/>
  <c r="U63" i="1" s="1"/>
  <c r="U67" i="1" s="1"/>
  <c r="H36" i="1" a="1"/>
  <c r="H36" i="1" s="1"/>
  <c r="E36" i="1" a="1"/>
  <c r="E36" i="1" s="1"/>
  <c r="N33" i="1" a="1"/>
  <c r="N33" i="1" s="1"/>
  <c r="K33" i="1" a="1"/>
  <c r="K33" i="1" s="1"/>
  <c r="H33" i="1" a="1"/>
  <c r="H33" i="1" s="1"/>
  <c r="E33" i="1" a="1"/>
  <c r="E33" i="1" s="1"/>
  <c r="N32" i="1" a="1"/>
  <c r="N32" i="1" s="1"/>
  <c r="K32" i="1" a="1"/>
  <c r="K32" i="1" s="1"/>
  <c r="H32" i="1" a="1"/>
  <c r="H32" i="1" s="1"/>
  <c r="E32" i="1" a="1"/>
  <c r="E32" i="1" s="1"/>
  <c r="B31" i="1"/>
  <c r="B29" i="1"/>
  <c r="B28" i="1"/>
  <c r="AR27" i="1"/>
  <c r="AQ27" i="1"/>
  <c r="AO27" i="1"/>
  <c r="B20" i="1"/>
  <c r="B15" i="1"/>
  <c r="B13" i="1"/>
  <c r="B12" i="1"/>
  <c r="R6" i="1"/>
  <c r="R5" i="1"/>
  <c r="R4" i="1"/>
  <c r="AR1" i="1"/>
  <c r="I2" i="6" l="1"/>
  <c r="K61" i="1"/>
  <c r="K8" i="1" s="1" a="1"/>
  <c r="K8" i="1" s="1"/>
  <c r="J3" i="6"/>
  <c r="J27" i="6"/>
  <c r="J32" i="6"/>
  <c r="E62" i="1"/>
  <c r="E80" i="1" s="1" a="1"/>
  <c r="E80" i="1" s="1"/>
  <c r="Z65" i="1" s="1"/>
  <c r="J16" i="6"/>
  <c r="G7" i="6"/>
  <c r="K5" i="6"/>
  <c r="N62" i="1"/>
  <c r="N66" i="1" s="1" a="1"/>
  <c r="N66" i="1" s="1"/>
  <c r="J21" i="6"/>
  <c r="K21" i="6" s="1"/>
  <c r="J35" i="6"/>
  <c r="K35" i="6" s="1"/>
  <c r="K17" i="6"/>
  <c r="K32" i="6"/>
  <c r="J29" i="6"/>
  <c r="K29" i="6" s="1"/>
  <c r="E8" i="1" a="1"/>
  <c r="E8" i="1" s="1"/>
  <c r="K2" i="6"/>
  <c r="K24" i="6"/>
  <c r="J19" i="6"/>
  <c r="K19" i="6" s="1"/>
  <c r="K11" i="6"/>
  <c r="K16" i="6"/>
  <c r="K27" i="6"/>
  <c r="K3" i="6"/>
  <c r="B22" i="1"/>
  <c r="AG61" i="1"/>
  <c r="AG65" i="1" s="1"/>
  <c r="AG69" i="1" s="1"/>
  <c r="AH61" i="1"/>
  <c r="AF88" i="1" s="1"/>
  <c r="AF61" i="1"/>
  <c r="AL84" i="1" s="1"/>
  <c r="AI61" i="1"/>
  <c r="AI88" i="1" s="1"/>
  <c r="AJ61" i="1"/>
  <c r="AJ65" i="1" s="1"/>
  <c r="AJ69" i="1" s="1"/>
  <c r="AN61" i="1"/>
  <c r="AL92" i="1" s="1"/>
  <c r="AC61" i="1"/>
  <c r="AC84" i="1" s="1"/>
  <c r="AL91" i="1"/>
  <c r="AJ68" i="1"/>
  <c r="AJ72" i="1" s="1"/>
  <c r="AI92" i="1"/>
  <c r="AM65" i="1"/>
  <c r="AM69" i="1" s="1"/>
  <c r="P5" i="3"/>
  <c r="Q5" i="3"/>
  <c r="AD62" i="1"/>
  <c r="AF85" i="1" s="1"/>
  <c r="AE62" i="1"/>
  <c r="AE66" i="1" s="1"/>
  <c r="AE70" i="1" s="1"/>
  <c r="AF62" i="1"/>
  <c r="AI62" i="1"/>
  <c r="AM66" i="1"/>
  <c r="AM70" i="1" s="1"/>
  <c r="AH62" i="1"/>
  <c r="AD61" i="1"/>
  <c r="AJ62" i="1"/>
  <c r="H61" i="1"/>
  <c r="H8" i="1" s="1" a="1"/>
  <c r="H8" i="1" s="1"/>
  <c r="N50" i="1"/>
  <c r="Y64" i="1" s="1"/>
  <c r="AE61" i="1"/>
  <c r="AE65" i="1" s="1"/>
  <c r="AE69" i="1" s="1"/>
  <c r="AK62" i="1"/>
  <c r="AC93" i="1" s="1"/>
  <c r="E71" i="1"/>
  <c r="E83" i="1" s="1"/>
  <c r="E39" i="1" s="1"/>
  <c r="AC88" i="1"/>
  <c r="E66" i="1" a="1"/>
  <c r="E66" i="1" s="1"/>
  <c r="AK61" i="1"/>
  <c r="AK65" i="1" s="1"/>
  <c r="AK69" i="1" s="1"/>
  <c r="AC64" i="1"/>
  <c r="AC68" i="1" s="1"/>
  <c r="AC72" i="1" s="1"/>
  <c r="AL61" i="1"/>
  <c r="H66" i="1" a="1"/>
  <c r="H66" i="1" s="1"/>
  <c r="H82" i="1" s="1" a="1"/>
  <c r="H82" i="1" s="1"/>
  <c r="E65" i="1" a="1"/>
  <c r="E65" i="1" s="1"/>
  <c r="B18" i="1"/>
  <c r="AA63" i="1"/>
  <c r="AA67" i="1" s="1"/>
  <c r="AA71" i="1" s="1"/>
  <c r="B86" i="1"/>
  <c r="B17" i="1"/>
  <c r="B21" i="1"/>
  <c r="N45" i="1"/>
  <c r="E55" i="1" a="1"/>
  <c r="E55" i="1" s="1"/>
  <c r="D138" i="2"/>
  <c r="N56" i="1"/>
  <c r="E69" i="1" a="1"/>
  <c r="E69" i="1" s="1"/>
  <c r="E44" i="1" a="1"/>
  <c r="E44" i="1" s="1"/>
  <c r="E75" i="1"/>
  <c r="H83" i="1"/>
  <c r="V70" i="1" s="1"/>
  <c r="K83" i="1"/>
  <c r="V71" i="1" s="1"/>
  <c r="H59" i="1"/>
  <c r="K67" i="1"/>
  <c r="K68" i="1" s="1"/>
  <c r="N11" i="7"/>
  <c r="N10" i="7"/>
  <c r="N9" i="7"/>
  <c r="N8" i="7"/>
  <c r="N7" i="7"/>
  <c r="N6" i="7"/>
  <c r="N5" i="7"/>
  <c r="N4" i="7"/>
  <c r="N3" i="7"/>
  <c r="M11" i="7"/>
  <c r="M10" i="7"/>
  <c r="M9" i="7"/>
  <c r="M8" i="7"/>
  <c r="M7" i="7"/>
  <c r="M6" i="7"/>
  <c r="M5" i="7"/>
  <c r="M4" i="7"/>
  <c r="M3" i="7"/>
  <c r="N41" i="7"/>
  <c r="N40" i="7"/>
  <c r="N39" i="7"/>
  <c r="N38" i="7"/>
  <c r="N37" i="7"/>
  <c r="N36" i="7"/>
  <c r="N35" i="7"/>
  <c r="N34" i="7"/>
  <c r="N33" i="7"/>
  <c r="N32" i="7"/>
  <c r="N31" i="7"/>
  <c r="N30" i="7"/>
  <c r="N29" i="7"/>
  <c r="N28" i="7"/>
  <c r="N27" i="7"/>
  <c r="N26" i="7"/>
  <c r="N25" i="7"/>
  <c r="N24" i="7"/>
  <c r="N23" i="7"/>
  <c r="N22" i="7"/>
  <c r="N21" i="7"/>
  <c r="N20" i="7"/>
  <c r="N19" i="7"/>
  <c r="N18" i="7"/>
  <c r="N17" i="7"/>
  <c r="N16" i="7"/>
  <c r="N15" i="7"/>
  <c r="N14" i="7"/>
  <c r="N13" i="7"/>
  <c r="N12" i="7"/>
  <c r="L11" i="7"/>
  <c r="L10" i="7"/>
  <c r="L9" i="7"/>
  <c r="L8" i="7"/>
  <c r="L7" i="7"/>
  <c r="L6" i="7"/>
  <c r="L5" i="7"/>
  <c r="L4" i="7"/>
  <c r="L3"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V69" i="1"/>
  <c r="N44" i="1" a="1"/>
  <c r="N44" i="1" s="1"/>
  <c r="N55" i="1" a="1"/>
  <c r="N55" i="1" s="1"/>
  <c r="U64" i="1"/>
  <c r="U68" i="1" s="1"/>
  <c r="K72" i="1" a="1"/>
  <c r="K72" i="1" s="1"/>
  <c r="K65" i="1" a="1"/>
  <c r="K65" i="1" s="1"/>
  <c r="K64" i="1" a="1"/>
  <c r="K64" i="1" s="1"/>
  <c r="N8" i="1" a="1"/>
  <c r="N8" i="1" s="1"/>
  <c r="N79" i="1" a="1"/>
  <c r="N79" i="1" s="1"/>
  <c r="N65" i="1" a="1"/>
  <c r="N65" i="1" s="1"/>
  <c r="N64" i="1" a="1"/>
  <c r="N64" i="1" s="1"/>
  <c r="AD67" i="1"/>
  <c r="AD71" i="1" s="1"/>
  <c r="AF86" i="1"/>
  <c r="J20" i="6"/>
  <c r="K20" i="6" s="1"/>
  <c r="K66" i="1" a="1"/>
  <c r="K66" i="1" s="1"/>
  <c r="B19" i="1"/>
  <c r="J12" i="6"/>
  <c r="K12" i="6" s="1"/>
  <c r="J30" i="6"/>
  <c r="K30" i="6" s="1"/>
  <c r="J34" i="6"/>
  <c r="K34" i="6" s="1"/>
  <c r="B87" i="1"/>
  <c r="B91" i="1"/>
  <c r="J8" i="6"/>
  <c r="K8" i="6" s="1"/>
  <c r="K59" i="1"/>
  <c r="U61" i="1"/>
  <c r="U65" i="1" s="1"/>
  <c r="U62" i="1"/>
  <c r="U66" i="1" s="1"/>
  <c r="E72" i="1" a="1"/>
  <c r="E72" i="1" s="1"/>
  <c r="J4" i="6"/>
  <c r="K4" i="6" s="1"/>
  <c r="B23" i="1"/>
  <c r="B25" i="1"/>
  <c r="AA61" i="1"/>
  <c r="AA62" i="1"/>
  <c r="E50" i="1"/>
  <c r="Y61" i="1" s="1"/>
  <c r="B92" i="1"/>
  <c r="B96" i="1"/>
  <c r="K14" i="6"/>
  <c r="J28" i="6"/>
  <c r="K28" i="6" s="1"/>
  <c r="B24" i="1"/>
  <c r="S65" i="1"/>
  <c r="S70" i="1"/>
  <c r="B105" i="1" s="1"/>
  <c r="B26" i="1"/>
  <c r="AD66" i="1"/>
  <c r="AD70" i="1" s="1"/>
  <c r="E79" i="1" a="1"/>
  <c r="E79" i="1" s="1"/>
  <c r="Z61" i="1" s="1"/>
  <c r="E68" i="1"/>
  <c r="N83" i="1"/>
  <c r="H79" i="1" a="1"/>
  <c r="H79" i="1" s="1"/>
  <c r="Z62" i="1" s="1"/>
  <c r="B84" i="1"/>
  <c r="B97" i="1"/>
  <c r="G13" i="6"/>
  <c r="K79" i="1" a="1"/>
  <c r="K79" i="1" s="1"/>
  <c r="Z63" i="1" s="1"/>
  <c r="AC85" i="1"/>
  <c r="AC66" i="1"/>
  <c r="AC70" i="1" s="1"/>
  <c r="H55" i="1" a="1"/>
  <c r="H55" i="1" s="1"/>
  <c r="AC63" i="1"/>
  <c r="AA64" i="1"/>
  <c r="AC65" i="1"/>
  <c r="AC69" i="1" s="1"/>
  <c r="J9" i="6"/>
  <c r="K9" i="6" s="1"/>
  <c r="J18" i="6"/>
  <c r="K18" i="6" s="1"/>
  <c r="J7" i="6"/>
  <c r="K7" i="6" s="1"/>
  <c r="K55" i="1" a="1"/>
  <c r="K55" i="1" s="1"/>
  <c r="AM64" i="1"/>
  <c r="AI64" i="1"/>
  <c r="AG64" i="1"/>
  <c r="AF65" i="1"/>
  <c r="AF69" i="1" s="1"/>
  <c r="AG63" i="1"/>
  <c r="AM63" i="1"/>
  <c r="AG62" i="1"/>
  <c r="AE63" i="1"/>
  <c r="AD64" i="1"/>
  <c r="AH65" i="1"/>
  <c r="AH69" i="1" s="1"/>
  <c r="S68" i="1"/>
  <c r="N72" i="1" a="1"/>
  <c r="N72" i="1" s="1"/>
  <c r="H75" i="1"/>
  <c r="B93" i="1"/>
  <c r="B99" i="1"/>
  <c r="D139" i="2"/>
  <c r="K22" i="6"/>
  <c r="E56" i="1"/>
  <c r="AF63" i="1"/>
  <c r="AE64" i="1"/>
  <c r="AI65" i="1"/>
  <c r="AI69" i="1" s="1"/>
  <c r="K75" i="1"/>
  <c r="B89" i="1"/>
  <c r="D140" i="2"/>
  <c r="K6" i="6"/>
  <c r="J10" i="6"/>
  <c r="K10" i="6" s="1"/>
  <c r="H44" i="1" a="1"/>
  <c r="H44" i="1" s="1"/>
  <c r="K25" i="6"/>
  <c r="H56" i="1"/>
  <c r="AH63" i="1"/>
  <c r="AF64" i="1"/>
  <c r="K44" i="1" a="1"/>
  <c r="K44" i="1" s="1"/>
  <c r="K56" i="1"/>
  <c r="AI63" i="1"/>
  <c r="AH64" i="1"/>
  <c r="B85" i="1"/>
  <c r="E45" i="1"/>
  <c r="AL62" i="1"/>
  <c r="AK63" i="1"/>
  <c r="AK64" i="1"/>
  <c r="J6" i="6"/>
  <c r="H45" i="1"/>
  <c r="AN62" i="1"/>
  <c r="AL63" i="1"/>
  <c r="AL64" i="1"/>
  <c r="N67" i="1"/>
  <c r="N68" i="1" s="1"/>
  <c r="B90" i="1"/>
  <c r="B94" i="1"/>
  <c r="AJ63" i="1"/>
  <c r="J26" i="6"/>
  <c r="K26" i="6" s="1"/>
  <c r="K45" i="1"/>
  <c r="AN63" i="1"/>
  <c r="AN64" i="1"/>
  <c r="S67" i="1"/>
  <c r="AI85" i="1"/>
  <c r="E64" i="1" a="1"/>
  <c r="E64" i="1" s="1"/>
  <c r="B16" i="1"/>
  <c r="K23" i="6"/>
  <c r="K33" i="6"/>
  <c r="L8" i="2"/>
  <c r="K5" i="3"/>
  <c r="M5" i="3"/>
  <c r="J15" i="6"/>
  <c r="K15" i="6" s="1"/>
  <c r="J23" i="6"/>
  <c r="J31" i="6"/>
  <c r="K31" i="6" s="1"/>
  <c r="N80" i="1" l="1" a="1"/>
  <c r="N80" i="1" s="1"/>
  <c r="Z68" i="1" s="1"/>
  <c r="N82" i="1" a="1"/>
  <c r="N82" i="1" s="1"/>
  <c r="V68" i="1" s="1"/>
  <c r="H69" i="1" a="1"/>
  <c r="H69" i="1" s="1"/>
  <c r="E9" i="1" a="1"/>
  <c r="E9" i="1" s="1"/>
  <c r="E11" i="8"/>
  <c r="E12" i="8" s="1"/>
  <c r="Q3" i="7" s="1"/>
  <c r="N9" i="1" a="1"/>
  <c r="N9" i="1" s="1"/>
  <c r="H65" i="1" a="1"/>
  <c r="H65" i="1" s="1"/>
  <c r="H9" i="1" s="1" a="1"/>
  <c r="H9" i="1" s="1"/>
  <c r="H64" i="1" a="1"/>
  <c r="H64" i="1" s="1"/>
  <c r="AL88" i="1"/>
  <c r="N38" i="1"/>
  <c r="H39" i="1"/>
  <c r="E70" i="1" a="1"/>
  <c r="E70" i="1" s="1"/>
  <c r="E11" i="1" s="1"/>
  <c r="AN65" i="1"/>
  <c r="AN69" i="1" s="1"/>
  <c r="E63" i="1" a="1"/>
  <c r="E63" i="1" s="1"/>
  <c r="AO13" i="1" s="1"/>
  <c r="AC87" i="1"/>
  <c r="AL89" i="1"/>
  <c r="AJ66" i="1"/>
  <c r="AJ70" i="1" s="1"/>
  <c r="AF84" i="1"/>
  <c r="AD65" i="1"/>
  <c r="AD69" i="1" s="1"/>
  <c r="AF89" i="1"/>
  <c r="AH66" i="1"/>
  <c r="AH70" i="1" s="1"/>
  <c r="AI66" i="1"/>
  <c r="AI70" i="1" s="1"/>
  <c r="AI89" i="1"/>
  <c r="AL85" i="1"/>
  <c r="N85" i="1" s="1"/>
  <c r="AF66" i="1"/>
  <c r="AF70" i="1" s="1"/>
  <c r="AC92" i="1"/>
  <c r="H72" i="1" a="1"/>
  <c r="H72" i="1" s="1"/>
  <c r="AK66" i="1"/>
  <c r="AK70" i="1" s="1"/>
  <c r="K39" i="1"/>
  <c r="AI84" i="1"/>
  <c r="E84" i="1" s="1"/>
  <c r="AF92" i="1"/>
  <c r="AL65" i="1"/>
  <c r="AL69" i="1" s="1"/>
  <c r="K69" i="1" a="1"/>
  <c r="K69" i="1" s="1"/>
  <c r="K70" i="1" s="1" a="1"/>
  <c r="K70" i="1" s="1"/>
  <c r="K11" i="1" s="1"/>
  <c r="F11" i="8"/>
  <c r="F12" i="8" s="1"/>
  <c r="R35" i="7" s="1"/>
  <c r="V35" i="7" s="1"/>
  <c r="F35" i="5" s="1"/>
  <c r="D11" i="8"/>
  <c r="D12" i="8" s="1"/>
  <c r="P27" i="7" s="1"/>
  <c r="K9" i="1" a="1"/>
  <c r="K9" i="1" s="1"/>
  <c r="H63" i="1" a="1"/>
  <c r="H63" i="1" s="1"/>
  <c r="AP15" i="1" s="1"/>
  <c r="R40" i="7"/>
  <c r="V40" i="7" s="1"/>
  <c r="F40" i="5" s="1"/>
  <c r="R38" i="7"/>
  <c r="V38" i="7" s="1"/>
  <c r="F38" i="5" s="1"/>
  <c r="R30" i="7"/>
  <c r="V30" i="7" s="1"/>
  <c r="F30" i="5" s="1"/>
  <c r="R13" i="7"/>
  <c r="V13" i="7" s="1"/>
  <c r="F13" i="5" s="1"/>
  <c r="P11" i="7"/>
  <c r="P6" i="7"/>
  <c r="P5" i="7"/>
  <c r="P4" i="7"/>
  <c r="P3" i="7"/>
  <c r="P41" i="7"/>
  <c r="P39" i="7"/>
  <c r="X39" i="7" s="1"/>
  <c r="P12" i="7"/>
  <c r="AH67" i="1"/>
  <c r="AH71" i="1" s="1"/>
  <c r="AF90" i="1"/>
  <c r="H81" i="1" a="1"/>
  <c r="H81" i="1" s="1"/>
  <c r="AI94" i="1"/>
  <c r="AM67" i="1"/>
  <c r="AM71" i="1" s="1"/>
  <c r="H38" i="1"/>
  <c r="V66" i="1"/>
  <c r="N69" i="1" a="1"/>
  <c r="N69" i="1" s="1"/>
  <c r="AC89" i="1"/>
  <c r="AG66" i="1"/>
  <c r="AG70" i="1" s="1"/>
  <c r="AC90" i="1"/>
  <c r="AG67" i="1"/>
  <c r="AG71" i="1" s="1"/>
  <c r="AC91" i="1"/>
  <c r="AG68" i="1"/>
  <c r="AG72" i="1" s="1"/>
  <c r="AL93" i="1"/>
  <c r="AN66" i="1"/>
  <c r="AN70" i="1" s="1"/>
  <c r="AM68" i="1"/>
  <c r="AM72" i="1" s="1"/>
  <c r="AI95" i="1"/>
  <c r="AA66" i="1"/>
  <c r="AA70" i="1" s="1"/>
  <c r="Q11" i="7"/>
  <c r="Q10" i="7"/>
  <c r="Q9" i="7"/>
  <c r="Q8" i="7"/>
  <c r="Q7" i="7"/>
  <c r="Y7" i="7" s="1"/>
  <c r="Q6" i="7"/>
  <c r="Q5" i="7"/>
  <c r="Q4" i="7"/>
  <c r="Q38" i="7"/>
  <c r="Q37" i="7"/>
  <c r="U37" i="7" s="1"/>
  <c r="E37" i="5" s="1"/>
  <c r="Q36" i="7"/>
  <c r="Q35" i="7"/>
  <c r="Q34" i="7"/>
  <c r="Q33" i="7"/>
  <c r="Q32" i="7"/>
  <c r="Q31" i="7"/>
  <c r="Q26" i="7"/>
  <c r="Q25" i="7"/>
  <c r="Q24" i="7"/>
  <c r="Q23" i="7"/>
  <c r="Q22" i="7"/>
  <c r="Y22" i="7" s="1"/>
  <c r="Q21" i="7"/>
  <c r="Q20" i="7"/>
  <c r="Q19" i="7"/>
  <c r="Q14" i="7"/>
  <c r="U14" i="7" s="1"/>
  <c r="E14" i="5" s="1"/>
  <c r="Q13" i="7"/>
  <c r="AB13" i="7" s="1"/>
  <c r="Q12" i="7"/>
  <c r="AA65" i="1"/>
  <c r="N88" i="1"/>
  <c r="AC86" i="1"/>
  <c r="AC67" i="1"/>
  <c r="AC71" i="1" s="1"/>
  <c r="AF94" i="1"/>
  <c r="AL67" i="1"/>
  <c r="AL71" i="1" s="1"/>
  <c r="S71" i="1"/>
  <c r="B106" i="1" s="1"/>
  <c r="B102" i="1"/>
  <c r="H70" i="1" a="1"/>
  <c r="H70" i="1" s="1"/>
  <c r="H11" i="1" s="1"/>
  <c r="H10" i="1" s="1"/>
  <c r="H49" i="1" s="1"/>
  <c r="X62" i="1" s="1"/>
  <c r="N63" i="1" a="1"/>
  <c r="N63" i="1" s="1"/>
  <c r="AK67" i="1"/>
  <c r="AK71" i="1" s="1"/>
  <c r="AC94" i="1"/>
  <c r="AI91" i="1"/>
  <c r="AI68" i="1"/>
  <c r="AI72" i="1" s="1"/>
  <c r="B100" i="1"/>
  <c r="S69" i="1"/>
  <c r="B104" i="1" s="1"/>
  <c r="AL95" i="1"/>
  <c r="AN68" i="1"/>
  <c r="AN72" i="1" s="1"/>
  <c r="J13" i="6"/>
  <c r="K13" i="6" s="1"/>
  <c r="Z64" i="1"/>
  <c r="N81" i="1" a="1"/>
  <c r="N81" i="1" s="1"/>
  <c r="AF93" i="1"/>
  <c r="AL66" i="1"/>
  <c r="AL70" i="1" s="1"/>
  <c r="AL90" i="1"/>
  <c r="AJ67" i="1"/>
  <c r="AJ71" i="1" s="1"/>
  <c r="K63" i="1" a="1"/>
  <c r="K63" i="1" s="1"/>
  <c r="AA68" i="1"/>
  <c r="AA72" i="1" s="1"/>
  <c r="N39" i="1"/>
  <c r="V72" i="1"/>
  <c r="AH68" i="1"/>
  <c r="AH72" i="1" s="1"/>
  <c r="AF91" i="1"/>
  <c r="AL86" i="1"/>
  <c r="AF67" i="1"/>
  <c r="AF71" i="1" s="1"/>
  <c r="B103" i="1"/>
  <c r="S72" i="1"/>
  <c r="B107" i="1" s="1"/>
  <c r="AL68" i="1"/>
  <c r="AL72" i="1" s="1"/>
  <c r="AF95" i="1"/>
  <c r="AL94" i="1"/>
  <c r="AN67" i="1"/>
  <c r="AN71" i="1" s="1"/>
  <c r="AI90" i="1"/>
  <c r="AI67" i="1"/>
  <c r="AI71" i="1" s="1"/>
  <c r="AE68" i="1"/>
  <c r="AE72" i="1" s="1"/>
  <c r="AI87" i="1"/>
  <c r="C11" i="8"/>
  <c r="C12" i="8" s="1"/>
  <c r="AC95" i="1"/>
  <c r="AK68" i="1"/>
  <c r="AK72" i="1" s="1"/>
  <c r="AD68" i="1"/>
  <c r="AD72" i="1" s="1"/>
  <c r="AF87" i="1"/>
  <c r="AL87" i="1"/>
  <c r="AF68" i="1"/>
  <c r="AF72" i="1" s="1"/>
  <c r="AI86" i="1"/>
  <c r="AE67" i="1"/>
  <c r="AE71" i="1" s="1"/>
  <c r="P13" i="7" l="1"/>
  <c r="X13" i="7" s="1"/>
  <c r="P14" i="7"/>
  <c r="P16" i="7"/>
  <c r="AA16" i="7" s="1"/>
  <c r="P17" i="7"/>
  <c r="P18" i="7"/>
  <c r="P19" i="7"/>
  <c r="Q28" i="7"/>
  <c r="P25" i="7"/>
  <c r="AA25" i="7" s="1"/>
  <c r="P15" i="7"/>
  <c r="X15" i="7" s="1"/>
  <c r="Q27" i="7"/>
  <c r="P20" i="7"/>
  <c r="P26" i="7"/>
  <c r="Q29" i="7"/>
  <c r="U29" i="7" s="1"/>
  <c r="E29" i="5" s="1"/>
  <c r="Q30" i="7"/>
  <c r="P38" i="7"/>
  <c r="X38" i="7" s="1"/>
  <c r="P28" i="7"/>
  <c r="T28" i="7" s="1"/>
  <c r="D28" i="5" s="1"/>
  <c r="AO14" i="1"/>
  <c r="P30" i="7"/>
  <c r="P31" i="7"/>
  <c r="T31" i="7" s="1"/>
  <c r="D31" i="5" s="1"/>
  <c r="AO15" i="1"/>
  <c r="P33" i="7"/>
  <c r="T33" i="7" s="1"/>
  <c r="D33" i="5" s="1"/>
  <c r="Q15" i="7"/>
  <c r="Y15" i="7" s="1"/>
  <c r="Q39" i="7"/>
  <c r="P35" i="7"/>
  <c r="Q40" i="7"/>
  <c r="Q17" i="7"/>
  <c r="P36" i="7"/>
  <c r="P32" i="7"/>
  <c r="P34" i="7"/>
  <c r="T34" i="7" s="1"/>
  <c r="D34" i="5" s="1"/>
  <c r="Q16" i="7"/>
  <c r="Y16" i="7" s="1"/>
  <c r="Q41" i="7"/>
  <c r="Q18" i="7"/>
  <c r="U18" i="7" s="1"/>
  <c r="E18" i="5" s="1"/>
  <c r="P37" i="7"/>
  <c r="E82" i="1" a="1"/>
  <c r="E82" i="1" s="1"/>
  <c r="E48" i="1"/>
  <c r="W61" i="1" s="1"/>
  <c r="AO12" i="1"/>
  <c r="P29" i="7"/>
  <c r="AA29" i="7" s="1"/>
  <c r="K82" i="1" a="1"/>
  <c r="K82" i="1" s="1"/>
  <c r="AP12" i="1"/>
  <c r="H48" i="1"/>
  <c r="W62" i="1" s="1"/>
  <c r="N52" i="1" s="1"/>
  <c r="AP13" i="1"/>
  <c r="K81" i="1" a="1"/>
  <c r="K81" i="1" s="1"/>
  <c r="K10" i="1" s="1"/>
  <c r="K49" i="1" s="1"/>
  <c r="X63" i="1" s="1"/>
  <c r="K84" i="1"/>
  <c r="H84" i="1"/>
  <c r="R31" i="7"/>
  <c r="V31" i="7" s="1"/>
  <c r="F31" i="5" s="1"/>
  <c r="R32" i="7"/>
  <c r="V32" i="7" s="1"/>
  <c r="F32" i="5" s="1"/>
  <c r="R36" i="7"/>
  <c r="V36" i="7" s="1"/>
  <c r="F36" i="5" s="1"/>
  <c r="N84" i="1"/>
  <c r="R37" i="7"/>
  <c r="V37" i="7" s="1"/>
  <c r="F37" i="5" s="1"/>
  <c r="R12" i="7"/>
  <c r="V12" i="7" s="1"/>
  <c r="F12" i="5" s="1"/>
  <c r="R39" i="7"/>
  <c r="V39" i="7" s="1"/>
  <c r="F39" i="5" s="1"/>
  <c r="R14" i="7"/>
  <c r="V14" i="7" s="1"/>
  <c r="F14" i="5" s="1"/>
  <c r="R41" i="7"/>
  <c r="V41" i="7" s="1"/>
  <c r="F41" i="5" s="1"/>
  <c r="R15" i="7"/>
  <c r="V15" i="7" s="1"/>
  <c r="F15" i="5" s="1"/>
  <c r="R3" i="7"/>
  <c r="V3" i="7" s="1"/>
  <c r="F3" i="5" s="1"/>
  <c r="R16" i="7"/>
  <c r="V16" i="7" s="1"/>
  <c r="F16" i="5" s="1"/>
  <c r="R4" i="7"/>
  <c r="V4" i="7" s="1"/>
  <c r="F4" i="5" s="1"/>
  <c r="R17" i="7"/>
  <c r="V17" i="7" s="1"/>
  <c r="F17" i="5" s="1"/>
  <c r="R5" i="7"/>
  <c r="V5" i="7" s="1"/>
  <c r="F5" i="5" s="1"/>
  <c r="R18" i="7"/>
  <c r="V18" i="7" s="1"/>
  <c r="F18" i="5" s="1"/>
  <c r="R6" i="7"/>
  <c r="V6" i="7" s="1"/>
  <c r="F6" i="5" s="1"/>
  <c r="R19" i="7"/>
  <c r="V19" i="7" s="1"/>
  <c r="F19" i="5" s="1"/>
  <c r="R7" i="7"/>
  <c r="V7" i="7" s="1"/>
  <c r="F7" i="5" s="1"/>
  <c r="R20" i="7"/>
  <c r="V20" i="7" s="1"/>
  <c r="F20" i="5" s="1"/>
  <c r="R8" i="7"/>
  <c r="V8" i="7" s="1"/>
  <c r="F8" i="5" s="1"/>
  <c r="R21" i="7"/>
  <c r="V21" i="7" s="1"/>
  <c r="F21" i="5" s="1"/>
  <c r="R9" i="7"/>
  <c r="V9" i="7" s="1"/>
  <c r="F9" i="5" s="1"/>
  <c r="R22" i="7"/>
  <c r="V22" i="7" s="1"/>
  <c r="F22" i="5" s="1"/>
  <c r="R10" i="7"/>
  <c r="V10" i="7" s="1"/>
  <c r="F10" i="5" s="1"/>
  <c r="R11" i="7"/>
  <c r="V11" i="7" s="1"/>
  <c r="F11" i="5" s="1"/>
  <c r="R23" i="7"/>
  <c r="V23" i="7" s="1"/>
  <c r="F23" i="5" s="1"/>
  <c r="R24" i="7"/>
  <c r="V24" i="7" s="1"/>
  <c r="F24" i="5" s="1"/>
  <c r="R25" i="7"/>
  <c r="V25" i="7" s="1"/>
  <c r="F25" i="5" s="1"/>
  <c r="R26" i="7"/>
  <c r="V26" i="7" s="1"/>
  <c r="F26" i="5" s="1"/>
  <c r="K85" i="1"/>
  <c r="E85" i="1"/>
  <c r="R27" i="7"/>
  <c r="V27" i="7" s="1"/>
  <c r="F27" i="5" s="1"/>
  <c r="R28" i="7"/>
  <c r="V28" i="7" s="1"/>
  <c r="F28" i="5" s="1"/>
  <c r="H85" i="1"/>
  <c r="P40" i="7"/>
  <c r="AA40" i="7" s="1"/>
  <c r="R29" i="7"/>
  <c r="V29" i="7" s="1"/>
  <c r="F29" i="5" s="1"/>
  <c r="AP14" i="1"/>
  <c r="E87" i="1"/>
  <c r="T39" i="7"/>
  <c r="D39" i="5" s="1"/>
  <c r="P7" i="7"/>
  <c r="X7" i="7" s="1"/>
  <c r="P22" i="7"/>
  <c r="AA22" i="7" s="1"/>
  <c r="P8" i="7"/>
  <c r="T8" i="7" s="1"/>
  <c r="D8" i="5" s="1"/>
  <c r="P21" i="7"/>
  <c r="AA21" i="7" s="1"/>
  <c r="P23" i="7"/>
  <c r="T23" i="7" s="1"/>
  <c r="D23" i="5" s="1"/>
  <c r="P9" i="7"/>
  <c r="T9" i="7" s="1"/>
  <c r="D9" i="5" s="1"/>
  <c r="R33" i="7"/>
  <c r="V33" i="7" s="1"/>
  <c r="F33" i="5" s="1"/>
  <c r="N87" i="1"/>
  <c r="P24" i="7"/>
  <c r="AA24" i="7" s="1"/>
  <c r="P10" i="7"/>
  <c r="T10" i="7" s="1"/>
  <c r="D10" i="5" s="1"/>
  <c r="R34" i="7"/>
  <c r="V34" i="7" s="1"/>
  <c r="F34" i="5" s="1"/>
  <c r="Y13" i="7"/>
  <c r="AB29" i="7"/>
  <c r="Y29" i="7"/>
  <c r="N86" i="1"/>
  <c r="H86" i="1"/>
  <c r="E86" i="1"/>
  <c r="K86" i="1"/>
  <c r="U30" i="7"/>
  <c r="E30" i="5" s="1"/>
  <c r="AB30" i="7"/>
  <c r="Y30" i="7"/>
  <c r="N89" i="1"/>
  <c r="N101" i="1" s="1"/>
  <c r="H89" i="1"/>
  <c r="H101" i="1" s="1"/>
  <c r="E89" i="1"/>
  <c r="E101" i="1" s="1"/>
  <c r="K89" i="1"/>
  <c r="K101" i="1" s="1"/>
  <c r="AA8" i="7"/>
  <c r="X8" i="7"/>
  <c r="U31" i="7"/>
  <c r="E31" i="5" s="1"/>
  <c r="AB31" i="7"/>
  <c r="T24" i="7"/>
  <c r="D24" i="5" s="1"/>
  <c r="AA69" i="1"/>
  <c r="H88" i="1"/>
  <c r="E88" i="1"/>
  <c r="U32" i="7"/>
  <c r="E32" i="5" s="1"/>
  <c r="AB32" i="7"/>
  <c r="U13" i="7"/>
  <c r="E13" i="5" s="1"/>
  <c r="X25" i="7"/>
  <c r="T25" i="7"/>
  <c r="D25" i="5" s="1"/>
  <c r="AB22" i="7"/>
  <c r="AB33" i="7"/>
  <c r="U33" i="7"/>
  <c r="E33" i="5" s="1"/>
  <c r="Y33" i="7"/>
  <c r="X26" i="7"/>
  <c r="T26" i="7"/>
  <c r="D26" i="5" s="1"/>
  <c r="AA26" i="7"/>
  <c r="T11" i="7"/>
  <c r="D11" i="5" s="1"/>
  <c r="X11" i="7"/>
  <c r="AA11" i="7"/>
  <c r="AB34" i="7"/>
  <c r="Y34" i="7"/>
  <c r="U34" i="7"/>
  <c r="E34" i="5" s="1"/>
  <c r="T27" i="7"/>
  <c r="D27" i="5" s="1"/>
  <c r="AA27" i="7"/>
  <c r="X27" i="7"/>
  <c r="AA31" i="7"/>
  <c r="N94" i="1"/>
  <c r="N106" i="1" s="1"/>
  <c r="H94" i="1"/>
  <c r="H106" i="1" s="1"/>
  <c r="E94" i="1"/>
  <c r="E106" i="1" s="1"/>
  <c r="K94" i="1"/>
  <c r="K106" i="1" s="1"/>
  <c r="Y35" i="7"/>
  <c r="U35" i="7"/>
  <c r="E35" i="5" s="1"/>
  <c r="AB35" i="7"/>
  <c r="AA28" i="7"/>
  <c r="X29" i="7"/>
  <c r="T29" i="7"/>
  <c r="D29" i="5" s="1"/>
  <c r="T30" i="7"/>
  <c r="D30" i="5" s="1"/>
  <c r="AA30" i="7"/>
  <c r="AB39" i="7"/>
  <c r="Y39" i="7"/>
  <c r="K52" i="1"/>
  <c r="H52" i="1"/>
  <c r="X32" i="7"/>
  <c r="T32" i="7"/>
  <c r="D32" i="5" s="1"/>
  <c r="AA32" i="7"/>
  <c r="U22" i="7"/>
  <c r="E22" i="5" s="1"/>
  <c r="U38" i="7"/>
  <c r="E38" i="5" s="1"/>
  <c r="AB38" i="7"/>
  <c r="Y38" i="7"/>
  <c r="U16" i="7"/>
  <c r="E16" i="5" s="1"/>
  <c r="U40" i="7"/>
  <c r="E40" i="5" s="1"/>
  <c r="AB40" i="7"/>
  <c r="Y40" i="7"/>
  <c r="AR15" i="1"/>
  <c r="AR14" i="1"/>
  <c r="AR13" i="1"/>
  <c r="AR12" i="1"/>
  <c r="N48" i="1"/>
  <c r="W64" i="1" s="1"/>
  <c r="AB37" i="7"/>
  <c r="Y37" i="7"/>
  <c r="U17" i="7"/>
  <c r="E17" i="5" s="1"/>
  <c r="AB17" i="7"/>
  <c r="Y17" i="7"/>
  <c r="U41" i="7"/>
  <c r="E41" i="5" s="1"/>
  <c r="AB41" i="7"/>
  <c r="Y41" i="7"/>
  <c r="K88" i="1"/>
  <c r="AA34" i="7"/>
  <c r="X34" i="7"/>
  <c r="AB14" i="7"/>
  <c r="Y14" i="7"/>
  <c r="AB18" i="7"/>
  <c r="Y18" i="7"/>
  <c r="Y3" i="7"/>
  <c r="U3" i="7"/>
  <c r="E3" i="5" s="1"/>
  <c r="AB3" i="7"/>
  <c r="AA35" i="7"/>
  <c r="X35" i="7"/>
  <c r="T35" i="7"/>
  <c r="D35" i="5" s="1"/>
  <c r="U15" i="7"/>
  <c r="E15" i="5" s="1"/>
  <c r="V62" i="1"/>
  <c r="H37" i="1"/>
  <c r="Y19" i="7"/>
  <c r="AB19" i="7"/>
  <c r="Y4" i="7"/>
  <c r="U4" i="7"/>
  <c r="E4" i="5" s="1"/>
  <c r="AB4" i="7"/>
  <c r="E37" i="1"/>
  <c r="V61" i="1"/>
  <c r="E96" i="1" s="1"/>
  <c r="E40" i="1" s="1"/>
  <c r="AA12" i="7"/>
  <c r="X12" i="7"/>
  <c r="T12" i="7"/>
  <c r="D12" i="5" s="1"/>
  <c r="AA36" i="7"/>
  <c r="T36" i="7"/>
  <c r="D36" i="5" s="1"/>
  <c r="X36" i="7"/>
  <c r="Y31" i="7"/>
  <c r="X30" i="7"/>
  <c r="U20" i="7"/>
  <c r="E20" i="5" s="1"/>
  <c r="Y20" i="7"/>
  <c r="AB20" i="7"/>
  <c r="U5" i="7"/>
  <c r="E5" i="5" s="1"/>
  <c r="AB5" i="7"/>
  <c r="Y5" i="7"/>
  <c r="AA13" i="7"/>
  <c r="T13" i="7"/>
  <c r="D13" i="5" s="1"/>
  <c r="T37" i="7"/>
  <c r="D37" i="5" s="1"/>
  <c r="AA37" i="7"/>
  <c r="X37" i="7"/>
  <c r="AQ15" i="1"/>
  <c r="AQ14" i="1"/>
  <c r="AQ13" i="1"/>
  <c r="AQ12" i="1"/>
  <c r="K48" i="1"/>
  <c r="W63" i="1" s="1"/>
  <c r="V64" i="1"/>
  <c r="N37" i="1"/>
  <c r="U21" i="7"/>
  <c r="E21" i="5" s="1"/>
  <c r="AB21" i="7"/>
  <c r="Y21" i="7"/>
  <c r="Y6" i="7"/>
  <c r="U6" i="7"/>
  <c r="E6" i="5" s="1"/>
  <c r="AB6" i="7"/>
  <c r="N91" i="1"/>
  <c r="N103" i="1" s="1"/>
  <c r="H91" i="1"/>
  <c r="H103" i="1" s="1"/>
  <c r="K91" i="1"/>
  <c r="K103" i="1" s="1"/>
  <c r="E91" i="1"/>
  <c r="E103" i="1" s="1"/>
  <c r="T14" i="7"/>
  <c r="D14" i="5" s="1"/>
  <c r="AA14" i="7"/>
  <c r="X14" i="7"/>
  <c r="T38" i="7"/>
  <c r="D38" i="5" s="1"/>
  <c r="AA38" i="7"/>
  <c r="U19" i="7"/>
  <c r="E19" i="5" s="1"/>
  <c r="N95" i="1"/>
  <c r="N107" i="1" s="1"/>
  <c r="K95" i="1"/>
  <c r="K107" i="1" s="1"/>
  <c r="H95" i="1"/>
  <c r="H107" i="1" s="1"/>
  <c r="E95" i="1"/>
  <c r="E107" i="1" s="1"/>
  <c r="O11" i="7"/>
  <c r="O10" i="7"/>
  <c r="O9" i="7"/>
  <c r="O8" i="7"/>
  <c r="O7" i="7"/>
  <c r="O6" i="7"/>
  <c r="O5" i="7"/>
  <c r="O4" i="7"/>
  <c r="O3" i="7"/>
  <c r="O41" i="7"/>
  <c r="O40" i="7"/>
  <c r="O39" i="7"/>
  <c r="O38" i="7"/>
  <c r="O37" i="7"/>
  <c r="O36" i="7"/>
  <c r="O35" i="7"/>
  <c r="O34" i="7"/>
  <c r="O33" i="7"/>
  <c r="O32" i="7"/>
  <c r="O31" i="7"/>
  <c r="O30" i="7"/>
  <c r="O29" i="7"/>
  <c r="O28" i="7"/>
  <c r="O27" i="7"/>
  <c r="O26" i="7"/>
  <c r="O25" i="7"/>
  <c r="O24" i="7"/>
  <c r="O23" i="7"/>
  <c r="O22" i="7"/>
  <c r="O21" i="7"/>
  <c r="O20" i="7"/>
  <c r="O19" i="7"/>
  <c r="O18" i="7"/>
  <c r="O17" i="7"/>
  <c r="O16" i="7"/>
  <c r="O15" i="7"/>
  <c r="O14" i="7"/>
  <c r="O13" i="7"/>
  <c r="O12" i="7"/>
  <c r="U36" i="7"/>
  <c r="E36" i="5" s="1"/>
  <c r="Y36" i="7"/>
  <c r="AB36" i="7"/>
  <c r="U23" i="7"/>
  <c r="E23" i="5" s="1"/>
  <c r="AB23" i="7"/>
  <c r="Y23" i="7"/>
  <c r="Y8" i="7"/>
  <c r="AB8" i="7"/>
  <c r="U8" i="7"/>
  <c r="E8" i="5" s="1"/>
  <c r="K87" i="1"/>
  <c r="X16" i="7"/>
  <c r="T16" i="7"/>
  <c r="D16" i="5" s="1"/>
  <c r="AB16" i="7"/>
  <c r="H87" i="1"/>
  <c r="U39" i="7"/>
  <c r="E39" i="5" s="1"/>
  <c r="Y24" i="7"/>
  <c r="U24" i="7"/>
  <c r="E24" i="5" s="1"/>
  <c r="AB24" i="7"/>
  <c r="AB9" i="7"/>
  <c r="Y9" i="7"/>
  <c r="U9" i="7"/>
  <c r="E9" i="5" s="1"/>
  <c r="T41" i="7"/>
  <c r="D41" i="5" s="1"/>
  <c r="AA41" i="7"/>
  <c r="X41" i="7"/>
  <c r="N93" i="1"/>
  <c r="N105" i="1" s="1"/>
  <c r="E93" i="1"/>
  <c r="E105" i="1" s="1"/>
  <c r="H93" i="1"/>
  <c r="H105" i="1" s="1"/>
  <c r="K93" i="1"/>
  <c r="K105" i="1" s="1"/>
  <c r="Y25" i="7"/>
  <c r="U25" i="7"/>
  <c r="E25" i="5" s="1"/>
  <c r="AB25" i="7"/>
  <c r="U10" i="7"/>
  <c r="E10" i="5" s="1"/>
  <c r="AB10" i="7"/>
  <c r="Y10" i="7"/>
  <c r="AA18" i="7"/>
  <c r="T18" i="7"/>
  <c r="D18" i="5" s="1"/>
  <c r="X18" i="7"/>
  <c r="AA3" i="7"/>
  <c r="X3" i="7"/>
  <c r="T3" i="7"/>
  <c r="D3" i="5" s="1"/>
  <c r="Y32" i="7"/>
  <c r="AB26" i="7"/>
  <c r="U26" i="7"/>
  <c r="E26" i="5" s="1"/>
  <c r="Y26" i="7"/>
  <c r="Y11" i="7"/>
  <c r="U11" i="7"/>
  <c r="E11" i="5" s="1"/>
  <c r="AB11" i="7"/>
  <c r="T19" i="7"/>
  <c r="D19" i="5" s="1"/>
  <c r="AA19" i="7"/>
  <c r="X19" i="7"/>
  <c r="AA4" i="7"/>
  <c r="X4" i="7"/>
  <c r="T4" i="7"/>
  <c r="D4" i="5" s="1"/>
  <c r="AB15" i="7"/>
  <c r="Y12" i="7"/>
  <c r="U12" i="7"/>
  <c r="E12" i="5" s="1"/>
  <c r="AB12" i="7"/>
  <c r="AB7" i="7"/>
  <c r="U7" i="7"/>
  <c r="E7" i="5" s="1"/>
  <c r="U27" i="7"/>
  <c r="E27" i="5" s="1"/>
  <c r="AB27" i="7"/>
  <c r="Y27" i="7"/>
  <c r="K90" i="1"/>
  <c r="H90" i="1"/>
  <c r="E90" i="1"/>
  <c r="N90" i="1"/>
  <c r="T20" i="7"/>
  <c r="D20" i="5" s="1"/>
  <c r="AA20" i="7"/>
  <c r="X20" i="7"/>
  <c r="T5" i="7"/>
  <c r="D5" i="5" s="1"/>
  <c r="AA5" i="7"/>
  <c r="X5" i="7"/>
  <c r="AA17" i="7"/>
  <c r="T17" i="7"/>
  <c r="D17" i="5" s="1"/>
  <c r="X17" i="7"/>
  <c r="X31" i="7"/>
  <c r="U28" i="7"/>
  <c r="E28" i="5" s="1"/>
  <c r="AB28" i="7"/>
  <c r="Y28" i="7"/>
  <c r="E52" i="1"/>
  <c r="N70" i="1" a="1"/>
  <c r="N70" i="1" s="1"/>
  <c r="N11" i="1" s="1"/>
  <c r="N10" i="1" s="1"/>
  <c r="N49" i="1" s="1"/>
  <c r="X64" i="1" s="1"/>
  <c r="T21" i="7"/>
  <c r="D21" i="5" s="1"/>
  <c r="AA6" i="7"/>
  <c r="X6" i="7"/>
  <c r="T6" i="7"/>
  <c r="D6" i="5" s="1"/>
  <c r="AA39" i="7"/>
  <c r="X28" i="7" l="1"/>
  <c r="X33" i="7"/>
  <c r="AA33" i="7"/>
  <c r="T15" i="7"/>
  <c r="D15" i="5" s="1"/>
  <c r="AA15" i="7"/>
  <c r="T7" i="7"/>
  <c r="D7" i="5" s="1"/>
  <c r="X24" i="7"/>
  <c r="V65" i="1"/>
  <c r="N100" i="1" s="1"/>
  <c r="E38" i="1"/>
  <c r="E10" i="1"/>
  <c r="E49" i="1" s="1"/>
  <c r="X61" i="1" s="1"/>
  <c r="X10" i="7"/>
  <c r="AA10" i="7"/>
  <c r="AA7" i="7"/>
  <c r="X9" i="7"/>
  <c r="AA9" i="7"/>
  <c r="X23" i="7"/>
  <c r="AA23" i="7"/>
  <c r="X21" i="7"/>
  <c r="V67" i="1"/>
  <c r="N102" i="1" s="1"/>
  <c r="K38" i="1"/>
  <c r="K37" i="1"/>
  <c r="V63" i="1"/>
  <c r="E98" i="1" s="1"/>
  <c r="T40" i="7"/>
  <c r="D40" i="5" s="1"/>
  <c r="X40" i="7"/>
  <c r="X22" i="7"/>
  <c r="T22" i="7"/>
  <c r="D22" i="5" s="1"/>
  <c r="S32" i="7"/>
  <c r="C32" i="5" s="1"/>
  <c r="Z32" i="7"/>
  <c r="W32" i="7"/>
  <c r="W14" i="7"/>
  <c r="S14" i="7"/>
  <c r="C14" i="5" s="1"/>
  <c r="Z14" i="7"/>
  <c r="S38" i="7"/>
  <c r="C38" i="5" s="1"/>
  <c r="Z38" i="7"/>
  <c r="W38" i="7"/>
  <c r="W33" i="7"/>
  <c r="S33" i="7"/>
  <c r="C33" i="5" s="1"/>
  <c r="Z33" i="7"/>
  <c r="K97" i="1"/>
  <c r="K41" i="1" s="1"/>
  <c r="H97" i="1"/>
  <c r="H41" i="1" s="1"/>
  <c r="N97" i="1"/>
  <c r="N41" i="1" s="1"/>
  <c r="E97" i="1"/>
  <c r="E41" i="1" s="1"/>
  <c r="Z15" i="7"/>
  <c r="W15" i="7"/>
  <c r="S15" i="7"/>
  <c r="C15" i="5" s="1"/>
  <c r="S34" i="7"/>
  <c r="C34" i="5" s="1"/>
  <c r="W34" i="7"/>
  <c r="Z34" i="7"/>
  <c r="Z12" i="7"/>
  <c r="W12" i="7"/>
  <c r="S12" i="7"/>
  <c r="C12" i="5" s="1"/>
  <c r="Z36" i="7"/>
  <c r="S36" i="7"/>
  <c r="C36" i="5" s="1"/>
  <c r="W36" i="7"/>
  <c r="Z35" i="7"/>
  <c r="W35" i="7"/>
  <c r="S35" i="7"/>
  <c r="C35" i="5" s="1"/>
  <c r="Z13" i="7"/>
  <c r="W13" i="7"/>
  <c r="S13" i="7"/>
  <c r="C13" i="5" s="1"/>
  <c r="S37" i="7"/>
  <c r="C37" i="5" s="1"/>
  <c r="Z37" i="7"/>
  <c r="W37" i="7"/>
  <c r="K54" i="1"/>
  <c r="N54" i="1"/>
  <c r="H54" i="1"/>
  <c r="E54" i="1"/>
  <c r="S18" i="7"/>
  <c r="C18" i="5" s="1"/>
  <c r="Z18" i="7"/>
  <c r="W18" i="7"/>
  <c r="S3" i="7"/>
  <c r="C3" i="5" s="1"/>
  <c r="Z3" i="7"/>
  <c r="W3" i="7"/>
  <c r="W16" i="7"/>
  <c r="S16" i="7"/>
  <c r="C16" i="5" s="1"/>
  <c r="Z16" i="7"/>
  <c r="Z40" i="7"/>
  <c r="S40" i="7"/>
  <c r="C40" i="5" s="1"/>
  <c r="W40" i="7"/>
  <c r="Z17" i="7"/>
  <c r="S17" i="7"/>
  <c r="C17" i="5" s="1"/>
  <c r="W17" i="7"/>
  <c r="S41" i="7"/>
  <c r="C41" i="5" s="1"/>
  <c r="Z41" i="7"/>
  <c r="W41" i="7"/>
  <c r="S19" i="7"/>
  <c r="C19" i="5" s="1"/>
  <c r="W19" i="7"/>
  <c r="Z19" i="7"/>
  <c r="S4" i="7"/>
  <c r="C4" i="5" s="1"/>
  <c r="Z4" i="7"/>
  <c r="W4" i="7"/>
  <c r="S5" i="7"/>
  <c r="C5" i="5" s="1"/>
  <c r="Z5" i="7"/>
  <c r="W5" i="7"/>
  <c r="S21" i="7"/>
  <c r="C21" i="5" s="1"/>
  <c r="Z21" i="7"/>
  <c r="W21" i="7"/>
  <c r="S6" i="7"/>
  <c r="C6" i="5" s="1"/>
  <c r="Z6" i="7"/>
  <c r="W6" i="7"/>
  <c r="S7" i="7"/>
  <c r="C7" i="5" s="1"/>
  <c r="W7" i="7"/>
  <c r="Z7" i="7"/>
  <c r="N92" i="1"/>
  <c r="N104" i="1" s="1"/>
  <c r="E92" i="1"/>
  <c r="E104" i="1" s="1"/>
  <c r="H92" i="1"/>
  <c r="H104" i="1" s="1"/>
  <c r="K92" i="1"/>
  <c r="K104" i="1" s="1"/>
  <c r="W20" i="7"/>
  <c r="S20" i="7"/>
  <c r="C20" i="5" s="1"/>
  <c r="Z20" i="7"/>
  <c r="S22" i="7"/>
  <c r="C22" i="5" s="1"/>
  <c r="Z22" i="7"/>
  <c r="W22" i="7"/>
  <c r="Z23" i="7"/>
  <c r="S23" i="7"/>
  <c r="C23" i="5" s="1"/>
  <c r="W23" i="7"/>
  <c r="S8" i="7"/>
  <c r="C8" i="5" s="1"/>
  <c r="Z8" i="7"/>
  <c r="W8" i="7"/>
  <c r="S24" i="7"/>
  <c r="C24" i="5" s="1"/>
  <c r="Z24" i="7"/>
  <c r="W24" i="7"/>
  <c r="S9" i="7"/>
  <c r="C9" i="5" s="1"/>
  <c r="Z9" i="7"/>
  <c r="W9" i="7"/>
  <c r="N99" i="1"/>
  <c r="N43" i="1" s="1"/>
  <c r="K99" i="1"/>
  <c r="K43" i="1" s="1"/>
  <c r="H99" i="1"/>
  <c r="H43" i="1" s="1"/>
  <c r="E99" i="1"/>
  <c r="E43" i="1" s="1"/>
  <c r="Z25" i="7"/>
  <c r="W25" i="7"/>
  <c r="S25" i="7"/>
  <c r="C25" i="5" s="1"/>
  <c r="S10" i="7"/>
  <c r="C10" i="5" s="1"/>
  <c r="Z10" i="7"/>
  <c r="W10" i="7"/>
  <c r="E53" i="1"/>
  <c r="H53" i="1"/>
  <c r="K53" i="1"/>
  <c r="N53" i="1"/>
  <c r="H96" i="1"/>
  <c r="N96" i="1"/>
  <c r="K96" i="1"/>
  <c r="S26" i="7"/>
  <c r="C26" i="5" s="1"/>
  <c r="Z26" i="7"/>
  <c r="W26" i="7"/>
  <c r="S11" i="7"/>
  <c r="C11" i="5" s="1"/>
  <c r="W11" i="7"/>
  <c r="Z11" i="7"/>
  <c r="S27" i="7"/>
  <c r="C27" i="5" s="1"/>
  <c r="Z27" i="7"/>
  <c r="W27" i="7"/>
  <c r="S39" i="7"/>
  <c r="C39" i="5" s="1"/>
  <c r="Z39" i="7"/>
  <c r="W39" i="7"/>
  <c r="W28" i="7"/>
  <c r="S28" i="7"/>
  <c r="C28" i="5" s="1"/>
  <c r="Z28" i="7"/>
  <c r="W29" i="7"/>
  <c r="S29" i="7"/>
  <c r="C29" i="5" s="1"/>
  <c r="Z29" i="7"/>
  <c r="S30" i="7"/>
  <c r="C30" i="5" s="1"/>
  <c r="Z30" i="7"/>
  <c r="W30" i="7"/>
  <c r="W31" i="7"/>
  <c r="S31" i="7"/>
  <c r="C31" i="5" s="1"/>
  <c r="Z31" i="7"/>
  <c r="N51" i="1" l="1"/>
  <c r="N57" i="1" s="1"/>
  <c r="H51" i="1"/>
  <c r="K51" i="1"/>
  <c r="E51" i="1"/>
  <c r="E57" i="1" s="1"/>
  <c r="H100" i="1"/>
  <c r="K100" i="1"/>
  <c r="E100" i="1"/>
  <c r="H102" i="1"/>
  <c r="E102" i="1"/>
  <c r="E42" i="1" s="1"/>
  <c r="K102" i="1"/>
  <c r="N98" i="1"/>
  <c r="N42" i="1" s="1"/>
  <c r="K98" i="1"/>
  <c r="H98" i="1"/>
  <c r="H42" i="1" s="1"/>
  <c r="H40" i="1"/>
  <c r="H57" i="1"/>
  <c r="K57" i="1"/>
  <c r="N40" i="1"/>
  <c r="N46" i="1" s="1"/>
  <c r="N34" i="1" s="1" a="1"/>
  <c r="N34" i="1" s="1"/>
  <c r="K40" i="1"/>
  <c r="H46" i="1" l="1"/>
  <c r="H34" i="1" s="1"/>
  <c r="E46" i="1"/>
  <c r="E34" i="1" s="1"/>
  <c r="K42" i="1"/>
  <c r="K46" i="1" s="1"/>
  <c r="K34" i="1" s="1" a="1"/>
  <c r="K3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<sst xmlns="http://schemas.openxmlformats.org/spreadsheetml/2006/main" count="1415" uniqueCount="811">
  <si>
    <t>Worst case</t>
  </si>
  <si>
    <t>Clear time (seconds)</t>
  </si>
  <si>
    <t>Custom HP Particles</t>
  </si>
  <si>
    <t>Time between electro reactions (min 5s)</t>
  </si>
  <si>
    <t>This is how long it takes you to clear an Abyss chamber.</t>
  </si>
  <si>
    <t>Safe</t>
  </si>
  <si>
    <t>Enemy HP particles</t>
  </si>
  <si>
    <t>Default</t>
  </si>
  <si>
    <t>Average</t>
  </si>
  <si>
    <t>Particle RNG</t>
  </si>
  <si>
    <t>Rotation mode</t>
  </si>
  <si>
    <t>Fixed</t>
  </si>
  <si>
    <t>Flexible</t>
  </si>
  <si>
    <t>Rotation length</t>
  </si>
  <si>
    <t>Character</t>
  </si>
  <si>
    <t>Mavuika</t>
  </si>
  <si>
    <t>Citlali</t>
  </si>
  <si>
    <t>Lan Yan</t>
  </si>
  <si>
    <t>Traveler (Pyro)</t>
  </si>
  <si>
    <t>Press</t>
  </si>
  <si>
    <t>Skill cooldown</t>
  </si>
  <si>
    <t>Skill cooldown is just for reference and does not affect any calculations.</t>
  </si>
  <si>
    <t>Hold</t>
  </si>
  <si>
    <t>Skill particles generated</t>
  </si>
  <si>
    <t>The number of particles generated by each use of the skill.</t>
  </si>
  <si>
    <t>Yes</t>
  </si>
  <si>
    <t>Turret particles per second</t>
  </si>
  <si>
    <t>Turrets are skills that generate particles over time, such as Fischl's Oz.</t>
  </si>
  <si>
    <t>No</t>
  </si>
  <si>
    <t>Turret uptime</t>
  </si>
  <si>
    <t>Constellation 0</t>
  </si>
  <si>
    <t>Blazing Threshold</t>
  </si>
  <si>
    <t>This is the number of times you use a character's skill for each time you use their burst.</t>
  </si>
  <si>
    <t>If you use another type of skill, this is how many times you use that type</t>
  </si>
  <si>
    <t>Feed particles to ally</t>
  </si>
  <si>
    <t>This is who will catch the elemental particles. "Don't Know" counts as off field particles for everyone.</t>
  </si>
  <si>
    <t>In Advanced Mode, you can feed turret particles. This will override field-time-based turret particle assignment.</t>
  </si>
  <si>
    <t>Proportion of particles fed</t>
  </si>
  <si>
    <t>If a character catches some of their own particles and feeds some, this is what percentage is fed.</t>
  </si>
  <si>
    <t>This is the number of times a Favonius effect triggers for each time you use a character's burst.</t>
  </si>
  <si>
    <t>This is flat energy from various sources such as constellations and weapons.</t>
  </si>
  <si>
    <t>Time on field</t>
  </si>
  <si>
    <t>This is the portion of time a character spends on field. It affects turret and HP particle energy.</t>
  </si>
  <si>
    <t>This is how often you use each character's burst. It will typically depend on your team's rotation.</t>
  </si>
  <si>
    <t>Clear</t>
  </si>
  <si>
    <t>Burst cooldown</t>
  </si>
  <si>
    <t>Anemo</t>
  </si>
  <si>
    <t>Burst energy cost (after discount)</t>
  </si>
  <si>
    <t>Cryo</t>
  </si>
  <si>
    <t>Total energy recharge needed</t>
  </si>
  <si>
    <t>If you don't use a character's burst, ignore their ER needs and put the rotation length as burst time.</t>
  </si>
  <si>
    <t>Dendro</t>
  </si>
  <si>
    <t>Electro</t>
  </si>
  <si>
    <t>Element</t>
  </si>
  <si>
    <t>Geo</t>
  </si>
  <si>
    <t>Particle gen per second from primary skill</t>
  </si>
  <si>
    <t>Hydro</t>
  </si>
  <si>
    <t>Particle gen per second from secondary skill</t>
  </si>
  <si>
    <t>Particle gen per second from Favonius</t>
  </si>
  <si>
    <t>Energy  from HP particles</t>
  </si>
  <si>
    <t>Energy from other sources</t>
  </si>
  <si>
    <t>Total energy per burst</t>
  </si>
  <si>
    <t>Particle gen per second from skills</t>
  </si>
  <si>
    <t>Pyro</t>
  </si>
  <si>
    <t>Particle gen per second from turrets</t>
  </si>
  <si>
    <t>Error</t>
  </si>
  <si>
    <t>Name</t>
  </si>
  <si>
    <t>Skill</t>
  </si>
  <si>
    <t>Particles/s</t>
  </si>
  <si>
    <t>Skill Particles</t>
  </si>
  <si>
    <t>Turret Particles</t>
  </si>
  <si>
    <t>Fav Particles</t>
  </si>
  <si>
    <t>Turret</t>
  </si>
  <si>
    <t>Feed To</t>
  </si>
  <si>
    <t>Fed</t>
  </si>
  <si>
    <t>Primary Feed</t>
  </si>
  <si>
    <t>Secondary Feed</t>
  </si>
  <si>
    <t>Favonius Feed</t>
  </si>
  <si>
    <t>Index_row</t>
  </si>
  <si>
    <t>The number here is the row to highlight when a user error is made</t>
  </si>
  <si>
    <t>Index_column 1</t>
  </si>
  <si>
    <t>Primary</t>
  </si>
  <si>
    <t>Index_column 2</t>
  </si>
  <si>
    <t>Total skill particles generated</t>
  </si>
  <si>
    <t>Base turret particles per second</t>
  </si>
  <si>
    <t>Variance 1</t>
  </si>
  <si>
    <t>Secondary</t>
  </si>
  <si>
    <t>Variance 2</t>
  </si>
  <si>
    <t>Skill uses per burst (primary type)</t>
  </si>
  <si>
    <t>Skill uses per burst (secondary type)</t>
  </si>
  <si>
    <t>Turret uptime per burst (primary type)</t>
  </si>
  <si>
    <t>Favonius</t>
  </si>
  <si>
    <t>Turret uptime per burst (secondary type)</t>
  </si>
  <si>
    <t>Favonius uses per burst</t>
  </si>
  <si>
    <t>Bonus non-particle energy</t>
  </si>
  <si>
    <t>Number of rotations between bursts</t>
  </si>
  <si>
    <t>Time between bursts</t>
  </si>
  <si>
    <t>Primary skill is turret</t>
  </si>
  <si>
    <t>Secondary skill is turret</t>
  </si>
  <si>
    <t>Advanced Mode</t>
  </si>
  <si>
    <t>Label 0</t>
  </si>
  <si>
    <t>Label 1</t>
  </si>
  <si>
    <t>Label 2</t>
  </si>
  <si>
    <t>Label 3</t>
  </si>
  <si>
    <t>To enable Advanced Mode, unhide rows 15-26</t>
  </si>
  <si>
    <t>Made by Zakharov29229 from the KeqingMains discord</t>
  </si>
  <si>
    <t>Raiden Energy Refund</t>
  </si>
  <si>
    <t>Maintained by baloopy</t>
  </si>
  <si>
    <t>The Energy Recharge Calculator guide is available here</t>
  </si>
  <si>
    <t>The latest version is available here</t>
  </si>
  <si>
    <t>Burst Talent Level</t>
  </si>
  <si>
    <t>Current version</t>
  </si>
  <si>
    <t>1.62.0</t>
  </si>
  <si>
    <t>Raiden ER</t>
  </si>
  <si>
    <t>Latest version</t>
  </si>
  <si>
    <t>Energy Returned</t>
  </si>
  <si>
    <t>Abyss version</t>
  </si>
  <si>
    <t>N/A</t>
  </si>
  <si>
    <t>Flat Energy</t>
  </si>
  <si>
    <t>R1</t>
  </si>
  <si>
    <t>R2</t>
  </si>
  <si>
    <t>R3</t>
  </si>
  <si>
    <t>R4</t>
  </si>
  <si>
    <t>R5</t>
  </si>
  <si>
    <t>Amenoma Kageuchi</t>
  </si>
  <si>
    <t>6 per skill use</t>
  </si>
  <si>
    <t>7.5 per skill use</t>
  </si>
  <si>
    <t>9 per skill use</t>
  </si>
  <si>
    <t>10.5 per skill use</t>
  </si>
  <si>
    <t>12 per skill use</t>
  </si>
  <si>
    <t>Katsuragikiri Nagamasa</t>
  </si>
  <si>
    <t>6 per trigger</t>
  </si>
  <si>
    <t>7.5 per trigger</t>
  </si>
  <si>
    <t>9 per trigger</t>
  </si>
  <si>
    <t>10.5 per trigger</t>
  </si>
  <si>
    <t>12 per trigger</t>
  </si>
  <si>
    <t>Kitain Cross Spear</t>
  </si>
  <si>
    <t>Prototype Amber</t>
  </si>
  <si>
    <t>This is after the drain; if there is no energy to consume, add 3 flat energy.</t>
  </si>
  <si>
    <t>Everlasting Moonglow</t>
  </si>
  <si>
    <t>0.6 per NA</t>
  </si>
  <si>
    <t>Shimenawa's Reminiscence</t>
  </si>
  <si>
    <t>-15 per skill use</t>
  </si>
  <si>
    <t>Scroll of the Hero of Cinder City</t>
  </si>
  <si>
    <t>Add 6 energy per Nightsoul Burst</t>
  </si>
  <si>
    <t>Scholar</t>
  </si>
  <si>
    <t>3 for all bow and catalyst users every time this character gets a particle on-field, with 3s cooldown</t>
  </si>
  <si>
    <t>The Exile</t>
  </si>
  <si>
    <t>6 for all party members except the wearer</t>
  </si>
  <si>
    <t>Character abilities</t>
  </si>
  <si>
    <t>See the character explanation in the bottom of the green section</t>
  </si>
  <si>
    <t>Normal attacks</t>
  </si>
  <si>
    <t>See the wiki for more information</t>
  </si>
  <si>
    <t>Particles 1</t>
  </si>
  <si>
    <t>Particles 2</t>
  </si>
  <si>
    <t>Particles 3</t>
  </si>
  <si>
    <t>Flat 1</t>
  </si>
  <si>
    <t>Flat 2</t>
  </si>
  <si>
    <t>Flat 3</t>
  </si>
  <si>
    <t>Variance 3</t>
  </si>
  <si>
    <t>Per second 1</t>
  </si>
  <si>
    <t>Per second 2</t>
  </si>
  <si>
    <t>Per second 3</t>
  </si>
  <si>
    <t>Duration 1</t>
  </si>
  <si>
    <t>Duration 2</t>
  </si>
  <si>
    <t>Duration 3</t>
  </si>
  <si>
    <t>Cooldown 1</t>
  </si>
  <si>
    <t>Cooldown 2</t>
  </si>
  <si>
    <t>Cooldown 3</t>
  </si>
  <si>
    <t>Burst Energy</t>
  </si>
  <si>
    <t>Burst Discount</t>
  </si>
  <si>
    <t>ER</t>
  </si>
  <si>
    <t>Help (flexible)</t>
  </si>
  <si>
    <t>Help (fixed)</t>
  </si>
  <si>
    <t>Error (flexible)</t>
  </si>
  <si>
    <t>Error (fixed)</t>
  </si>
  <si>
    <t>Albedo</t>
  </si>
  <si>
    <t/>
  </si>
  <si>
    <t>Albedo's skill triggers every 2.5s and distributes its particles based on time spent on field. Albedo C1 gains 1.2 energy per E trigger. Put this in "Bonus non-particle energy".</t>
  </si>
  <si>
    <t>Alhaitham</t>
  </si>
  <si>
    <t>Projection Attack</t>
  </si>
  <si>
    <t>Aloy</t>
  </si>
  <si>
    <t>Amber</t>
  </si>
  <si>
    <t>Feed Amber's particles to whoever will be on field when Baron Bunny explodes.</t>
  </si>
  <si>
    <t>Arlecchino</t>
  </si>
  <si>
    <t>Arlecchino's burst resets her skill cooldown. Arlecchino's Normal Attacks reduce her skill cooldown by .8s on hit. Arlecchino's C4 gives her 15 energy on burst. But this in "Bonus non-particle energy". Divide this energy by the number of rotations between bursts.</t>
  </si>
  <si>
    <t>Ayaka</t>
  </si>
  <si>
    <t>Ayato</t>
  </si>
  <si>
    <t>On field</t>
  </si>
  <si>
    <t>Off field</t>
  </si>
  <si>
    <t>Hybrid</t>
  </si>
  <si>
    <t>Ayato's A4 gives him 2 energy per second if he is not on field and has less than 40 energy. Put this in "Bonus non-particle energy". Hybrid Ayato does one attack after each E before swapping out.</t>
  </si>
  <si>
    <t>Baizhu</t>
  </si>
  <si>
    <t>Barbara</t>
  </si>
  <si>
    <t>Barbara C1 gains 1 energy per 10 seconds. Put this in "Bonus non-particle energy".</t>
  </si>
  <si>
    <t>Beidou</t>
  </si>
  <si>
    <t>0 stacks</t>
  </si>
  <si>
    <t>1 stack</t>
  </si>
  <si>
    <t>Perfect</t>
  </si>
  <si>
    <t>Beidou's skill type is how many times she gets hit while holding her skill.</t>
  </si>
  <si>
    <t>Bennett</t>
  </si>
  <si>
    <t>Candace</t>
  </si>
  <si>
    <t>Childe</t>
  </si>
  <si>
    <t>Charlotte</t>
  </si>
  <si>
    <t>Full Hold</t>
  </si>
  <si>
    <t>When enemies marked by Charlotte's skill are defeated, its cooldown is reduced by 2s, up to a maximum of 8s. Charlotte's C4 gives her 2 flat energy for each marked enemy hit by her burst, up to 10.</t>
  </si>
  <si>
    <t>Chasca</t>
  </si>
  <si>
    <t>Chasca's C4 restores up to 9 energy per Burst. Put this in "Bonus non-particle energy".</t>
  </si>
  <si>
    <t>Chevreuse</t>
  </si>
  <si>
    <t>Chevreuse's C1 gives 6 energy to any ally with the Coordinated Tactics status that triggers Overload, once per 10 seconds. Put this in "Bonus non-particle energy".</t>
  </si>
  <si>
    <t>Chiori</t>
  </si>
  <si>
    <t>Chongyun</t>
  </si>
  <si>
    <t>Chongyun C4 regenerates 1 Energy every time he hits an opponent affected by Cryo, once per 2 seconds. Put this in "Bonus non-particle energy".</t>
  </si>
  <si>
    <t>Constellation 4</t>
  </si>
  <si>
    <t>Citlali's C4 restores 8 energy per Skill. The "Constellation 4" Skill use already counts this.</t>
  </si>
  <si>
    <t>Clorinde</t>
  </si>
  <si>
    <t>Swift Hunt, Impale the Night, C1, and C6 share particle ICD of 2s. This results in 4 particles per skill. Put one Skill use per full Skill uptime used.</t>
  </si>
  <si>
    <t>Collei</t>
  </si>
  <si>
    <t>Collei's C1 gives her 20% ER when not on field. This reduces her ER needs by about 10%.</t>
  </si>
  <si>
    <t>Cyno</t>
  </si>
  <si>
    <t>Press (no burst)</t>
  </si>
  <si>
    <t>Press (in burst)</t>
  </si>
  <si>
    <t>Cyno's skill generates fewer particles during his burst. Cyno's C4 gives all other party members 3 energy per reaction triggered, up to 15 energy. Put this in "Bonus non-particle energy".</t>
  </si>
  <si>
    <t>Dehya</t>
  </si>
  <si>
    <t>Constellation 2</t>
  </si>
  <si>
    <t>Dehya's skill doesn't generate particles while Dehya is using her burst. Dehya's C4 gives her a total of 15 energy per burst. Put this in "Bonus non-particle energy".</t>
  </si>
  <si>
    <t>Dehya's C4 gives her a total of 15 energy per burst. Put this in "Bonus non-particle energy". Divide this energy by the number of rotations between bursts.</t>
  </si>
  <si>
    <t>Diluc</t>
  </si>
  <si>
    <t>3-skill combo</t>
  </si>
  <si>
    <t>One use of Diluc's skill represents a full three-skill combo.</t>
  </si>
  <si>
    <t>Diona</t>
  </si>
  <si>
    <t>Diona C1 gains 15 energy on burst. Put this in "Bonus non-particle energy".</t>
  </si>
  <si>
    <t>Diona C1 gains 15 energy on burst. Put this in "Bonus non-particle energy". Divide this energy by the number of rotations between bursts.</t>
  </si>
  <si>
    <t>Dori</t>
  </si>
  <si>
    <t>Dori's A4 is already factored in, don't give her flat energy. Dori's C4 means some of your characters may need slighly less ER than recommended.</t>
  </si>
  <si>
    <t>Emilie</t>
  </si>
  <si>
    <t>Burst</t>
  </si>
  <si>
    <t>Only level 1-2 Lumidouce Cases generate particles. As Emilie's Burst replaces her case, you will miss one particle.</t>
  </si>
  <si>
    <t>Eula</t>
  </si>
  <si>
    <t>Faruzan</t>
  </si>
  <si>
    <t>Aimed Shot</t>
  </si>
  <si>
    <t>No Aimed Shot</t>
  </si>
  <si>
    <t>C6 triggers</t>
  </si>
  <si>
    <t>Faruzan only generates particles when she uses an aimed shot after her skill, or when C6 triggers, with a shared 5.5s ICD. C4 gives her 2-4 energy per skill use or C6 trigger, with no ICD.</t>
  </si>
  <si>
    <t>Fischl</t>
  </si>
  <si>
    <t>Constellation 6</t>
  </si>
  <si>
    <t>The Oz generated by Fischl's burst doesn't count as a skill use. "Skill uses per burst" should be the number of times you summon Oz with the skill (E) specifically.</t>
  </si>
  <si>
    <t>The Oz generated by Fischl's burst doesn't count as a skill use. "Skill uses per rotation" should be 0.5 if you use Fischl burst every second rotation.</t>
  </si>
  <si>
    <t>Freminet</t>
  </si>
  <si>
    <t>Level 0 (no burst)</t>
  </si>
  <si>
    <t>Level 0 (burst)</t>
  </si>
  <si>
    <t>Level 4</t>
  </si>
  <si>
    <t>Freminet's burst resets his skill cooldown and reduces its cooldown to 3s. His A1 reduces his skill cooldown by 1s if unleashed at level 1-3. His C2 restores 2-3 energy per skill use.</t>
  </si>
  <si>
    <t>Furina</t>
  </si>
  <si>
    <t>Salon Members</t>
  </si>
  <si>
    <t>Singer</t>
  </si>
  <si>
    <t>Furina's C4 gives her 0.8 energy per second while her skill is active. Multiply this by Furina's "time between bursts" and put this in "Bonus non-particle energy"</t>
  </si>
  <si>
    <t>Furina's C4 gives her 0.8 energy per second while her skill is active. Multiply this by the rotation length and put this in "Bonus non-particle energy"</t>
  </si>
  <si>
    <t>Gaming</t>
  </si>
  <si>
    <t>Gaming generates particles when he uses Plunging Attack: Charmed Cloudstrider, with a 3 second ICD. Gaming's C4 adds an additional 2 flat energy per enemy hit. Put this in "Bonus non-particle energy".</t>
  </si>
  <si>
    <t>Ganyu</t>
  </si>
  <si>
    <t xml:space="preserve">Feed half of Ganyu's particles to whoever will be on field when the Ice Lotus explodes. Ganyu C1 gives her 2 energy per charged shot. Put this in "Bonus non-particle energy". </t>
  </si>
  <si>
    <t>Gorou</t>
  </si>
  <si>
    <t>Heizou</t>
  </si>
  <si>
    <t>0-1 stacks</t>
  </si>
  <si>
    <t>2-3 stacks</t>
  </si>
  <si>
    <t>Full stacks</t>
  </si>
  <si>
    <t>Heizou gains stacks by triggering swirl reactions or by holding his elemental skill. Heizou's C4 gives him 13.5 energy on burst. Put this in "Bonus non-particle energy".</t>
  </si>
  <si>
    <t>Heizou's C4 gives him 13.5 energy on burst. Put this in "Bonus non-particle energy". Divide this energy by the number of rotations between bursts.</t>
  </si>
  <si>
    <t>Hu Tao</t>
  </si>
  <si>
    <t>Hu Tao's skill use assumes 2 particle generation triggers. Hu Tao doesn't generally need to burst every rotation.</t>
  </si>
  <si>
    <t>Iansan</t>
  </si>
  <si>
    <t>Iansan's C1 restore 15 energy when Nightsoul Points are consumed. This can happen once every 15s. Put this in "Bonus non-particle energy".</t>
  </si>
  <si>
    <t>Itto</t>
  </si>
  <si>
    <t>Itto C2 gives him 6-18 energy on burst, depending on the number of Geo characters in the team. Put this in "Bonus non-particle energy".</t>
  </si>
  <si>
    <t>Itto C2 gives him 6-18 energy on burst, depending on the number of Geo characters in the team. Put this in "Bonus non-particle energy". Divide this energy by the number of rotations between bursts.</t>
  </si>
  <si>
    <t>Jean</t>
  </si>
  <si>
    <t>Jean's burst cost is reduced by 16 due to her A4 passive.</t>
  </si>
  <si>
    <t>The discount on Jean's burst from her A4 passive is already included and does not need to be in "Bonus non-particle energy".</t>
  </si>
  <si>
    <t>Kachina</t>
  </si>
  <si>
    <t>Independent</t>
  </si>
  <si>
    <t>Mounted</t>
  </si>
  <si>
    <t>Kachina generates particles per skill hit. If Nightsoul points are used to move around, she may generate less energy. C2 adds skill hits. Add .33 skills if C2.</t>
  </si>
  <si>
    <t>Kachina generates particles per skill hit. If Nighsoul points are used to move around, she may generate less energy. C2 adds skill hits. Add .33 skills if C2.</t>
  </si>
  <si>
    <t>Kaeya</t>
  </si>
  <si>
    <t>0 freezes</t>
  </si>
  <si>
    <t>1 freeze</t>
  </si>
  <si>
    <t>2+ freezes</t>
  </si>
  <si>
    <t>Kaeya's skill type is determined by the number of enemies he freezes with his skill. Kaeya's C6 gains 15 energy on burst. Put this in "Bonus non-particle energy".</t>
  </si>
  <si>
    <t>Kaveh</t>
  </si>
  <si>
    <t>Kazuha</t>
  </si>
  <si>
    <t>Keqing</t>
  </si>
  <si>
    <t>C2 proc</t>
  </si>
  <si>
    <t xml:space="preserve">Keqing's C2 can trigger at most once per 5 seconds. </t>
  </si>
  <si>
    <t>Kirara</t>
  </si>
  <si>
    <t>Final Kick</t>
  </si>
  <si>
    <t>Collision</t>
  </si>
  <si>
    <t>Kirara can generate up to one collision particle every 4 seconds when using her hold skill, with the first particle being generated immediately</t>
  </si>
  <si>
    <t>Kinich</t>
  </si>
  <si>
    <t>Kinich's Scalespiker Cannon can generate particles once per Skill use. Kinich's C4 restores 5 Energy after using Loop Shots or Scalespiker Cannon. Put this in "Bonus non-particle Energy"</t>
  </si>
  <si>
    <t>Klee</t>
  </si>
  <si>
    <t>Klee's A4 gives every team member 2 energy whenever her charged attack crits. Put this in every character's "Bonus non-particle energy".</t>
  </si>
  <si>
    <t>Kokomi</t>
  </si>
  <si>
    <t>Refresh</t>
  </si>
  <si>
    <t>No refresh</t>
  </si>
  <si>
    <t>Kokomi's skill type determines whether her burst refreshes her jellyfish.</t>
  </si>
  <si>
    <t>Kokomi's skill distributes particles based on time spent on field. Kokomi's burst refreshes her jellyfish.</t>
  </si>
  <si>
    <t>Kuki Shinobu</t>
  </si>
  <si>
    <t>Kuki Shinobu's C4 triggers 3 times and has a 45% chance of generating a particle on each trigger</t>
  </si>
  <si>
    <t>Layla</t>
  </si>
  <si>
    <t>1 volley</t>
  </si>
  <si>
    <t>2 volleys</t>
  </si>
  <si>
    <t>3 volleys</t>
  </si>
  <si>
    <t>Layla's C2 gives her 4 energy per volley of shooting stars. Put this in "Bonus non-particle energy".</t>
  </si>
  <si>
    <t>Lisa</t>
  </si>
  <si>
    <t>Lisa's C1 gives her 2 energy per enemy hit with her held skill. Put this in "Bonus non-particle energy".</t>
  </si>
  <si>
    <t>Lynette</t>
  </si>
  <si>
    <t>Lynette's C4 gives her an extra charge on her elemental skill.</t>
  </si>
  <si>
    <t>Lyney</t>
  </si>
  <si>
    <t>Lyney gets 3 energy whenever he consumes HP using a fully-charged attack. Put this in "Bonus non-particle energy".</t>
  </si>
  <si>
    <t>Mavuika does not use Energy to Burst. Ignore her energy requirement.</t>
  </si>
  <si>
    <t>Mika</t>
  </si>
  <si>
    <t>Mika's C4 gives him up to 15 energy per burst. Put this in "Bonus non-particle energy".</t>
  </si>
  <si>
    <t>Mika's C4 gives him up to 15 energy per burst. Put this in "Bonus non-particle energy". Divide this energy by the number of rotations between bursts.</t>
  </si>
  <si>
    <t>Mona</t>
  </si>
  <si>
    <t>Feed Mona's particles to whoever will be on field when her skill explodes.</t>
  </si>
  <si>
    <t>Mualani</t>
  </si>
  <si>
    <t>Mualani's Sharky Bites can generate particles once per Skill use. Mualani's C4 restores 8 energy per puffer. She will gain 2 puffers per Skill.  Put this in "Bonus non-particle Energy"</t>
  </si>
  <si>
    <t>Mualani's Sharky Bites can generate particles once per Skill use. Mualani's C4 restores 8 energy per puffer. She will gain 2 puffers per Skill.</t>
  </si>
  <si>
    <t>Nahida</t>
  </si>
  <si>
    <t>Nahida's skill generates 3 particles every 8.25 seconds on average.</t>
  </si>
  <si>
    <t>Navia</t>
  </si>
  <si>
    <t>Navia's C1 gives her 3 flat energy per Crystal Shrapnel stack consumed, up to a maximum of 9. Put this in "Bonus non-particle energy".</t>
  </si>
  <si>
    <t>Neuvillette</t>
  </si>
  <si>
    <t>Nilou</t>
  </si>
  <si>
    <t>Nilou's C4 gives her 15 energy per skill use. Put this in "Bonus non-particle energy".</t>
  </si>
  <si>
    <t>Ningguang</t>
  </si>
  <si>
    <t>Ningguang's skill only generates particles if she waits at least 6 seconds between skill uses. Do not include skill uses which do not generate particles.</t>
  </si>
  <si>
    <t>Nobody</t>
  </si>
  <si>
    <t>None</t>
  </si>
  <si>
    <t>Noelle</t>
  </si>
  <si>
    <t>Noelle's burst typically lasts longer than 15 seconds due to hitlag, so you can burst every 20 seconds and still have full uptime.</t>
  </si>
  <si>
    <t>Ororon</t>
  </si>
  <si>
    <t>Ororon's C4 restores 8 flat energy after his burst. Ororon's A4 restores 3 energy 3 times to him and your on-fielder. The 9 energy from this is already considered in his skill. Put this in 'Bonus non-particle energy".</t>
  </si>
  <si>
    <t>Qiqi</t>
  </si>
  <si>
    <t>Qiqi's C1 gives her 2 energy per hit with her Herald of Frost. Put this in "Bonus non-particle energy".</t>
  </si>
  <si>
    <t>Raiden</t>
  </si>
  <si>
    <t>Raiden's burst gives the entire team energy based on Raiden's ER, typically 20-25 energy. Put this in every character's "Bonus non-particle energy".</t>
  </si>
  <si>
    <t>Razor</t>
  </si>
  <si>
    <t>Don't include Razor's skill uses during his burst, as they don't generate particles. Razor's burst cost is reduced by 5, and his ER needs reduced by 45%, to account for his talents.</t>
  </si>
  <si>
    <t>Rosaria</t>
  </si>
  <si>
    <t>Rosaria's C4 gives her 5 energy when her skill crits. Put this in "Bonus non-particle energy".</t>
  </si>
  <si>
    <t>Sara</t>
  </si>
  <si>
    <t>Sara only generates particles when she uses an aimed shot after her skill, even with C2. Sara's A4 gives the party 1.2 energy for every 100% ER she has. Put this in "Bonus non-particle energy".</t>
  </si>
  <si>
    <t>Sayu</t>
  </si>
  <si>
    <t>Short Hold</t>
  </si>
  <si>
    <t>Sethos</t>
  </si>
  <si>
    <t>Full CA</t>
  </si>
  <si>
    <t>Partial CA</t>
  </si>
  <si>
    <t>If Sethos does not use his burst, switch to fixed rotation mode (cell C5).</t>
  </si>
  <si>
    <t>If Sethos does not use his burst, put 0 in "Number of rotations between bursts".</t>
  </si>
  <si>
    <t>Shenhe</t>
  </si>
  <si>
    <t>Shinobu</t>
  </si>
  <si>
    <t>Sigewinne</t>
  </si>
  <si>
    <t>Sucrose</t>
  </si>
  <si>
    <t>Tartaglia</t>
  </si>
  <si>
    <t>7-9s melee</t>
  </si>
  <si>
    <t>11s melee</t>
  </si>
  <si>
    <t>If Tartaglia is using ranged burst, put 20 in "Bonus non-particle energy". Use the "Aimed Shot" skill in "Skill uses (other type)" for the number of aimed shots done in ranged form.</t>
  </si>
  <si>
    <t>Tighnari</t>
  </si>
  <si>
    <t>Thoma</t>
  </si>
  <si>
    <t>Thoma C4 gains 15 energy on burst. Put this in "Bonus non-particle energy".</t>
  </si>
  <si>
    <t>Thoma C4 gains 15 energy on burst. Put this in "Bonus non-particle energy". Divide this energy by the number of rotations between bursts.</t>
  </si>
  <si>
    <t>Traveler (Anemo)</t>
  </si>
  <si>
    <t>Anemo Traveler's C2 is ignored, since it appears in their stats screen</t>
  </si>
  <si>
    <t>Traveler (Dendro)</t>
  </si>
  <si>
    <t>Dendro Traveler's C1 is already factored in and does not need to be added to "Bonus non-particle energy".</t>
  </si>
  <si>
    <t>Traveler (Electro)</t>
  </si>
  <si>
    <t>Electro Traveler's skill generates 12 energy. Their burst gives about 16 energy. Put these in the "Bonus non-particle energy" of whoever uses them. Also consider the amulet ER bonus.</t>
  </si>
  <si>
    <t>Traveler (Geo)</t>
  </si>
  <si>
    <t>Geo Traveler's burst gives 5 energy per enemy hit. Put this in "Bonus non-particle energy".</t>
  </si>
  <si>
    <t>Geo Traveler's burst gives 5 energy per enemy hit. Put this in "Bonus non-particle energy". Divide this energy by the number of rotations between bursts.</t>
  </si>
  <si>
    <t>Traveler (Hydro)</t>
  </si>
  <si>
    <t>Hydro Traveler's C1 gives 2-8 energy when holding the elemental skill. Put this in "Bonus non-particle energy".</t>
  </si>
  <si>
    <t>Blazing Threshold can trigger once every 2.9s, for a max of 4 per Skill. C2 and Burst restore Nightsoul Points for more particles. They gain 5 energy when a Pyro reaction is triggered with a 12s cooldown and 4 energy when a teammate triggers Nightsoul Burst. Put this in "Bonus non-particle energy".</t>
  </si>
  <si>
    <t>Venti</t>
  </si>
  <si>
    <t>Venti's burst cost is reduced by 15 due to his A4 passive. It also gives energy to any characters of the element absorbed by the burst. Put this in those characters' "Bonus non-particle energy".</t>
  </si>
  <si>
    <t>Wanderer</t>
  </si>
  <si>
    <t>8-10s uptime</t>
  </si>
  <si>
    <t>6-8s uptime</t>
  </si>
  <si>
    <t>If Wanderer absorbs Electro with his skill, he will gain approximately 13 energy per skill use. Put this in "Bonus non-particle energy".</t>
  </si>
  <si>
    <t>Wriothesley</t>
  </si>
  <si>
    <t>NA during skill</t>
  </si>
  <si>
    <t>Vaulting Fist</t>
  </si>
  <si>
    <t>Wriothesley generates 1 particle on-hit from his normal attack during his skill if above 50% HP with a 2s ICD. Rebuke: Vaulting Fist shares this ICD and will generate 1 Elemental Particle on-hit.</t>
  </si>
  <si>
    <t>Xiangling</t>
  </si>
  <si>
    <t>Xiangling's Guoba is assumed to hit 4 times. If you want to assume it only hits twice, count that as 0.5 skill uses. Gouba's particles are distributed based on time spent on field.</t>
  </si>
  <si>
    <t>Xianyun</t>
  </si>
  <si>
    <t>Xianyun generates particles when using her special plunge attack, Driftcloud Wave, after using her skill.</t>
  </si>
  <si>
    <t>Xiao</t>
  </si>
  <si>
    <t>Xilonen</t>
  </si>
  <si>
    <t>Xilonen can trigger Nightsoul Burst an additional time due to her A4 passive. Add 6 flat energy per Skill if using Scroll. Put this in "Bonus non-particle energy".</t>
  </si>
  <si>
    <t>Xingqiu</t>
  </si>
  <si>
    <t>Xingqiu's C6 gives him 3 energy on every third Sword Rain trigger, typically 12 energy in total. Put this in "Bonus non-particle energy".</t>
  </si>
  <si>
    <t>Xingqiu's C6 gives him 3 energy on every third Sword Rain trigger, typically 12 energy in total. Put this in "Bonus non-particle energy". Divide this energy by the number of rotations between bursts.</t>
  </si>
  <si>
    <t>Xinyan</t>
  </si>
  <si>
    <t>Yae Miko</t>
  </si>
  <si>
    <t>3 totems</t>
  </si>
  <si>
    <t>One use of Yae's skill represents all 3 totems. Yae generates a particle once per 2.5-3s, 2.75s is assumed as average. Yae's C1 gives her up to 24 flat energy.</t>
  </si>
  <si>
    <t>Yanfei</t>
  </si>
  <si>
    <t>Yaoyao</t>
  </si>
  <si>
    <t>Yaoyao's C2 gives her 15 flat energy if she stays on field during her burst. Put this in "Bonus non-particle energy". Yaoyao's radishes only generate particles if the explosion hits an enemy.</t>
  </si>
  <si>
    <t>Yelan</t>
  </si>
  <si>
    <t>Yoimiya</t>
  </si>
  <si>
    <t>Yoimiya Skill can sometimes make 5 particles. If you want to assume this put 1.25 in Skill uses.</t>
  </si>
  <si>
    <t>Yumemizuki Mizuki</t>
  </si>
  <si>
    <t>Mizuki's skill only generates energy when she is on-field. Mizuki's C4 restores 20 energy per Burst. Put this in "Bonus non-particle energy".</t>
  </si>
  <si>
    <t>Yun Jin</t>
  </si>
  <si>
    <t>Level 1</t>
  </si>
  <si>
    <t>Level 2</t>
  </si>
  <si>
    <t>Zhongli</t>
  </si>
  <si>
    <t>Miss pillar</t>
  </si>
  <si>
    <t>Zhongli's pillar is assumed to hit on every pulse, and distributes its particles based on time spent on field. If you don't want the pillar to hit, put "miss pillar".</t>
  </si>
  <si>
    <t>This is the average particles generated by the skill type in Label 1</t>
  </si>
  <si>
    <t>This is the average particles generated by the skill type in Label 2</t>
  </si>
  <si>
    <t>This is the average particles generated by the skill type in Label 3</t>
  </si>
  <si>
    <t>This is equal to (maximum particles generated - average particles generated)/(average particles generated) for non-turret effects. For turrets, it's 50% if there's particle RNG and 0% otherwise. Bolded entries don't fit the standard formula. Used in safe/worst-case calculations.</t>
  </si>
  <si>
    <t>This is the average particles generated per second from turrets (effects that generate particles periodically over time)</t>
  </si>
  <si>
    <t>This is the duration of a turret effect</t>
  </si>
  <si>
    <t>The cooldown of the skill (not the ICD of particle generation, that goes in help)</t>
  </si>
  <si>
    <t>This is a constant discount to burst or flat energy generated on burst that is always applied. It's generally an A1 or A4, not a constellation effect.</t>
  </si>
  <si>
    <t>This is if a character has an effect that gives them extra ER temporarily. It's equal to the average amount of ER given over a typical rotation.</t>
  </si>
  <si>
    <t>This is the help text in the bottom-right. It's shown when the rotation mode is flexible.</t>
  </si>
  <si>
    <t>This is the help text in the bottom-right. It's shown when the rotation mode is fixed.</t>
  </si>
  <si>
    <t>On-Field</t>
  </si>
  <si>
    <t>Right-Element</t>
  </si>
  <si>
    <t>No-Element</t>
  </si>
  <si>
    <t>Wrong-Element</t>
  </si>
  <si>
    <t>Orb</t>
  </si>
  <si>
    <t>Off-Field</t>
  </si>
  <si>
    <t>Orbs per run</t>
  </si>
  <si>
    <t>Run duration</t>
  </si>
  <si>
    <t>HP Particles Dropped</t>
  </si>
  <si>
    <t>Energy Collected</t>
  </si>
  <si>
    <t>Chamber</t>
  </si>
  <si>
    <t>_Clear</t>
  </si>
  <si>
    <t>_Anemo</t>
  </si>
  <si>
    <t>_Cryo</t>
  </si>
  <si>
    <t>_Dendro</t>
  </si>
  <si>
    <t>_Electro</t>
  </si>
  <si>
    <t>_Geo</t>
  </si>
  <si>
    <t>_Hydro</t>
  </si>
  <si>
    <t>_Pyro</t>
  </si>
  <si>
    <t>Description</t>
  </si>
  <si>
    <t>No Particles</t>
  </si>
  <si>
    <t>Enemies drop no particles</t>
  </si>
  <si>
    <t>Custom</t>
  </si>
  <si>
    <t>Enter the number of clear particles dropped by enemies</t>
  </si>
  <si>
    <t>Edit this section with the total particles generated on each chamber half</t>
  </si>
  <si>
    <t>Don't edit this section</t>
  </si>
  <si>
    <t>12-1-1</t>
  </si>
  <si>
    <t>12-1-2</t>
  </si>
  <si>
    <t>12-2-1</t>
  </si>
  <si>
    <t>12-2-2</t>
  </si>
  <si>
    <t>12-3-1</t>
  </si>
  <si>
    <t>12-3-2</t>
  </si>
  <si>
    <t>Put these labels in A6:A11 if you add abyss particle information. I've stopped doing this due to effort</t>
  </si>
  <si>
    <t>Added Yumemizuki Mizuki</t>
  </si>
  <si>
    <t>1.61.1</t>
  </si>
  <si>
    <t>Fixed Ororon note</t>
  </si>
  <si>
    <t>1.61.0</t>
  </si>
  <si>
    <t>Added Lan Yan</t>
  </si>
  <si>
    <t>1.60.3</t>
  </si>
  <si>
    <t>Added PMC, increased note space, and fixed previous incorrect version numbering</t>
  </si>
  <si>
    <t>1.60.2</t>
  </si>
  <si>
    <t>Fixed Chasca note &amp; updated consistency between press &amp; skill</t>
  </si>
  <si>
    <t>1.60.1</t>
  </si>
  <si>
    <t>Fixed issue where Yoimiya, Yelan, and Zhongli were not displayed</t>
  </si>
  <si>
    <t>1.60.0</t>
  </si>
  <si>
    <t>Added Mavuika and Citlali</t>
  </si>
  <si>
    <t>1.59.0</t>
  </si>
  <si>
    <t>Added Ororon and Chasca</t>
  </si>
  <si>
    <t>1.58.2</t>
  </si>
  <si>
    <t>Fixed Xilonen skill CD</t>
  </si>
  <si>
    <t>1.58.1</t>
  </si>
  <si>
    <t>Added Xilonen note</t>
  </si>
  <si>
    <t>1.58.0</t>
  </si>
  <si>
    <t>Added Xilonen and Scroll note</t>
  </si>
  <si>
    <t>1.57.0</t>
  </si>
  <si>
    <t>Added Kinich</t>
  </si>
  <si>
    <t>1.56.1</t>
  </si>
  <si>
    <t>Changed Mualani and added Kitain note</t>
  </si>
  <si>
    <t>1.56.0</t>
  </si>
  <si>
    <t>Added Kachina and Mualani</t>
  </si>
  <si>
    <t>1.55.1</t>
  </si>
  <si>
    <t>Changed default rotations per burst from 0 → 1</t>
  </si>
  <si>
    <t>1.55.0</t>
  </si>
  <si>
    <t>Added Emilie</t>
  </si>
  <si>
    <t>1.54.0</t>
  </si>
  <si>
    <t>Added Sigewinne</t>
  </si>
  <si>
    <t>1.53.0</t>
  </si>
  <si>
    <t>Added Sethos</t>
  </si>
  <si>
    <t>Added functionality for skills to generate flat energy, this is used by Sethos and Nilou C4.</t>
  </si>
  <si>
    <t>Added the option of 0 rotations between bursts for characters that do not use their burst; this is only really useful for Sethos.</t>
  </si>
  <si>
    <t>1.52.1</t>
  </si>
  <si>
    <t>Changed Alhaitham and fixed Clorinde CD</t>
  </si>
  <si>
    <t>1.52.0</t>
  </si>
  <si>
    <t>Added Clorinde</t>
  </si>
  <si>
    <t>1.51.3</t>
  </si>
  <si>
    <t>Added Yoimiya note</t>
  </si>
  <si>
    <t>1.51.2</t>
  </si>
  <si>
    <t>Fixed some error highlighting</t>
  </si>
  <si>
    <t>1.51.1</t>
  </si>
  <si>
    <t>Fixed mislabeling of previous version</t>
  </si>
  <si>
    <t>1.51.0</t>
  </si>
  <si>
    <t>Added Arlecchino</t>
  </si>
  <si>
    <t>1.50.1</t>
  </si>
  <si>
    <t>Changed Chiori particle variance</t>
  </si>
  <si>
    <t>1.50.0</t>
  </si>
  <si>
    <t>Added Chiori</t>
  </si>
  <si>
    <t>1.49.2</t>
  </si>
  <si>
    <t>Fixed particle distribution for turret skills used as secondary skill</t>
  </si>
  <si>
    <t>1.49.1</t>
  </si>
  <si>
    <t>Fixed typo on Gaming's note. Previous note said energy on C2</t>
  </si>
  <si>
    <t>1.49.0</t>
  </si>
  <si>
    <t>Added Gaming and Xianyun</t>
  </si>
  <si>
    <t>1.48.0</t>
  </si>
  <si>
    <t>Added Chevreuse</t>
  </si>
  <si>
    <t>1.47.1</t>
  </si>
  <si>
    <t>Changed Furina's particle generation to account for procs not lining up perfectly with ICD</t>
  </si>
  <si>
    <t>1.47.0</t>
  </si>
  <si>
    <t>Added Navia</t>
  </si>
  <si>
    <t>1.46.0</t>
  </si>
  <si>
    <t>Added Furina and Charlotte</t>
  </si>
  <si>
    <t>1.45.0</t>
  </si>
  <si>
    <t>Added Wriothesley</t>
  </si>
  <si>
    <t>1.44.0</t>
  </si>
  <si>
    <t>Added Neuvillette</t>
  </si>
  <si>
    <t>1.43.0</t>
  </si>
  <si>
    <t>Added Freminet</t>
  </si>
  <si>
    <t>Fixed Faruzan particle variance and updated help text</t>
  </si>
  <si>
    <t>1.42.1</t>
  </si>
  <si>
    <t>Fixed Hydro Traveler particle data</t>
  </si>
  <si>
    <t>1.42.0</t>
  </si>
  <si>
    <t>Added Lyney, Lynette and Hydro Traveler. Hydro Traveler particles are uncertain and may be updated based on further information.</t>
  </si>
  <si>
    <t>1.41.2</t>
  </si>
  <si>
    <t>Fixed bug which didn't allow selecting "don't know" as feed target</t>
  </si>
  <si>
    <t>1.41.1</t>
  </si>
  <si>
    <t>Added Dehya C2 effect</t>
  </si>
  <si>
    <t>1.41.0</t>
  </si>
  <si>
    <t>Updated Abyss HP particles for version 3.7</t>
  </si>
  <si>
    <t>1.40.0</t>
  </si>
  <si>
    <t>Added Kirara</t>
  </si>
  <si>
    <t>1.39.0</t>
  </si>
  <si>
    <t>Added Baizhu and Kaveh</t>
  </si>
  <si>
    <t>Updated abyss HP particles to 3.6</t>
  </si>
  <si>
    <t>1.38.4</t>
  </si>
  <si>
    <t>Fixed variance calculations for turret skills</t>
  </si>
  <si>
    <t>1.38.3</t>
  </si>
  <si>
    <t>Removed variance from Nahida particle generation</t>
  </si>
  <si>
    <t>1.38.2</t>
  </si>
  <si>
    <t>Fixed bug in fischl calcs for 0 skill uses</t>
  </si>
  <si>
    <t>1.38.1</t>
  </si>
  <si>
    <t>Fixed bug related to using two different kinds of turret skills on the same character</t>
  </si>
  <si>
    <t>1.38.0</t>
  </si>
  <si>
    <t>Added Mika with estimate of particle generation, may be updated based on further information</t>
  </si>
  <si>
    <t>Updated some help text for fixed rotation mode</t>
  </si>
  <si>
    <t>Added link to ERC guide</t>
  </si>
  <si>
    <t>Added Childe as another name for Tartaglia</t>
  </si>
  <si>
    <t>1.37.0</t>
  </si>
  <si>
    <t>Added a choice to use either fixed rotation mode or flexible rotation mode. This is a big change and may have introduced bugs.</t>
  </si>
  <si>
    <t>Fixed some bugs in advanced mode</t>
  </si>
  <si>
    <t>Updated abyss HP particles for 3.5</t>
  </si>
  <si>
    <t>1.36.0</t>
  </si>
  <si>
    <t>Added Advanced Mode. Enable this by unhiding rows 14-25</t>
  </si>
  <si>
    <t>Rewrote energy calculations. This shouldn't have any effect unless you use advanced mode, but may introduce bugs.</t>
  </si>
  <si>
    <t>1.35.0</t>
  </si>
  <si>
    <t>Fixed a bug in the previous bugfix</t>
  </si>
  <si>
    <t>1.34.0</t>
  </si>
  <si>
    <t>Fixed a bug in calculating the particles caught by a character who feeds only some of their particles</t>
  </si>
  <si>
    <t>1.33.0</t>
  </si>
  <si>
    <t>Added Dehya</t>
  </si>
  <si>
    <t>Added "Don't Know" option for particle feeding</t>
  </si>
  <si>
    <t>Rewrote energy calculations. This shouldn't have any effect, but may introduce bugs.</t>
  </si>
  <si>
    <t>1.32.1</t>
  </si>
  <si>
    <t>Fixed incorrect enemy particle data</t>
  </si>
  <si>
    <t>1.32.0</t>
  </si>
  <si>
    <t>Removed error highlighting when Raiden doesn't have flat energy (hyperbloom teams don't usually use raiden burst)</t>
  </si>
  <si>
    <t>Updated enemy HP particles for 3.4 abyss</t>
  </si>
  <si>
    <t>1.31.0</t>
  </si>
  <si>
    <t>Reduced Alhaitham particle generation from 7 to 6 based on further testing</t>
  </si>
  <si>
    <t>1.30.0</t>
  </si>
  <si>
    <t>Added Alhaitham and Yaoyao</t>
  </si>
  <si>
    <t>1.29.0</t>
  </si>
  <si>
    <t>Fixed bug in Fischl particle generation</t>
  </si>
  <si>
    <t>1.28.0</t>
  </si>
  <si>
    <t>Fixed bug in turret particle generation</t>
  </si>
  <si>
    <t>1.27.0</t>
  </si>
  <si>
    <t>Fixed bugged Faruzan C6</t>
  </si>
  <si>
    <t>Updated Abyss to 3.3</t>
  </si>
  <si>
    <t>1.26.2</t>
  </si>
  <si>
    <t>Updated Faruzan C6 to work as a turret</t>
  </si>
  <si>
    <t>1.26.1</t>
  </si>
  <si>
    <t>Added Faruzan C6 proc partile gen</t>
  </si>
  <si>
    <t>1.26.0</t>
  </si>
  <si>
    <t>Added Wanderer</t>
  </si>
  <si>
    <t>Added Faruzan</t>
  </si>
  <si>
    <t>1.25.0</t>
  </si>
  <si>
    <t>Added Layla</t>
  </si>
  <si>
    <t>Fixed some incorrect particle values</t>
  </si>
  <si>
    <t>1.24.2</t>
  </si>
  <si>
    <t>Added HP particle info for 3.2 abyss</t>
  </si>
  <si>
    <t>1.24.1</t>
  </si>
  <si>
    <t>Added more options for Tartaglia</t>
  </si>
  <si>
    <t>1.24.0</t>
  </si>
  <si>
    <t>Added Nahida</t>
  </si>
  <si>
    <t>1.23.0</t>
  </si>
  <si>
    <t>Added Nilou</t>
  </si>
  <si>
    <t>1.22.3</t>
  </si>
  <si>
    <t>Fixed bug with Dori</t>
  </si>
  <si>
    <t>1.22.2</t>
  </si>
  <si>
    <t>Fixed bug with particle feeding</t>
  </si>
  <si>
    <t>1.22.1</t>
  </si>
  <si>
    <t>Fixed bug with Dendro Traveller</t>
  </si>
  <si>
    <t>1.22.0</t>
  </si>
  <si>
    <t>Added Cyno and Candace</t>
  </si>
  <si>
    <t>Allowed for the use of two different skill types (e.g. Kazuha doing 1 press and 1 hold)</t>
  </si>
  <si>
    <t>1.21.2</t>
  </si>
  <si>
    <t>Fixed bug in particle feeding menu</t>
  </si>
  <si>
    <t>1.21.1</t>
  </si>
  <si>
    <t>Fixed Diona and Yae particle generation in safe and worst-case scenarios</t>
  </si>
  <si>
    <t>1.21.0</t>
  </si>
  <si>
    <t>Added Dori</t>
  </si>
  <si>
    <t>1.20.3</t>
  </si>
  <si>
    <t>Automatically calculate Dendro Traveler C1 flat energy</t>
  </si>
  <si>
    <t>1.20.2</t>
  </si>
  <si>
    <t>Added Kuki Shinobu C4 particle generation</t>
  </si>
  <si>
    <t>1.20.1</t>
  </si>
  <si>
    <t>Fixed dendro not working with electro resonance</t>
  </si>
  <si>
    <t>1.20.0</t>
  </si>
  <si>
    <t>Added Collei, Tighnari, Traveler (Dendro)</t>
  </si>
  <si>
    <t>1.19.2</t>
  </si>
  <si>
    <t>Added missing skill cooldowns to some alternate skill uses</t>
  </si>
  <si>
    <t>1.19.1</t>
  </si>
  <si>
    <t>Fixed formatting issues when downloading as Excel spreadsheet</t>
  </si>
  <si>
    <t>1.19.0</t>
  </si>
  <si>
    <t>Updated to 2.8 abyss</t>
  </si>
  <si>
    <t>1.18.1</t>
  </si>
  <si>
    <t>Added Heizou C4 to help text</t>
  </si>
  <si>
    <t>1.18.0</t>
  </si>
  <si>
    <t>Added Heizou with particles based on data mine</t>
  </si>
  <si>
    <t>Updated Kuki Shinobu particles to 45% chance based on data mine</t>
  </si>
  <si>
    <t>1.17.2</t>
  </si>
  <si>
    <t>Added Klee help text</t>
  </si>
  <si>
    <t>Added Kuki Shinobu as a synonym for Shinobu</t>
  </si>
  <si>
    <t>1.17.1</t>
  </si>
  <si>
    <t>Fixed description of abyss HP particles</t>
  </si>
  <si>
    <t>1.17.0</t>
  </si>
  <si>
    <t>Added Shinobu</t>
  </si>
  <si>
    <t>1.16.0</t>
  </si>
  <si>
    <t>Updated to 2.7 abyss</t>
  </si>
  <si>
    <t>1.15.0</t>
  </si>
  <si>
    <t>Added Yelan</t>
  </si>
  <si>
    <t>1.14.2</t>
  </si>
  <si>
    <t>Updated help text</t>
  </si>
  <si>
    <t>Added guide link</t>
  </si>
  <si>
    <t>Added table of flat energy sources</t>
  </si>
  <si>
    <t>Fixed Fischl particle generation</t>
  </si>
  <si>
    <t>1.14.1</t>
  </si>
  <si>
    <t>Fixed error highlighting</t>
  </si>
  <si>
    <t>1.14.0</t>
  </si>
  <si>
    <t>Corrected an error in the abyss HP particles for 12-1-2</t>
  </si>
  <si>
    <t>1.13.1</t>
  </si>
  <si>
    <t>Updated Sara and Sayu skill options</t>
  </si>
  <si>
    <t>1.13.0</t>
  </si>
  <si>
    <t>Updated abyss HP particles for version 12.6</t>
  </si>
  <si>
    <t>1.12.0</t>
  </si>
  <si>
    <t>Added option to select "Nobody" so you can have 1-3 character teams. This includes increased energy received from off-field particles</t>
  </si>
  <si>
    <t>Fixed error when changing character results in invalid particle feeding</t>
  </si>
  <si>
    <t>Added error message when Yae uses her skill 3 times (one skill use represents 3 totems)</t>
  </si>
  <si>
    <t>Fixed incorrect error highlighting</t>
  </si>
  <si>
    <t>1.11.1</t>
  </si>
  <si>
    <t>Added "hybrid" option to Ayato</t>
  </si>
  <si>
    <t>Fixed missing skill cooldown for off-field Ayato</t>
  </si>
  <si>
    <t>1.11.0</t>
  </si>
  <si>
    <t>Added Ayato</t>
  </si>
  <si>
    <t>Changed how calculations are displayed in the bottom section</t>
  </si>
  <si>
    <t>1.10.2</t>
  </si>
  <si>
    <t>Added abyss particles for new abyss</t>
  </si>
  <si>
    <t>1.10.1</t>
  </si>
  <si>
    <t>Removed abyss particles. Will be updated for new abyss shortly</t>
  </si>
  <si>
    <t>1.10.0</t>
  </si>
  <si>
    <t>Added Yae Miko</t>
  </si>
  <si>
    <t>1.9.0</t>
  </si>
  <si>
    <t>Fixed bug in 4th character field time calculations</t>
  </si>
  <si>
    <t>1.8.0</t>
  </si>
  <si>
    <t>Fixed bug in Kokomi ER calculations</t>
  </si>
  <si>
    <t>Fixed bug which didn't allow feeding favonius particles from a turret character</t>
  </si>
  <si>
    <t>1.7.0</t>
  </si>
  <si>
    <t>Added changelog</t>
  </si>
  <si>
    <t>Added abyss chambers to enemy HP particle selection</t>
  </si>
  <si>
    <t>Replaced "press/hold" with character-specific skill types</t>
  </si>
  <si>
    <t>Added particle RNG setting</t>
  </si>
  <si>
    <t>Energy Recharge needed to burst off cooldown</t>
  </si>
  <si>
    <t>Energy generated by other characters</t>
  </si>
  <si>
    <t>Low</t>
  </si>
  <si>
    <t>Medium</t>
  </si>
  <si>
    <t>High</t>
  </si>
  <si>
    <t>Very High</t>
  </si>
  <si>
    <t>Doesn't need burst to be effective</t>
  </si>
  <si>
    <t>Electro tends to have high energy generation</t>
  </si>
  <si>
    <t>Uses burst every 25 seconds</t>
  </si>
  <si>
    <t>Doesn't need burst to be effective in melt teams</t>
  </si>
  <si>
    <t>Doesn't need to burst off cooldown to be effective</t>
  </si>
  <si>
    <t>Will often be paired with a geo support who can provide energy</t>
  </si>
  <si>
    <t>Sigils and A4 give ER but don't show up on the sheet. Gets particles from E before and after burst.</t>
  </si>
  <si>
    <t>Uses burst in ranged mode; 4 riptides per burst</t>
  </si>
  <si>
    <t>Will often be paired with another geo</t>
  </si>
  <si>
    <t>Will usually be the only hydro</t>
  </si>
  <si>
    <t>Energy generated by other characters doesn't count the energy generated by the hero you're considering. Some examples:</t>
  </si>
  <si>
    <r>
      <rPr>
        <sz val="11"/>
        <color theme="1"/>
        <rFont val="Calibri"/>
        <family val="2"/>
      </rPr>
      <t xml:space="preserve">Low team energy for </t>
    </r>
    <r>
      <rPr>
        <b/>
        <sz val="11"/>
        <color theme="1"/>
        <rFont val="Calibri"/>
        <family val="2"/>
      </rPr>
      <t>Xingqiu</t>
    </r>
    <r>
      <rPr>
        <sz val="11"/>
        <color theme="1"/>
        <rFont val="Calibri"/>
        <family val="2"/>
      </rPr>
      <t>: Hu Tao (carry), Kaeya (1 E), Diona (1 E hold)</t>
    </r>
  </si>
  <si>
    <r>
      <rPr>
        <sz val="11"/>
        <color theme="1"/>
        <rFont val="Calibri"/>
        <family val="2"/>
      </rPr>
      <t xml:space="preserve">Medium team energy for </t>
    </r>
    <r>
      <rPr>
        <b/>
        <sz val="11"/>
        <color theme="1"/>
        <rFont val="Calibri"/>
        <family val="2"/>
      </rPr>
      <t>Xiangling</t>
    </r>
    <r>
      <rPr>
        <sz val="11"/>
        <color theme="1"/>
        <rFont val="Calibri"/>
        <family val="2"/>
      </rPr>
      <t>: Ganyu (carry), Bennett (2 E), Sucrose (2 E)</t>
    </r>
  </si>
  <si>
    <r>
      <rPr>
        <sz val="11"/>
        <color theme="1"/>
        <rFont val="Calibri"/>
        <family val="2"/>
      </rPr>
      <t xml:space="preserve">High team energy for </t>
    </r>
    <r>
      <rPr>
        <b/>
        <sz val="11"/>
        <color theme="1"/>
        <rFont val="Calibri"/>
        <family val="2"/>
      </rPr>
      <t>Beidou</t>
    </r>
    <r>
      <rPr>
        <sz val="11"/>
        <color theme="1"/>
        <rFont val="Calibri"/>
        <family val="2"/>
      </rPr>
      <t>: Bennett (carry), Fischl, Xingqiu</t>
    </r>
  </si>
  <si>
    <r>
      <rPr>
        <sz val="11"/>
        <color theme="1"/>
        <rFont val="Calibri"/>
        <family val="2"/>
      </rPr>
      <t xml:space="preserve">Very high team energy for </t>
    </r>
    <r>
      <rPr>
        <b/>
        <sz val="11"/>
        <color theme="1"/>
        <rFont val="Calibri"/>
        <family val="2"/>
      </rPr>
      <t>Noelle</t>
    </r>
    <r>
      <rPr>
        <sz val="11"/>
        <color theme="1"/>
        <rFont val="Calibri"/>
        <family val="2"/>
      </rPr>
      <t>: Geo Traveller (feeding energy), Albedo, Fischl</t>
    </r>
  </si>
  <si>
    <t>All calculations are based on clearing abyss 12-3 first half (7 clear orbs) in 1:30. Slower clears require slightly more ER, around 5% per missing star.</t>
  </si>
  <si>
    <t>Ways to increase team energy generation:</t>
  </si>
  <si>
    <t>Have other characters of the same element</t>
  </si>
  <si>
    <t>For carries, have supports generate particles while off-field (Albedo, Fischl, Xiangling)</t>
  </si>
  <si>
    <t>Use characters that generate lots of energy</t>
  </si>
  <si>
    <t>Use elemental skills more often</t>
  </si>
  <si>
    <t>Use Favonius weapons and/or Venti</t>
  </si>
  <si>
    <t>Have the focus character absorb orbs generated by other characters</t>
  </si>
  <si>
    <t>See other tabs for calculation details</t>
  </si>
  <si>
    <t>Turret Uptime</t>
  </si>
  <si>
    <t>Energy Produced</t>
  </si>
  <si>
    <t>Energy Required (C0)</t>
  </si>
  <si>
    <t>Energy Required (C6)</t>
  </si>
  <si>
    <t>C0</t>
  </si>
  <si>
    <t>C6</t>
  </si>
  <si>
    <t>Notes</t>
  </si>
  <si>
    <t>Field Time</t>
  </si>
  <si>
    <t>E tap</t>
  </si>
  <si>
    <t>E hold</t>
  </si>
  <si>
    <t>Cooldown</t>
  </si>
  <si>
    <t>Energy</t>
  </si>
  <si>
    <t>Self particles</t>
  </si>
  <si>
    <t>Self Energy</t>
  </si>
  <si>
    <t>Discount</t>
  </si>
  <si>
    <t>Orbs (1:30 clear)</t>
  </si>
  <si>
    <t>Orbs (2:30 clear)</t>
  </si>
  <si>
    <t>Orbs (5:00 clear)</t>
  </si>
  <si>
    <t>Team Energy (low)</t>
  </si>
  <si>
    <t>Team Energy (medium)</t>
  </si>
  <si>
    <t>Team Energy (high)</t>
  </si>
  <si>
    <t>Team Energy (very high)</t>
  </si>
  <si>
    <t>ER (1:30 low)</t>
  </si>
  <si>
    <t>ER (1:30 med)</t>
  </si>
  <si>
    <t>ER (1:30 high)</t>
  </si>
  <si>
    <t>ER (1:30 vhigh)</t>
  </si>
  <si>
    <t>ER (2:30 low)</t>
  </si>
  <si>
    <t>ER (2:30 med)</t>
  </si>
  <si>
    <t>ER (2:30 high)</t>
  </si>
  <si>
    <t>ER (5:00 low)</t>
  </si>
  <si>
    <t>ER (5:00 med)</t>
  </si>
  <si>
    <t>ER (5:00 high)</t>
  </si>
  <si>
    <t>carry</t>
  </si>
  <si>
    <t>support</t>
  </si>
  <si>
    <t>1 E</t>
  </si>
  <si>
    <t>2 E</t>
  </si>
  <si>
    <t>ranged burst</t>
  </si>
  <si>
    <t>melee burst</t>
  </si>
  <si>
    <t>Sac trigger</t>
  </si>
  <si>
    <t>Time</t>
  </si>
  <si>
    <t>Energy per second</t>
  </si>
  <si>
    <t>As Xingqiu:</t>
  </si>
  <si>
    <t>As Xiangling:</t>
  </si>
  <si>
    <t>As Beidou:</t>
  </si>
  <si>
    <t>As Noelle:</t>
  </si>
  <si>
    <t>Ganyu x2</t>
  </si>
  <si>
    <t>Fischl (16s)</t>
  </si>
  <si>
    <t>Albedo (12s)</t>
  </si>
  <si>
    <t>Sucrose x 2</t>
  </si>
  <si>
    <t>GeoMC feeding x 2</t>
  </si>
  <si>
    <t>Bennett x 2</t>
  </si>
  <si>
    <t>Bennett x 6</t>
  </si>
  <si>
    <t>Fischl (12s)</t>
  </si>
  <si>
    <t>C1</t>
  </si>
  <si>
    <t>1.2 energy per E proc</t>
  </si>
  <si>
    <t>1 energy every 10s</t>
  </si>
  <si>
    <t>E</t>
  </si>
  <si>
    <t>1 particle per level</t>
  </si>
  <si>
    <t>C4</t>
  </si>
  <si>
    <t>1 energy per cryo-afflicted enemy hit</t>
  </si>
  <si>
    <t>15 energy on burst</t>
  </si>
  <si>
    <t>2 extra seconds</t>
  </si>
  <si>
    <t>2 energy on frostflake hit</t>
  </si>
  <si>
    <t>A4</t>
  </si>
  <si>
    <t>1-2 extra particles for freezing</t>
  </si>
  <si>
    <t xml:space="preserve">Kaeya </t>
  </si>
  <si>
    <t>-15 burst cost</t>
  </si>
  <si>
    <t>Tap-E restores 3 energy, hold-E 4. Gliding gives 2 energy per second</t>
  </si>
  <si>
    <t>C2</t>
  </si>
  <si>
    <t>50% chance of creating a particle every 5s when hitting electro enemy with normal/charged</t>
  </si>
  <si>
    <t>2 energy for all on charged crit</t>
  </si>
  <si>
    <t>3 energy per 3 seconds during burst</t>
  </si>
  <si>
    <t>2 energy per enemy hit with hold E</t>
  </si>
  <si>
    <t>QiQi</t>
  </si>
  <si>
    <t>2 energy per herald of frost hit</t>
  </si>
  <si>
    <t>5 energy per E crit</t>
  </si>
  <si>
    <t>3 energy on every 3rd sword rain hit</t>
  </si>
  <si>
    <t>Can have extra pillar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</si>
</sst>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scheme val="minor"/>
    </font>
    <font>
      <sz val="11"/>
      <color theme="1"/>
      <name val="Calibri"/>
      <family val="2"/>
    </font>
    <font>
      <b/>
      <sz val="11"/>
      <color theme="1"/>
      <name val="Calibri"/>
      <family val="2"/>
    </font>
    <font>
      <sz val="11"/>
      <color theme="0"/>
      <name val="Calibri"/>
      <family val="2"/>
    </font>
    <font>
      <b/>
      <sz val="11"/>
      <color theme="0"/>
      <name val="Calibri"/>
      <family val="2"/>
    </font>
    <font>
      <sz val="11"/>
      <name val="Calibri"/>
      <family val="2"/>
    </font>
    <font>
      <b/>
      <sz val="11"/>
      <color rgb="FF595959"/>
      <name val="Calibri"/>
      <family val="2"/>
    </font>
    <font>
      <sz val="11"/>
      <color rgb="FF595959"/>
      <name val="Calibri"/>
      <family val="2"/>
    </font>
    <font>
      <sz val="11"/>
      <color theme="1"/>
      <name val="Calibri"/>
      <family val="2"/>
      <scheme val="minor"/>
    </font>
    <font>
      <b/>
      <sz val="12"/>
      <color theme="0"/>
      <name val="Calibri"/>
      <family val="2"/>
    </font>
    <font>
      <sz val="11"/>
      <color rgb="FFC5E0B3"/>
      <name val="Calibri"/>
      <family val="2"/>
    </font>
    <font>
      <sz val="11"/>
      <color rgb="FFFEF2CB"/>
      <name val="Calibri"/>
      <family val="2"/>
    </font>
    <font>
      <b/>
      <sz val="11"/>
      <color rgb="FFFFFFFF"/>
      <name val="Calibri"/>
      <family val="2"/>
    </font>
    <font>
      <sz val="11"/>
      <color rgb="FFFFFFFF"/>
      <name val="Calibri"/>
      <family val="2"/>
    </font>
    <font>
      <b/>
      <sz val="24"/>
      <color theme="1"/>
      <name val="Calibri"/>
      <family val="2"/>
    </font>
    <font>
      <u/>
      <sz val="11"/>
      <color rgb="FF0000FF"/>
      <name val="Calibri"/>
      <family val="2"/>
    </font>
    <font>
      <u/>
      <sz val="11"/>
      <color theme="10"/>
      <name val="Calibri"/>
      <family val="2"/>
    </font>
    <font>
      <u/>
      <sz val="11"/>
      <color theme="10"/>
      <name val="Calibri"/>
      <family val="2"/>
    </font>
    <font>
      <sz val="11"/>
      <color rgb="FFC00000"/>
      <name val="Calibri"/>
      <family val="2"/>
    </font>
    <font>
      <b/>
      <sz val="11"/>
      <color rgb="FFE2EFD9"/>
      <name val="Calibri"/>
      <family val="2"/>
    </font>
    <font>
      <u/>
      <sz val="11"/>
      <color rgb="FF8EAADB"/>
      <name val="Calibri"/>
      <family val="2"/>
    </font>
    <font>
      <b/>
      <sz val="14"/>
      <color theme="0"/>
      <name val="Calibri"/>
      <family val="2"/>
    </font>
    <font>
      <sz val="11"/>
      <color rgb="FF9C0006"/>
      <name val="Calibri"/>
      <family val="2"/>
      <scheme val="minor"/>
    </font>
  </fonts>
  <fills count="17">
    <fill>
      <patternFill patternType="none"/>
    </fill>
    <fill>
      <patternFill patternType="gray125"/>
    </fill>
    <fill>
      <patternFill patternType="solid">
        <fgColor rgb="FF595959"/>
        <bgColor rgb="FF595959"/>
      </patternFill>
    </fill>
    <fill>
      <patternFill patternType="solid">
        <fgColor rgb="FFE2EFD9"/>
        <bgColor rgb="FFE2EFD9"/>
      </patternFill>
    </fill>
    <fill>
      <patternFill patternType="solid">
        <fgColor rgb="FF833C0B"/>
        <bgColor rgb="FF833C0B"/>
      </patternFill>
    </fill>
    <fill>
      <patternFill patternType="solid">
        <fgColor rgb="FFFBE4D5"/>
        <bgColor rgb="FFFBE4D5"/>
      </patternFill>
    </fill>
    <fill>
      <patternFill patternType="solid">
        <fgColor rgb="FF2E75B5"/>
        <bgColor rgb="FF2E75B5"/>
      </patternFill>
    </fill>
    <fill>
      <patternFill patternType="solid">
        <fgColor rgb="FFA8D08D"/>
        <bgColor rgb="FFA8D08D"/>
      </patternFill>
    </fill>
    <fill>
      <patternFill patternType="solid">
        <fgColor rgb="FFFFFF00"/>
        <bgColor rgb="FFFFFF00"/>
      </patternFill>
    </fill>
    <fill>
      <patternFill patternType="solid">
        <fgColor rgb="FF4472C4"/>
        <bgColor rgb="FF4472C4"/>
      </patternFill>
    </fill>
    <fill>
      <patternFill patternType="solid">
        <fgColor rgb="FFD9E2F3"/>
        <bgColor rgb="FFD9E2F3"/>
      </patternFill>
    </fill>
    <fill>
      <patternFill patternType="solid">
        <fgColor theme="4"/>
        <bgColor theme="4"/>
      </patternFill>
    </fill>
    <fill>
      <patternFill patternType="solid">
        <fgColor rgb="FFFEF2CB"/>
        <bgColor rgb="FFFEF2CB"/>
      </patternFill>
    </fill>
    <fill>
      <patternFill patternType="solid">
        <fgColor rgb="FFDEEAF6"/>
        <bgColor rgb="FFDEEAF6"/>
      </patternFill>
    </fill>
    <fill>
      <patternFill patternType="solid">
        <fgColor rgb="FFE8D9F3"/>
        <bgColor rgb="FFE8D9F3"/>
      </patternFill>
    </fill>
    <fill>
      <patternFill patternType="solid">
        <fgColor rgb="FFECECEC"/>
        <bgColor rgb="FFECECEC"/>
      </patternFill>
    </fill>
    <fill>
      <patternFill patternType="solid">
        <fgColor rgb="FFFFC7CE"/>
      </patternFill>
    </fill>
  </fills>
  <borders count="3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8EAADB"/>
      </top>
      <bottom style="thin">
        <color rgb="FF8EAADB"/>
      </bottom>
      <diagonal/>
    </border>
    <border>
      <left style="thin">
        <color rgb="FF000000"/>
      </left>
      <right style="thin">
        <color rgb="FF000000"/>
      </right>
      <top style="thin">
        <color rgb="FF8EAADB"/>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2" fillId="16" borderId="0" applyNumberFormat="0" applyBorder="0" applyAlignment="0" applyProtection="0"/>
  </cellStyleXfs>
  <cellXfs count="186">
    <xf numFmtId="0" fontId="0" fillId="0" borderId="0" xfId="0"/>
    <xf numFmtId="0" fontId="1" fillId="2" borderId="1" xfId="0" applyFont="1" applyFill="1" applyBorder="1"/>
    <xf numFmtId="0" fontId="1" fillId="3" borderId="1" xfId="0" applyFont="1" applyFill="1" applyBorder="1"/>
    <xf numFmtId="0" fontId="2" fillId="3" borderId="1" xfId="0" applyFont="1" applyFill="1" applyBorder="1"/>
    <xf numFmtId="0" fontId="3" fillId="2" borderId="1" xfId="0" applyFont="1" applyFill="1" applyBorder="1"/>
    <xf numFmtId="0" fontId="4" fillId="2" borderId="1" xfId="0" applyFont="1" applyFill="1" applyBorder="1"/>
    <xf numFmtId="0" fontId="1" fillId="0" borderId="0" xfId="0" applyFont="1" applyAlignment="1">
      <alignment horizontal="left"/>
    </xf>
    <xf numFmtId="0" fontId="4" fillId="2" borderId="1" xfId="0" applyFont="1" applyFill="1" applyBorder="1" applyAlignment="1">
      <alignment horizontal="left"/>
    </xf>
    <xf numFmtId="0" fontId="6" fillId="2" borderId="1" xfId="0" applyFont="1" applyFill="1" applyBorder="1"/>
    <xf numFmtId="0" fontId="7" fillId="2" borderId="1" xfId="0" applyFont="1" applyFill="1" applyBorder="1"/>
    <xf numFmtId="0" fontId="1" fillId="0" borderId="0" xfId="0" applyFont="1"/>
    <xf numFmtId="0" fontId="8" fillId="0" borderId="0" xfId="0" applyFont="1"/>
    <xf numFmtId="0" fontId="4" fillId="4" borderId="1" xfId="0" applyFont="1" applyFill="1" applyBorder="1" applyAlignment="1">
      <alignment horizontal="left"/>
    </xf>
    <xf numFmtId="0" fontId="1" fillId="4" borderId="1" xfId="0" applyFont="1" applyFill="1" applyBorder="1"/>
    <xf numFmtId="0" fontId="1" fillId="5" borderId="1" xfId="0" applyFont="1" applyFill="1" applyBorder="1"/>
    <xf numFmtId="9" fontId="1" fillId="0" borderId="0" xfId="0" applyNumberFormat="1" applyFont="1"/>
    <xf numFmtId="0" fontId="1" fillId="3" borderId="1" xfId="0" applyFont="1" applyFill="1" applyBorder="1" applyAlignment="1">
      <alignment vertical="top" wrapText="1"/>
    </xf>
    <xf numFmtId="0" fontId="4" fillId="2" borderId="1" xfId="0" applyFont="1" applyFill="1" applyBorder="1" applyAlignment="1">
      <alignment horizontal="left" vertical="center"/>
    </xf>
    <xf numFmtId="0" fontId="3" fillId="2" borderId="1" xfId="0" applyFont="1" applyFill="1" applyBorder="1" applyAlignment="1">
      <alignment horizontal="left"/>
    </xf>
    <xf numFmtId="0" fontId="1" fillId="7" borderId="1" xfId="0" applyFont="1" applyFill="1" applyBorder="1"/>
    <xf numFmtId="0" fontId="11" fillId="2" borderId="1" xfId="0" applyFont="1" applyFill="1" applyBorder="1"/>
    <xf numFmtId="0" fontId="2" fillId="7" borderId="1" xfId="0" applyFont="1" applyFill="1" applyBorder="1"/>
    <xf numFmtId="0" fontId="10" fillId="4" borderId="1" xfId="0" applyFont="1" applyFill="1" applyBorder="1" applyAlignment="1">
      <alignment horizontal="left"/>
    </xf>
    <xf numFmtId="0" fontId="3" fillId="4" borderId="1" xfId="0" applyFont="1" applyFill="1" applyBorder="1"/>
    <xf numFmtId="0" fontId="2" fillId="7" borderId="1" xfId="0" applyFont="1" applyFill="1" applyBorder="1" applyAlignment="1">
      <alignment horizontal="left" vertical="top" wrapText="1"/>
    </xf>
    <xf numFmtId="0" fontId="11" fillId="4" borderId="1" xfId="0" applyFont="1" applyFill="1" applyBorder="1"/>
    <xf numFmtId="0" fontId="11" fillId="4" borderId="1" xfId="0" applyFont="1" applyFill="1" applyBorder="1" applyAlignment="1">
      <alignment horizontal="left"/>
    </xf>
    <xf numFmtId="0" fontId="3" fillId="4" borderId="1" xfId="0" applyFont="1" applyFill="1" applyBorder="1" applyAlignment="1">
      <alignment horizontal="left"/>
    </xf>
    <xf numFmtId="2" fontId="3" fillId="4" borderId="1" xfId="0" applyNumberFormat="1" applyFont="1" applyFill="1" applyBorder="1"/>
    <xf numFmtId="1" fontId="3" fillId="2" borderId="1" xfId="0" applyNumberFormat="1" applyFont="1" applyFill="1" applyBorder="1"/>
    <xf numFmtId="0" fontId="3" fillId="2" borderId="7" xfId="0" applyFont="1" applyFill="1" applyBorder="1"/>
    <xf numFmtId="0" fontId="3" fillId="2" borderId="8" xfId="0" applyFont="1" applyFill="1" applyBorder="1"/>
    <xf numFmtId="2" fontId="3" fillId="2" borderId="1" xfId="0" applyNumberFormat="1" applyFont="1" applyFill="1" applyBorder="1"/>
    <xf numFmtId="9" fontId="3" fillId="2" borderId="8" xfId="0" applyNumberFormat="1" applyFont="1" applyFill="1" applyBorder="1"/>
    <xf numFmtId="9" fontId="3" fillId="2" borderId="1" xfId="0" applyNumberFormat="1" applyFont="1" applyFill="1" applyBorder="1"/>
    <xf numFmtId="0" fontId="13" fillId="2" borderId="1" xfId="0" applyFont="1" applyFill="1" applyBorder="1" applyAlignment="1">
      <alignment horizontal="right"/>
    </xf>
    <xf numFmtId="0" fontId="13" fillId="2" borderId="1" xfId="0" applyFont="1" applyFill="1" applyBorder="1"/>
    <xf numFmtId="2" fontId="13" fillId="2" borderId="1" xfId="0" applyNumberFormat="1" applyFont="1" applyFill="1" applyBorder="1" applyAlignment="1">
      <alignment horizontal="right"/>
    </xf>
    <xf numFmtId="2" fontId="13" fillId="4" borderId="1" xfId="0" applyNumberFormat="1" applyFont="1" applyFill="1" applyBorder="1" applyAlignment="1">
      <alignment horizontal="right"/>
    </xf>
    <xf numFmtId="2" fontId="13" fillId="2" borderId="1" xfId="0" applyNumberFormat="1" applyFont="1" applyFill="1" applyBorder="1" applyAlignment="1">
      <alignment horizontal="center"/>
    </xf>
    <xf numFmtId="0" fontId="13" fillId="2" borderId="7" xfId="0" applyFont="1" applyFill="1" applyBorder="1"/>
    <xf numFmtId="9" fontId="13" fillId="2" borderId="8" xfId="0" applyNumberFormat="1" applyFont="1" applyFill="1" applyBorder="1" applyAlignment="1">
      <alignment horizontal="right"/>
    </xf>
    <xf numFmtId="9" fontId="1" fillId="2" borderId="1" xfId="0" applyNumberFormat="1" applyFont="1" applyFill="1" applyBorder="1"/>
    <xf numFmtId="0" fontId="12" fillId="2" borderId="1" xfId="0" applyFont="1" applyFill="1" applyBorder="1"/>
    <xf numFmtId="9" fontId="13" fillId="2" borderId="1" xfId="0" applyNumberFormat="1" applyFont="1" applyFill="1" applyBorder="1" applyAlignment="1">
      <alignment horizontal="right"/>
    </xf>
    <xf numFmtId="2" fontId="1" fillId="2" borderId="1" xfId="0" applyNumberFormat="1" applyFont="1" applyFill="1" applyBorder="1"/>
    <xf numFmtId="0" fontId="1" fillId="2" borderId="4" xfId="0" applyFont="1"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4" fillId="2" borderId="13" xfId="0" applyFont="1" applyFill="1" applyBorder="1" applyAlignment="1">
      <alignment horizontal="left"/>
    </xf>
    <xf numFmtId="9" fontId="4" fillId="2" borderId="13" xfId="0" applyNumberFormat="1" applyFont="1" applyFill="1" applyBorder="1" applyAlignment="1">
      <alignment horizontal="left"/>
    </xf>
    <xf numFmtId="9" fontId="3" fillId="2" borderId="13" xfId="0" applyNumberFormat="1" applyFont="1" applyFill="1" applyBorder="1"/>
    <xf numFmtId="0" fontId="3" fillId="2" borderId="13" xfId="0" applyFont="1" applyFill="1" applyBorder="1"/>
    <xf numFmtId="0" fontId="1" fillId="2" borderId="13" xfId="0" applyFont="1" applyFill="1" applyBorder="1"/>
    <xf numFmtId="0" fontId="2" fillId="7" borderId="13" xfId="0" applyFont="1" applyFill="1" applyBorder="1"/>
    <xf numFmtId="9" fontId="4" fillId="2" borderId="1" xfId="0" applyNumberFormat="1" applyFont="1" applyFill="1" applyBorder="1" applyAlignment="1">
      <alignment horizontal="left"/>
    </xf>
    <xf numFmtId="0" fontId="4" fillId="2" borderId="12" xfId="0" applyFont="1" applyFill="1" applyBorder="1" applyAlignment="1">
      <alignment horizontal="left"/>
    </xf>
    <xf numFmtId="9" fontId="4" fillId="2" borderId="12" xfId="0" applyNumberFormat="1" applyFont="1" applyFill="1" applyBorder="1" applyAlignment="1">
      <alignment horizontal="left"/>
    </xf>
    <xf numFmtId="9" fontId="3" fillId="2" borderId="12" xfId="0" applyNumberFormat="1" applyFont="1" applyFill="1" applyBorder="1"/>
    <xf numFmtId="0" fontId="3" fillId="2" borderId="12" xfId="0" applyFont="1" applyFill="1" applyBorder="1"/>
    <xf numFmtId="0" fontId="2" fillId="7" borderId="12" xfId="0" applyFont="1" applyFill="1" applyBorder="1"/>
    <xf numFmtId="9" fontId="3" fillId="2" borderId="13" xfId="0" applyNumberFormat="1" applyFont="1" applyFill="1" applyBorder="1" applyAlignment="1">
      <alignment horizontal="right"/>
    </xf>
    <xf numFmtId="0" fontId="3" fillId="2" borderId="13" xfId="0" applyFont="1" applyFill="1" applyBorder="1" applyAlignment="1">
      <alignment horizontal="right"/>
    </xf>
    <xf numFmtId="9" fontId="3" fillId="2" borderId="12" xfId="0" applyNumberFormat="1" applyFont="1" applyFill="1" applyBorder="1" applyAlignment="1">
      <alignment horizontal="right"/>
    </xf>
    <xf numFmtId="0" fontId="3" fillId="2" borderId="12" xfId="0" applyFont="1" applyFill="1" applyBorder="1" applyAlignment="1">
      <alignment horizontal="right"/>
    </xf>
    <xf numFmtId="2" fontId="3" fillId="2" borderId="13" xfId="0" applyNumberFormat="1" applyFont="1" applyFill="1" applyBorder="1"/>
    <xf numFmtId="2" fontId="3" fillId="2" borderId="12" xfId="0" applyNumberFormat="1" applyFont="1" applyFill="1" applyBorder="1"/>
    <xf numFmtId="0" fontId="3" fillId="0" borderId="0" xfId="0" applyFont="1"/>
    <xf numFmtId="0" fontId="14" fillId="8" borderId="1" xfId="0" applyFont="1" applyFill="1" applyBorder="1" applyAlignment="1">
      <alignment horizontal="left"/>
    </xf>
    <xf numFmtId="0" fontId="1" fillId="0" borderId="0" xfId="0" applyFont="1" applyAlignment="1">
      <alignment horizontal="left" vertical="center"/>
    </xf>
    <xf numFmtId="0" fontId="4" fillId="0" borderId="0" xfId="0" applyFont="1" applyAlignment="1">
      <alignment horizontal="center"/>
    </xf>
    <xf numFmtId="0" fontId="17" fillId="0" borderId="0" xfId="0" applyFont="1" applyAlignment="1">
      <alignment horizontal="left"/>
    </xf>
    <xf numFmtId="0" fontId="1" fillId="0" borderId="17" xfId="0" applyFont="1" applyBorder="1" applyAlignment="1">
      <alignment wrapText="1"/>
    </xf>
    <xf numFmtId="0" fontId="1" fillId="0" borderId="0" xfId="0" applyFont="1" applyAlignment="1">
      <alignment horizontal="left" wrapText="1"/>
    </xf>
    <xf numFmtId="9" fontId="3" fillId="0" borderId="0" xfId="0" applyNumberFormat="1" applyFont="1"/>
    <xf numFmtId="1" fontId="3" fillId="0" borderId="0" xfId="0" applyNumberFormat="1" applyFont="1"/>
    <xf numFmtId="0" fontId="1" fillId="0" borderId="17" xfId="0" applyFont="1" applyBorder="1"/>
    <xf numFmtId="0" fontId="18" fillId="0" borderId="0" xfId="0" applyFont="1" applyAlignment="1">
      <alignment horizontal="left"/>
    </xf>
    <xf numFmtId="49" fontId="19" fillId="2" borderId="1" xfId="0" applyNumberFormat="1" applyFont="1" applyFill="1" applyBorder="1" applyAlignment="1">
      <alignment horizontal="center"/>
    </xf>
    <xf numFmtId="49" fontId="19" fillId="2" borderId="1" xfId="0" applyNumberFormat="1" applyFont="1" applyFill="1" applyBorder="1"/>
    <xf numFmtId="49" fontId="3" fillId="2" borderId="1" xfId="0" applyNumberFormat="1" applyFont="1" applyFill="1" applyBorder="1"/>
    <xf numFmtId="49" fontId="13" fillId="2" borderId="1" xfId="0" applyNumberFormat="1" applyFont="1" applyFill="1" applyBorder="1"/>
    <xf numFmtId="49" fontId="20" fillId="2" borderId="1" xfId="0" applyNumberFormat="1" applyFont="1" applyFill="1" applyBorder="1"/>
    <xf numFmtId="49" fontId="1" fillId="0" borderId="0" xfId="0" applyNumberFormat="1" applyFont="1"/>
    <xf numFmtId="49" fontId="3" fillId="0" borderId="0" xfId="0" applyNumberFormat="1" applyFont="1"/>
    <xf numFmtId="0" fontId="12" fillId="9" borderId="0" xfId="0" applyFont="1" applyFill="1"/>
    <xf numFmtId="1" fontId="12" fillId="9" borderId="0" xfId="0" applyNumberFormat="1" applyFont="1" applyFill="1"/>
    <xf numFmtId="2" fontId="12" fillId="9" borderId="0" xfId="0" applyNumberFormat="1" applyFont="1" applyFill="1"/>
    <xf numFmtId="9" fontId="12" fillId="9" borderId="0" xfId="0" applyNumberFormat="1" applyFont="1" applyFill="1"/>
    <xf numFmtId="0" fontId="1" fillId="10" borderId="0" xfId="0" applyFont="1" applyFill="1"/>
    <xf numFmtId="0" fontId="1" fillId="10" borderId="0" xfId="0" quotePrefix="1" applyFont="1" applyFill="1"/>
    <xf numFmtId="1" fontId="1" fillId="10" borderId="0" xfId="0" applyNumberFormat="1" applyFont="1" applyFill="1"/>
    <xf numFmtId="9" fontId="1" fillId="10" borderId="0" xfId="0" applyNumberFormat="1" applyFont="1" applyFill="1" applyAlignment="1">
      <alignment horizontal="right"/>
    </xf>
    <xf numFmtId="2" fontId="1" fillId="10" borderId="0" xfId="0" applyNumberFormat="1" applyFont="1" applyFill="1" applyAlignment="1">
      <alignment horizontal="right"/>
    </xf>
    <xf numFmtId="0" fontId="1" fillId="10" borderId="0" xfId="0" applyFont="1" applyFill="1" applyAlignment="1">
      <alignment horizontal="right"/>
    </xf>
    <xf numFmtId="9" fontId="1" fillId="10" borderId="0" xfId="0" applyNumberFormat="1" applyFont="1" applyFill="1"/>
    <xf numFmtId="1" fontId="1" fillId="10" borderId="0" xfId="0" applyNumberFormat="1" applyFont="1" applyFill="1" applyAlignment="1">
      <alignment horizontal="right"/>
    </xf>
    <xf numFmtId="9" fontId="2" fillId="10" borderId="0" xfId="0" applyNumberFormat="1" applyFont="1" applyFill="1" applyAlignment="1">
      <alignment horizontal="right"/>
    </xf>
    <xf numFmtId="3" fontId="1" fillId="10" borderId="0" xfId="0" applyNumberFormat="1" applyFont="1" applyFill="1" applyAlignment="1">
      <alignment horizontal="right"/>
    </xf>
    <xf numFmtId="1" fontId="1" fillId="0" borderId="0" xfId="0" applyNumberFormat="1" applyFont="1"/>
    <xf numFmtId="2" fontId="1" fillId="0" borderId="0" xfId="0" applyNumberFormat="1" applyFont="1"/>
    <xf numFmtId="0" fontId="1" fillId="0" borderId="0" xfId="0" applyFont="1" applyAlignment="1">
      <alignment horizontal="center" vertical="center"/>
    </xf>
    <xf numFmtId="2" fontId="8" fillId="0" borderId="0" xfId="0" applyNumberFormat="1" applyFont="1"/>
    <xf numFmtId="0" fontId="4" fillId="11" borderId="18" xfId="0" applyFont="1" applyFill="1" applyBorder="1"/>
    <xf numFmtId="0" fontId="4" fillId="11" borderId="23" xfId="0" applyFont="1" applyFill="1" applyBorder="1" applyAlignment="1">
      <alignment horizontal="center"/>
    </xf>
    <xf numFmtId="0" fontId="1" fillId="0" borderId="24" xfId="0" applyFont="1" applyBorder="1"/>
    <xf numFmtId="0" fontId="1" fillId="0" borderId="25" xfId="0" applyFont="1" applyBorder="1"/>
    <xf numFmtId="0" fontId="1" fillId="0" borderId="26" xfId="0" applyFont="1" applyBorder="1"/>
    <xf numFmtId="49" fontId="1" fillId="0" borderId="24" xfId="0" applyNumberFormat="1" applyFont="1" applyBorder="1"/>
    <xf numFmtId="49" fontId="1" fillId="0" borderId="27" xfId="0" applyNumberFormat="1" applyFont="1" applyBorder="1"/>
    <xf numFmtId="49" fontId="1" fillId="10" borderId="27" xfId="0" applyNumberFormat="1" applyFont="1" applyFill="1" applyBorder="1"/>
    <xf numFmtId="49" fontId="1" fillId="10" borderId="28" xfId="0" applyNumberFormat="1" applyFont="1" applyFill="1" applyBorder="1"/>
    <xf numFmtId="0" fontId="1" fillId="0" borderId="29" xfId="0" applyFont="1" applyBorder="1"/>
    <xf numFmtId="0" fontId="1" fillId="0" borderId="30" xfId="0" applyFont="1" applyBorder="1"/>
    <xf numFmtId="0" fontId="1" fillId="0" borderId="31" xfId="0" applyFont="1" applyBorder="1"/>
    <xf numFmtId="0" fontId="1" fillId="0" borderId="32" xfId="0" applyFont="1" applyBorder="1"/>
    <xf numFmtId="49" fontId="8" fillId="0" borderId="0" xfId="0" applyNumberFormat="1" applyFont="1"/>
    <xf numFmtId="49" fontId="1" fillId="0" borderId="27" xfId="0" quotePrefix="1" applyNumberFormat="1" applyFont="1" applyBorder="1"/>
    <xf numFmtId="49" fontId="1" fillId="10" borderId="27" xfId="0" quotePrefix="1" applyNumberFormat="1" applyFont="1" applyFill="1" applyBorder="1"/>
    <xf numFmtId="49" fontId="1" fillId="10" borderId="28" xfId="0" quotePrefix="1" applyNumberFormat="1" applyFont="1" applyFill="1" applyBorder="1"/>
    <xf numFmtId="0" fontId="2" fillId="0" borderId="0" xfId="0" applyFont="1"/>
    <xf numFmtId="0" fontId="3" fillId="2" borderId="1" xfId="0" applyFont="1" applyFill="1" applyBorder="1" applyAlignment="1">
      <alignment horizontal="center"/>
    </xf>
    <xf numFmtId="0" fontId="1" fillId="12" borderId="1" xfId="0" applyFont="1" applyFill="1" applyBorder="1"/>
    <xf numFmtId="0" fontId="1" fillId="13" borderId="1" xfId="0" applyFont="1" applyFill="1" applyBorder="1"/>
    <xf numFmtId="0" fontId="1" fillId="14" borderId="1" xfId="0" applyFont="1" applyFill="1" applyBorder="1"/>
    <xf numFmtId="0" fontId="1" fillId="10" borderId="1" xfId="0" applyFont="1" applyFill="1" applyBorder="1"/>
    <xf numFmtId="0" fontId="1" fillId="15" borderId="1" xfId="0" applyFont="1" applyFill="1" applyBorder="1"/>
    <xf numFmtId="3" fontId="8" fillId="0" borderId="0" xfId="0" applyNumberFormat="1" applyFont="1"/>
    <xf numFmtId="0" fontId="1" fillId="0" borderId="0" xfId="0" quotePrefix="1" applyFont="1"/>
    <xf numFmtId="0" fontId="22" fillId="16" borderId="1" xfId="1" applyBorder="1"/>
    <xf numFmtId="9" fontId="22" fillId="16" borderId="1" xfId="1" applyNumberFormat="1" applyBorder="1"/>
    <xf numFmtId="9" fontId="0" fillId="0" borderId="0" xfId="0" applyNumberFormat="1"/>
    <xf numFmtId="0" fontId="4" fillId="2" borderId="2" xfId="0" applyFont="1" applyFill="1" applyBorder="1" applyAlignment="1">
      <alignment horizontal="left"/>
    </xf>
    <xf numFmtId="0" fontId="5" fillId="0" borderId="3" xfId="0" applyFont="1" applyBorder="1"/>
    <xf numFmtId="3" fontId="3" fillId="2" borderId="2" xfId="0" applyNumberFormat="1" applyFont="1" applyFill="1" applyBorder="1"/>
    <xf numFmtId="0" fontId="3" fillId="2" borderId="2" xfId="0" applyFont="1" applyFill="1" applyBorder="1"/>
    <xf numFmtId="9" fontId="9" fillId="6" borderId="2" xfId="0" applyNumberFormat="1" applyFont="1" applyFill="1" applyBorder="1" applyAlignment="1">
      <alignment horizontal="center" vertical="center"/>
    </xf>
    <xf numFmtId="0" fontId="4" fillId="2" borderId="2" xfId="0" applyFont="1" applyFill="1" applyBorder="1" applyAlignment="1">
      <alignment horizontal="left" vertical="center"/>
    </xf>
    <xf numFmtId="0" fontId="3" fillId="2" borderId="2" xfId="0" applyFont="1" applyFill="1" applyBorder="1" applyAlignment="1">
      <alignment horizontal="left"/>
    </xf>
    <xf numFmtId="0" fontId="10" fillId="2" borderId="2" xfId="0" applyFont="1" applyFill="1" applyBorder="1" applyAlignment="1">
      <alignment horizontal="left"/>
    </xf>
    <xf numFmtId="2" fontId="11" fillId="2" borderId="2" xfId="0" applyNumberFormat="1" applyFont="1" applyFill="1" applyBorder="1" applyAlignment="1">
      <alignment horizontal="right"/>
    </xf>
    <xf numFmtId="2" fontId="10" fillId="4" borderId="2" xfId="0" applyNumberFormat="1" applyFont="1" applyFill="1" applyBorder="1" applyAlignment="1">
      <alignment horizontal="right"/>
    </xf>
    <xf numFmtId="2" fontId="11" fillId="4" borderId="2" xfId="0" applyNumberFormat="1" applyFont="1" applyFill="1" applyBorder="1" applyAlignment="1">
      <alignment horizontal="right"/>
    </xf>
    <xf numFmtId="0" fontId="11" fillId="2" borderId="2" xfId="0" applyFont="1" applyFill="1" applyBorder="1" applyAlignment="1">
      <alignment horizontal="left"/>
    </xf>
    <xf numFmtId="2" fontId="3" fillId="2" borderId="2" xfId="0" applyNumberFormat="1" applyFont="1" applyFill="1" applyBorder="1" applyAlignment="1">
      <alignment horizontal="right"/>
    </xf>
    <xf numFmtId="0" fontId="10" fillId="4" borderId="2" xfId="0" applyFont="1" applyFill="1" applyBorder="1" applyAlignment="1">
      <alignment horizontal="left"/>
    </xf>
    <xf numFmtId="0" fontId="12" fillId="2" borderId="2" xfId="0" applyFont="1" applyFill="1" applyBorder="1"/>
    <xf numFmtId="0" fontId="11" fillId="4" borderId="2" xfId="0" applyFont="1" applyFill="1" applyBorder="1" applyAlignment="1">
      <alignment horizontal="left"/>
    </xf>
    <xf numFmtId="0" fontId="3" fillId="4" borderId="2" xfId="0" applyFont="1" applyFill="1" applyBorder="1" applyAlignment="1">
      <alignment horizontal="left"/>
    </xf>
    <xf numFmtId="2" fontId="3" fillId="4" borderId="2" xfId="0" applyNumberFormat="1" applyFont="1" applyFill="1" applyBorder="1" applyAlignment="1">
      <alignment horizontal="right"/>
    </xf>
    <xf numFmtId="0" fontId="3" fillId="2" borderId="2" xfId="0" applyFont="1" applyFill="1" applyBorder="1" applyAlignment="1">
      <alignment horizontal="center"/>
    </xf>
    <xf numFmtId="0" fontId="5" fillId="0" borderId="9" xfId="0" applyFont="1" applyBorder="1"/>
    <xf numFmtId="9" fontId="1" fillId="0" borderId="0" xfId="0" applyNumberFormat="1" applyFont="1"/>
    <xf numFmtId="0" fontId="0" fillId="0" borderId="0" xfId="0"/>
    <xf numFmtId="0" fontId="1" fillId="0" borderId="0" xfId="0" applyFont="1" applyAlignment="1">
      <alignment horizontal="right"/>
    </xf>
    <xf numFmtId="0" fontId="1" fillId="0" borderId="0" xfId="0" applyFont="1"/>
    <xf numFmtId="2" fontId="10" fillId="2" borderId="2" xfId="0" applyNumberFormat="1" applyFont="1" applyFill="1" applyBorder="1" applyAlignment="1">
      <alignment horizontal="right"/>
    </xf>
    <xf numFmtId="0" fontId="3" fillId="2" borderId="2" xfId="0" applyFont="1" applyFill="1" applyBorder="1" applyAlignment="1">
      <alignment horizontal="right"/>
    </xf>
    <xf numFmtId="9" fontId="3" fillId="2" borderId="2" xfId="0" applyNumberFormat="1" applyFont="1" applyFill="1" applyBorder="1" applyAlignment="1">
      <alignment horizontal="right"/>
    </xf>
    <xf numFmtId="9" fontId="1" fillId="0" borderId="0" xfId="0" applyNumberFormat="1" applyFont="1" applyAlignment="1">
      <alignment horizontal="right"/>
    </xf>
    <xf numFmtId="0" fontId="7" fillId="2" borderId="2" xfId="0" applyFont="1" applyFill="1" applyBorder="1" applyAlignment="1">
      <alignment horizontal="right"/>
    </xf>
    <xf numFmtId="0" fontId="1" fillId="0" borderId="0" xfId="0" applyFont="1" applyAlignment="1">
      <alignment horizontal="left"/>
    </xf>
    <xf numFmtId="0" fontId="2" fillId="0" borderId="0" xfId="0" applyFont="1" applyAlignment="1">
      <alignment horizontal="center"/>
    </xf>
    <xf numFmtId="0" fontId="1" fillId="5" borderId="4" xfId="0" applyFont="1" applyFill="1" applyBorder="1" applyAlignment="1">
      <alignment horizontal="left" wrapText="1"/>
    </xf>
    <xf numFmtId="0" fontId="5" fillId="0" borderId="5" xfId="0" applyFont="1" applyBorder="1"/>
    <xf numFmtId="0" fontId="2" fillId="7" borderId="4" xfId="0" applyFont="1" applyFill="1" applyBorder="1" applyAlignment="1">
      <alignment horizontal="left" vertical="top" wrapText="1"/>
    </xf>
    <xf numFmtId="0" fontId="5" fillId="0" borderId="6" xfId="0" applyFont="1" applyBorder="1"/>
    <xf numFmtId="0" fontId="14" fillId="8" borderId="2" xfId="0" applyFont="1" applyFill="1" applyBorder="1" applyAlignment="1">
      <alignment horizontal="left"/>
    </xf>
    <xf numFmtId="0" fontId="1" fillId="0" borderId="14" xfId="0" applyFont="1" applyBorder="1" applyAlignment="1">
      <alignment horizontal="left" vertical="center"/>
    </xf>
    <xf numFmtId="0" fontId="5" fillId="0" borderId="15" xfId="0" applyFont="1" applyBorder="1"/>
    <xf numFmtId="0" fontId="5" fillId="0" borderId="16" xfId="0" applyFont="1" applyBorder="1"/>
    <xf numFmtId="0" fontId="4" fillId="0" borderId="0" xfId="0" applyFont="1" applyAlignment="1">
      <alignment horizontal="center"/>
    </xf>
    <xf numFmtId="49" fontId="3" fillId="2" borderId="2" xfId="0" applyNumberFormat="1" applyFont="1" applyFill="1" applyBorder="1"/>
    <xf numFmtId="0" fontId="15" fillId="0" borderId="14" xfId="0" applyFont="1" applyBorder="1" applyAlignment="1">
      <alignment horizontal="left" vertical="center"/>
    </xf>
    <xf numFmtId="0" fontId="16" fillId="0" borderId="14" xfId="0" applyFont="1" applyBorder="1" applyAlignment="1">
      <alignment horizontal="left"/>
    </xf>
    <xf numFmtId="0" fontId="1" fillId="0" borderId="14" xfId="0" applyFont="1" applyBorder="1" applyAlignment="1">
      <alignment horizontal="left" wrapText="1"/>
    </xf>
    <xf numFmtId="0" fontId="1" fillId="0" borderId="14" xfId="0" applyFont="1" applyBorder="1" applyAlignment="1">
      <alignment horizontal="left"/>
    </xf>
    <xf numFmtId="0" fontId="1" fillId="0" borderId="0" xfId="0" applyFont="1" applyAlignment="1">
      <alignment horizontal="center" vertical="center"/>
    </xf>
    <xf numFmtId="0" fontId="4" fillId="11" borderId="19" xfId="0" applyFont="1" applyFill="1" applyBorder="1" applyAlignment="1">
      <alignment horizontal="center"/>
    </xf>
    <xf numFmtId="0" fontId="5" fillId="0" borderId="20" xfId="0" applyFont="1" applyBorder="1"/>
    <xf numFmtId="0" fontId="5" fillId="0" borderId="21" xfId="0" applyFont="1" applyBorder="1"/>
    <xf numFmtId="0" fontId="4" fillId="11" borderId="22" xfId="0" applyFont="1" applyFill="1" applyBorder="1" applyAlignment="1">
      <alignment horizontal="center"/>
    </xf>
    <xf numFmtId="0" fontId="8" fillId="0" borderId="14" xfId="0" applyFont="1" applyBorder="1" applyAlignment="1">
      <alignment horizontal="center"/>
    </xf>
    <xf numFmtId="0" fontId="21" fillId="2" borderId="2" xfId="0" applyFont="1" applyFill="1" applyBorder="1" applyAlignment="1">
      <alignment horizontal="center"/>
    </xf>
    <xf numFmtId="0" fontId="2" fillId="0" borderId="0" xfId="0" applyFont="1" applyAlignment="1">
      <alignment horizontal="left"/>
    </xf>
  </cellXfs>
  <cellStyles count="2">
    <cellStyle name="Bad" xfId="1" builtinId="27"/>
    <cellStyle name="Normal" xfId="0" builtinId="0"/>
  </cellStyles>
  <dxfs count="45">
    <dxf>
      <fill>
        <patternFill patternType="solid">
          <fgColor rgb="FFFEF2CB"/>
          <bgColor rgb="FFFEF2CB"/>
        </patternFill>
      </fill>
    </dxf>
    <dxf>
      <fill>
        <patternFill patternType="solid">
          <fgColor rgb="FFFBE4D5"/>
          <bgColor rgb="FFFBE4D5"/>
        </patternFill>
      </fill>
    </dxf>
    <dxf>
      <fill>
        <patternFill patternType="solid">
          <fgColor rgb="FFDEEAF6"/>
          <bgColor rgb="FFDEEAF6"/>
        </patternFill>
      </fill>
    </dxf>
    <dxf>
      <fill>
        <patternFill patternType="solid">
          <fgColor rgb="FFD9E2F3"/>
          <bgColor rgb="FFD9E2F3"/>
        </patternFill>
      </fill>
    </dxf>
    <dxf>
      <fill>
        <patternFill patternType="solid">
          <fgColor rgb="FFEADCF4"/>
          <bgColor rgb="FFEADCF4"/>
        </patternFill>
      </fill>
    </dxf>
    <dxf>
      <fill>
        <patternFill patternType="solid">
          <fgColor rgb="FFECECEC"/>
          <bgColor rgb="FFECECEC"/>
        </patternFill>
      </fill>
    </dxf>
    <dxf>
      <fill>
        <patternFill patternType="solid">
          <fgColor rgb="FFE78075"/>
          <bgColor rgb="FFE78075"/>
        </patternFill>
      </fill>
    </dxf>
    <dxf>
      <fill>
        <patternFill patternType="solid">
          <fgColor rgb="FFE78075"/>
          <bgColor rgb="FFE78075"/>
        </patternFill>
      </fill>
    </dxf>
    <dxf>
      <fill>
        <patternFill patternType="solid">
          <fgColor rgb="FFE78075"/>
          <bgColor rgb="FFE78075"/>
        </patternFill>
      </fill>
    </dxf>
    <dxf>
      <fill>
        <patternFill patternType="solid">
          <fgColor rgb="FFE78075"/>
          <bgColor rgb="FFE78075"/>
        </patternFill>
      </fill>
    </dxf>
    <dxf>
      <font>
        <color rgb="FF833C0B"/>
      </font>
      <fill>
        <patternFill patternType="solid">
          <fgColor rgb="FF833C0B"/>
          <bgColor rgb="FF833C0B"/>
        </patternFill>
      </fill>
    </dxf>
    <dxf>
      <font>
        <color rgb="FF833C0B"/>
      </font>
      <fill>
        <patternFill patternType="solid">
          <fgColor rgb="FF833C0B"/>
          <bgColor rgb="FF833C0B"/>
        </patternFill>
      </fill>
    </dxf>
    <dxf>
      <font>
        <color theme="1"/>
      </font>
      <fill>
        <patternFill patternType="solid">
          <fgColor theme="0"/>
          <bgColor theme="0"/>
        </patternFill>
      </fill>
    </dxf>
    <dxf>
      <font>
        <color rgb="FF833C0B"/>
      </font>
      <fill>
        <patternFill patternType="solid">
          <fgColor rgb="FF833C0B"/>
          <bgColor rgb="FF833C0B"/>
        </patternFill>
      </fill>
    </dxf>
    <dxf>
      <font>
        <color rgb="FF833C0B"/>
      </font>
      <fill>
        <patternFill patternType="solid">
          <fgColor rgb="FF833C0B"/>
          <bgColor rgb="FF833C0B"/>
        </patternFill>
      </fill>
    </dxf>
    <dxf>
      <font>
        <color theme="1"/>
      </font>
      <fill>
        <patternFill patternType="solid">
          <fgColor rgb="FFD5B8EA"/>
          <bgColor rgb="FFD5B8EA"/>
        </patternFill>
      </fill>
    </dxf>
    <dxf>
      <font>
        <color rgb="FF833C0B"/>
      </font>
      <fill>
        <patternFill patternType="solid">
          <fgColor rgb="FF833C0B"/>
          <bgColor rgb="FF833C0B"/>
        </patternFill>
      </fill>
    </dxf>
    <dxf>
      <font>
        <color theme="0"/>
      </font>
      <fill>
        <patternFill patternType="solid">
          <fgColor rgb="FF595959"/>
          <bgColor rgb="FF595959"/>
        </patternFill>
      </fill>
    </dxf>
    <dxf>
      <font>
        <color rgb="FF833C0B"/>
      </font>
      <fill>
        <patternFill patternType="solid">
          <fgColor rgb="FF833C0B"/>
          <bgColor rgb="FF833C0B"/>
        </patternFill>
      </fill>
    </dxf>
    <dxf>
      <fill>
        <patternFill patternType="solid">
          <fgColor rgb="FFE78075"/>
          <bgColor rgb="FFE78075"/>
        </patternFill>
      </fill>
    </dxf>
    <dxf>
      <font>
        <color rgb="FF833C0B"/>
      </font>
      <fill>
        <patternFill patternType="solid">
          <fgColor rgb="FF833C0B"/>
          <bgColor rgb="FF833C0B"/>
        </patternFill>
      </fill>
    </dxf>
    <dxf>
      <font>
        <color rgb="FF595959"/>
      </font>
      <fill>
        <patternFill patternType="solid">
          <fgColor rgb="FF595959"/>
          <bgColor rgb="FF595959"/>
        </patternFill>
      </fill>
    </dxf>
    <dxf>
      <font>
        <color rgb="FF595959"/>
      </font>
      <fill>
        <patternFill patternType="solid">
          <fgColor rgb="FF595959"/>
          <bgColor rgb="FF595959"/>
        </patternFill>
      </fill>
    </dxf>
    <dxf>
      <fill>
        <patternFill patternType="solid">
          <fgColor rgb="FFE78075"/>
          <bgColor rgb="FFE78075"/>
        </patternFill>
      </fill>
    </dxf>
    <dxf>
      <fill>
        <patternFill patternType="solid">
          <fgColor rgb="FFE78075"/>
          <bgColor rgb="FFE78075"/>
        </patternFill>
      </fill>
    </dxf>
    <dxf>
      <fill>
        <patternFill patternType="solid">
          <fgColor rgb="FFE78075"/>
          <bgColor rgb="FFE78075"/>
        </patternFill>
      </fill>
    </dxf>
    <dxf>
      <font>
        <color rgb="FF833C0B"/>
      </font>
      <fill>
        <patternFill patternType="solid">
          <fgColor rgb="FF833C0B"/>
          <bgColor rgb="FF833C0B"/>
        </patternFill>
      </fill>
    </dxf>
    <dxf>
      <fill>
        <patternFill patternType="solid">
          <fgColor rgb="FFE78075"/>
          <bgColor rgb="FFE78075"/>
        </patternFill>
      </fill>
    </dxf>
    <dxf>
      <fill>
        <patternFill patternType="solid">
          <fgColor rgb="FFE78075"/>
          <bgColor rgb="FFE78075"/>
        </patternFill>
      </fill>
    </dxf>
    <dxf>
      <fill>
        <patternFill patternType="solid">
          <fgColor rgb="FFE78075"/>
          <bgColor rgb="FFE78075"/>
        </patternFill>
      </fill>
    </dxf>
    <dxf>
      <fill>
        <patternFill patternType="solid">
          <fgColor rgb="FFE78075"/>
          <bgColor rgb="FFE78075"/>
        </patternFill>
      </fill>
    </dxf>
    <dxf>
      <font>
        <color rgb="FF595959"/>
      </font>
      <fill>
        <patternFill patternType="solid">
          <fgColor rgb="FF595959"/>
          <bgColor rgb="FF595959"/>
        </patternFill>
      </fill>
    </dxf>
    <dxf>
      <font>
        <color theme="0"/>
      </font>
      <fill>
        <patternFill patternType="solid">
          <fgColor rgb="FFC00000"/>
          <bgColor rgb="FFC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44"/>
      <tableStyleElement type="firstRowStripe" dxfId="43"/>
      <tableStyleElement type="secondRowStripe" dxfId="42"/>
    </tableStyle>
    <tableStyle name="Enemy Particles-style" pivot="0" count="3" xr9:uid="{00000000-0011-0000-FFFF-FFFF01000000}">
      <tableStyleElement type="headerRow" dxfId="41"/>
      <tableStyleElement type="firstRowStripe" dxfId="40"/>
      <tableStyleElement type="secondRowStripe" dxfId="39"/>
    </tableStyle>
    <tableStyle name="Self-Funding-style" pivot="0" count="3" xr9:uid="{00000000-0011-0000-FFFF-FFFF02000000}">
      <tableStyleElement type="headerRow" dxfId="38"/>
      <tableStyleElement type="firstRowStripe" dxfId="37"/>
      <tableStyleElement type="secondRowStripe" dxfId="36"/>
    </tableStyle>
    <tableStyle name="Calculations-style" pivot="0" count="3" xr9:uid="{00000000-0011-0000-FFFF-FFFF03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757575"/>
                </a:solidFill>
                <a:latin typeface="+mn-lt"/>
              </a:defRPr>
            </a:pPr>
            <a:r>
              <a:rPr sz="1400" b="0" i="0">
                <a:solidFill>
                  <a:srgbClr val="757575"/>
                </a:solidFill>
                <a:latin typeface="+mn-lt"/>
              </a:rPr>
              <a:t>Ability to fund own burst</a:t>
            </a:r>
          </a:p>
        </c:rich>
      </c:tx>
      <c:overlay val="0"/>
    </c:title>
    <c:autoTitleDeleted val="0"/>
    <c:plotArea>
      <c:layout/>
      <c:barChart>
        <c:barDir val="bar"/>
        <c:grouping val="stacked"/>
        <c:varyColors val="1"/>
        <c:ser>
          <c:idx val="0"/>
          <c:order val="0"/>
          <c:tx>
            <c:v>C0</c:v>
          </c:tx>
          <c:spPr>
            <a:solidFill>
              <a:srgbClr val="4472C4"/>
            </a:solidFill>
            <a:ln cmpd="sng">
              <a:solidFill>
                <a:srgbClr val="000000"/>
              </a:solidFill>
            </a:ln>
          </c:spPr>
          <c:invertIfNegative val="1"/>
          <c:cat>
            <c:strRef>
              <c:f>'Self-Funding'!$A$2:$A$35</c:f>
              <c:strCache>
                <c:ptCount val="34"/>
                <c:pt idx="0">
                  <c:v>Albedo</c:v>
                </c:pt>
                <c:pt idx="1">
                  <c:v>Alhaitham</c:v>
                </c:pt>
                <c:pt idx="2">
                  <c:v>Aloy</c:v>
                </c:pt>
                <c:pt idx="3">
                  <c:v>Amber</c:v>
                </c:pt>
                <c:pt idx="4">
                  <c:v>Ayaka</c:v>
                </c:pt>
                <c:pt idx="5">
                  <c:v>Ayato</c:v>
                </c:pt>
                <c:pt idx="6">
                  <c:v>Baizhu</c:v>
                </c:pt>
                <c:pt idx="7">
                  <c:v>Barbara</c:v>
                </c:pt>
                <c:pt idx="8">
                  <c:v>Beidou</c:v>
                </c:pt>
                <c:pt idx="9">
                  <c:v>Bennett</c:v>
                </c:pt>
                <c:pt idx="10">
                  <c:v>Candace</c:v>
                </c:pt>
                <c:pt idx="11">
                  <c:v>Childe</c:v>
                </c:pt>
                <c:pt idx="12">
                  <c:v>Chongyun</c:v>
                </c:pt>
                <c:pt idx="13">
                  <c:v>Clorinde</c:v>
                </c:pt>
                <c:pt idx="14">
                  <c:v>Collei</c:v>
                </c:pt>
                <c:pt idx="15">
                  <c:v>Cyno</c:v>
                </c:pt>
                <c:pt idx="16">
                  <c:v>Dehya</c:v>
                </c:pt>
                <c:pt idx="17">
                  <c:v>Diluc</c:v>
                </c:pt>
                <c:pt idx="18">
                  <c:v>Diona</c:v>
                </c:pt>
                <c:pt idx="19">
                  <c:v>Emilie</c:v>
                </c:pt>
                <c:pt idx="20">
                  <c:v>Eula</c:v>
                </c:pt>
                <c:pt idx="21">
                  <c:v>Faruzan</c:v>
                </c:pt>
                <c:pt idx="22">
                  <c:v>Fischl</c:v>
                </c:pt>
                <c:pt idx="23">
                  <c:v>Gaming</c:v>
                </c:pt>
                <c:pt idx="24">
                  <c:v>Ganyu</c:v>
                </c:pt>
                <c:pt idx="25">
                  <c:v>Gorou</c:v>
                </c:pt>
                <c:pt idx="26">
                  <c:v>Heizou</c:v>
                </c:pt>
                <c:pt idx="27">
                  <c:v>Hu Tao</c:v>
                </c:pt>
                <c:pt idx="28">
                  <c:v>Itto</c:v>
                </c:pt>
                <c:pt idx="29">
                  <c:v>Kachina</c:v>
                </c:pt>
                <c:pt idx="30">
                  <c:v>Kaeya</c:v>
                </c:pt>
                <c:pt idx="31">
                  <c:v>Kaveh</c:v>
                </c:pt>
                <c:pt idx="32">
                  <c:v>Kazuha</c:v>
                </c:pt>
                <c:pt idx="33">
                  <c:v>Keqing</c:v>
                </c:pt>
              </c:strCache>
            </c:strRef>
          </c:cat>
          <c:val>
            <c:numRef>
              <c:f>'Self-Funding'!$J$2:$J$35</c:f>
              <c:numCache>
                <c:formatCode>0%</c:formatCode>
                <c:ptCount val="34"/>
                <c:pt idx="0">
                  <c:v>0.16199999999999998</c:v>
                </c:pt>
                <c:pt idx="1">
                  <c:v>4.2857142857142858E-2</c:v>
                </c:pt>
                <c:pt idx="2">
                  <c:v>0.375</c:v>
                </c:pt>
                <c:pt idx="3">
                  <c:v>0.3</c:v>
                </c:pt>
                <c:pt idx="4">
                  <c:v>0.33750000000000002</c:v>
                </c:pt>
                <c:pt idx="5">
                  <c:v>0.16875000000000001</c:v>
                </c:pt>
                <c:pt idx="6">
                  <c:v>0.13125000000000001</c:v>
                </c:pt>
                <c:pt idx="7">
                  <c:v>0</c:v>
                </c:pt>
                <c:pt idx="8">
                  <c:v>0.26250000000000001</c:v>
                </c:pt>
                <c:pt idx="9">
                  <c:v>0.1125</c:v>
                </c:pt>
                <c:pt idx="10">
                  <c:v>0.1</c:v>
                </c:pt>
                <c:pt idx="11">
                  <c:v>0.15</c:v>
                </c:pt>
                <c:pt idx="12">
                  <c:v>0.6</c:v>
                </c:pt>
                <c:pt idx="13">
                  <c:v>0.4</c:v>
                </c:pt>
                <c:pt idx="14">
                  <c:v>0.22500000000000001</c:v>
                </c:pt>
                <c:pt idx="15">
                  <c:v>0.16027397260273973</c:v>
                </c:pt>
                <c:pt idx="16">
                  <c:v>0.10182857142857142</c:v>
                </c:pt>
                <c:pt idx="17">
                  <c:v>0.28125</c:v>
                </c:pt>
                <c:pt idx="18">
                  <c:v>6.0000000000000012E-2</c:v>
                </c:pt>
                <c:pt idx="19">
                  <c:v>0.16037999999999999</c:v>
                </c:pt>
                <c:pt idx="20">
                  <c:v>5.6250000000000001E-2</c:v>
                </c:pt>
                <c:pt idx="21">
                  <c:v>0.15</c:v>
                </c:pt>
                <c:pt idx="22">
                  <c:v>0.20100000000000001</c:v>
                </c:pt>
                <c:pt idx="23">
                  <c:v>0.1</c:v>
                </c:pt>
                <c:pt idx="24">
                  <c:v>0.3</c:v>
                </c:pt>
                <c:pt idx="25">
                  <c:v>0</c:v>
                </c:pt>
                <c:pt idx="26">
                  <c:v>0.3</c:v>
                </c:pt>
                <c:pt idx="27">
                  <c:v>0.47999999999999993</c:v>
                </c:pt>
                <c:pt idx="28">
                  <c:v>0.19499999999999998</c:v>
                </c:pt>
                <c:pt idx="29">
                  <c:v>0.10182857142857142</c:v>
                </c:pt>
                <c:pt idx="30">
                  <c:v>0.13350000000000001</c:v>
                </c:pt>
                <c:pt idx="31">
                  <c:v>7.4999999999999997E-2</c:v>
                </c:pt>
                <c:pt idx="32">
                  <c:v>0.3</c:v>
                </c:pt>
                <c:pt idx="33">
                  <c:v>0.1875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77F-4AD1-9E0E-FAB6ECD65AD5}"/>
            </c:ext>
          </c:extLst>
        </c:ser>
        <c:ser>
          <c:idx val="1"/>
          <c:order val="1"/>
          <c:tx>
            <c:v>C6</c:v>
          </c:tx>
          <c:spPr>
            <a:solidFill>
              <a:srgbClr val="ED7D31"/>
            </a:solidFill>
            <a:ln cmpd="sng">
              <a:solidFill>
                <a:srgbClr val="000000"/>
              </a:solidFill>
            </a:ln>
          </c:spPr>
          <c:invertIfNegative val="1"/>
          <c:cat>
            <c:strRef>
              <c:f>'Self-Funding'!$A$2:$A$35</c:f>
              <c:strCache>
                <c:ptCount val="34"/>
                <c:pt idx="0">
                  <c:v>Albedo</c:v>
                </c:pt>
                <c:pt idx="1">
                  <c:v>Alhaitham</c:v>
                </c:pt>
                <c:pt idx="2">
                  <c:v>Aloy</c:v>
                </c:pt>
                <c:pt idx="3">
                  <c:v>Amber</c:v>
                </c:pt>
                <c:pt idx="4">
                  <c:v>Ayaka</c:v>
                </c:pt>
                <c:pt idx="5">
                  <c:v>Ayato</c:v>
                </c:pt>
                <c:pt idx="6">
                  <c:v>Baizhu</c:v>
                </c:pt>
                <c:pt idx="7">
                  <c:v>Barbara</c:v>
                </c:pt>
                <c:pt idx="8">
                  <c:v>Beidou</c:v>
                </c:pt>
                <c:pt idx="9">
                  <c:v>Bennett</c:v>
                </c:pt>
                <c:pt idx="10">
                  <c:v>Candace</c:v>
                </c:pt>
                <c:pt idx="11">
                  <c:v>Childe</c:v>
                </c:pt>
                <c:pt idx="12">
                  <c:v>Chongyun</c:v>
                </c:pt>
                <c:pt idx="13">
                  <c:v>Clorinde</c:v>
                </c:pt>
                <c:pt idx="14">
                  <c:v>Collei</c:v>
                </c:pt>
                <c:pt idx="15">
                  <c:v>Cyno</c:v>
                </c:pt>
                <c:pt idx="16">
                  <c:v>Dehya</c:v>
                </c:pt>
                <c:pt idx="17">
                  <c:v>Diluc</c:v>
                </c:pt>
                <c:pt idx="18">
                  <c:v>Diona</c:v>
                </c:pt>
                <c:pt idx="19">
                  <c:v>Emilie</c:v>
                </c:pt>
                <c:pt idx="20">
                  <c:v>Eula</c:v>
                </c:pt>
                <c:pt idx="21">
                  <c:v>Faruzan</c:v>
                </c:pt>
                <c:pt idx="22">
                  <c:v>Fischl</c:v>
                </c:pt>
                <c:pt idx="23">
                  <c:v>Gaming</c:v>
                </c:pt>
                <c:pt idx="24">
                  <c:v>Ganyu</c:v>
                </c:pt>
                <c:pt idx="25">
                  <c:v>Gorou</c:v>
                </c:pt>
                <c:pt idx="26">
                  <c:v>Heizou</c:v>
                </c:pt>
                <c:pt idx="27">
                  <c:v>Hu Tao</c:v>
                </c:pt>
                <c:pt idx="28">
                  <c:v>Itto</c:v>
                </c:pt>
                <c:pt idx="29">
                  <c:v>Kachina</c:v>
                </c:pt>
                <c:pt idx="30">
                  <c:v>Kaeya</c:v>
                </c:pt>
                <c:pt idx="31">
                  <c:v>Kaveh</c:v>
                </c:pt>
                <c:pt idx="32">
                  <c:v>Kazuha</c:v>
                </c:pt>
                <c:pt idx="33">
                  <c:v>Keqing</c:v>
                </c:pt>
              </c:strCache>
            </c:strRef>
          </c:cat>
          <c:val>
            <c:numRef>
              <c:f>'Self-Funding'!$K$2:$K$35</c:f>
              <c:numCache>
                <c:formatCode>0%</c:formatCode>
                <c:ptCount val="34"/>
                <c:pt idx="0">
                  <c:v>3.0857142857142861E-2</c:v>
                </c:pt>
                <c:pt idx="1">
                  <c:v>0</c:v>
                </c:pt>
                <c:pt idx="2">
                  <c:v>1.9736842105263164E-2</c:v>
                </c:pt>
                <c:pt idx="3">
                  <c:v>0</c:v>
                </c:pt>
                <c:pt idx="4">
                  <c:v>0</c:v>
                </c:pt>
                <c:pt idx="5">
                  <c:v>0</c:v>
                </c:pt>
                <c:pt idx="6">
                  <c:v>0</c:v>
                </c:pt>
                <c:pt idx="7">
                  <c:v>0</c:v>
                </c:pt>
                <c:pt idx="8">
                  <c:v>0</c:v>
                </c:pt>
                <c:pt idx="9">
                  <c:v>0</c:v>
                </c:pt>
                <c:pt idx="10">
                  <c:v>7.9999999999999988E-2</c:v>
                </c:pt>
                <c:pt idx="11">
                  <c:v>0</c:v>
                </c:pt>
                <c:pt idx="12">
                  <c:v>0</c:v>
                </c:pt>
                <c:pt idx="13">
                  <c:v>0.1333333333333333</c:v>
                </c:pt>
                <c:pt idx="14">
                  <c:v>0</c:v>
                </c:pt>
                <c:pt idx="15">
                  <c:v>2.5440313111545987E-2</c:v>
                </c:pt>
                <c:pt idx="16">
                  <c:v>0</c:v>
                </c:pt>
                <c:pt idx="17">
                  <c:v>0</c:v>
                </c:pt>
                <c:pt idx="18">
                  <c:v>6.0000000000000012E-2</c:v>
                </c:pt>
                <c:pt idx="19">
                  <c:v>0</c:v>
                </c:pt>
                <c:pt idx="20">
                  <c:v>8.035714285714278E-3</c:v>
                </c:pt>
                <c:pt idx="21">
                  <c:v>0</c:v>
                </c:pt>
                <c:pt idx="22">
                  <c:v>0</c:v>
                </c:pt>
                <c:pt idx="23">
                  <c:v>0.03</c:v>
                </c:pt>
                <c:pt idx="24">
                  <c:v>0</c:v>
                </c:pt>
                <c:pt idx="25">
                  <c:v>0</c:v>
                </c:pt>
                <c:pt idx="26">
                  <c:v>0</c:v>
                </c:pt>
                <c:pt idx="27">
                  <c:v>0</c:v>
                </c:pt>
                <c:pt idx="28">
                  <c:v>0</c:v>
                </c:pt>
                <c:pt idx="29">
                  <c:v>2.0365714285714279E-2</c:v>
                </c:pt>
                <c:pt idx="30">
                  <c:v>3.3374999999999988E-2</c:v>
                </c:pt>
                <c:pt idx="31">
                  <c:v>0</c:v>
                </c:pt>
                <c:pt idx="32">
                  <c:v>0</c:v>
                </c:pt>
                <c:pt idx="3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77F-4AD1-9E0E-FAB6ECD65AD5}"/>
            </c:ext>
          </c:extLst>
        </c:ser>
        <c:dLbls>
          <c:showLegendKey val="0"/>
          <c:showVal val="0"/>
          <c:showCatName val="0"/>
          <c:showSerName val="0"/>
          <c:showPercent val="0"/>
          <c:showBubbleSize val="0"/>
        </c:dLbls>
        <c:gapWidth val="150"/>
        <c:overlap val="100"/>
        <c:axId val="1636646574"/>
        <c:axId val="524093993"/>
      </c:barChart>
      <c:catAx>
        <c:axId val="1636646574"/>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4093993"/>
        <c:crosses val="autoZero"/>
        <c:auto val="1"/>
        <c:lblAlgn val="ctr"/>
        <c:lblOffset val="100"/>
        <c:noMultiLvlLbl val="1"/>
      </c:catAx>
      <c:valAx>
        <c:axId val="524093993"/>
        <c:scaling>
          <c:orientation val="minMax"/>
          <c:max val="0.60000000000000009"/>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636646574"/>
        <c:crosses val="max"/>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11</xdr:col>
      <xdr:colOff>104775</xdr:colOff>
      <xdr:row>0</xdr:row>
      <xdr:rowOff>57150</xdr:rowOff>
    </xdr:from>
    <xdr:ext cx="5543550" cy="8153400"/>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104</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E106">
  <tableColumns count="31">
    <tableColumn id="1" xr3:uid="{00000000-0010-0000-0000-000001000000}" name="Character"/>
    <tableColumn id="2" xr3:uid="{00000000-0010-0000-0000-000002000000}" name="Element"/>
    <tableColumn id="3" xr3:uid="{00000000-0010-0000-0000-000003000000}" name="Label 1"/>
    <tableColumn id="4" xr3:uid="{00000000-0010-0000-0000-000004000000}" name="Label 2"/>
    <tableColumn id="5" xr3:uid="{00000000-0010-0000-0000-000005000000}" name="Label 3"/>
    <tableColumn id="6" xr3:uid="{00000000-0010-0000-0000-000006000000}" name="Particles 1"/>
    <tableColumn id="7" xr3:uid="{00000000-0010-0000-0000-000007000000}" name="Particles 2"/>
    <tableColumn id="8" xr3:uid="{00000000-0010-0000-0000-000008000000}" name="Particles 3"/>
    <tableColumn id="9" xr3:uid="{00000000-0010-0000-0000-000009000000}" name="Flat 1"/>
    <tableColumn id="10" xr3:uid="{00000000-0010-0000-0000-00000A000000}" name="Flat 2"/>
    <tableColumn id="11" xr3:uid="{00000000-0010-0000-0000-00000B000000}" name="Flat 3"/>
    <tableColumn id="12" xr3:uid="{00000000-0010-0000-0000-00000C000000}" name="Variance 1"/>
    <tableColumn id="13" xr3:uid="{00000000-0010-0000-0000-00000D000000}" name="Variance 2"/>
    <tableColumn id="14" xr3:uid="{00000000-0010-0000-0000-00000E000000}" name="Variance 3"/>
    <tableColumn id="15" xr3:uid="{00000000-0010-0000-0000-00000F000000}" name="Per second 1"/>
    <tableColumn id="16" xr3:uid="{00000000-0010-0000-0000-000010000000}" name="Per second 2"/>
    <tableColumn id="17" xr3:uid="{00000000-0010-0000-0000-000011000000}" name="Per second 3"/>
    <tableColumn id="18" xr3:uid="{00000000-0010-0000-0000-000012000000}" name="Duration 1"/>
    <tableColumn id="19" xr3:uid="{00000000-0010-0000-0000-000013000000}" name="Duration 2"/>
    <tableColumn id="20" xr3:uid="{00000000-0010-0000-0000-000014000000}" name="Duration 3"/>
    <tableColumn id="21" xr3:uid="{00000000-0010-0000-0000-000015000000}" name="Cooldown 1"/>
    <tableColumn id="22" xr3:uid="{00000000-0010-0000-0000-000016000000}" name="Cooldown 2"/>
    <tableColumn id="23" xr3:uid="{00000000-0010-0000-0000-000017000000}" name="Cooldown 3"/>
    <tableColumn id="24" xr3:uid="{00000000-0010-0000-0000-000018000000}" name="Burst cooldown"/>
    <tableColumn id="25" xr3:uid="{00000000-0010-0000-0000-000019000000}" name="Burst Energy"/>
    <tableColumn id="26" xr3:uid="{00000000-0010-0000-0000-00001A000000}" name="Burst Discount"/>
    <tableColumn id="27" xr3:uid="{00000000-0010-0000-0000-00001B000000}" name="ER"/>
    <tableColumn id="28" xr3:uid="{00000000-0010-0000-0000-00001C000000}" name="Help (flexible)"/>
    <tableColumn id="29" xr3:uid="{00000000-0010-0000-0000-00001D000000}" name="Help (fixed)"/>
    <tableColumn id="30" xr3:uid="{00000000-0010-0000-0000-00001E000000}" name="Error (flexible)"/>
    <tableColumn id="31" xr3:uid="{00000000-0010-0000-0000-00001F000000}" name="Error (fixed)"/>
  </tableColumns>
  <tableStyleInfo name="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S11">
  <tableColumns count="19">
    <tableColumn id="1" xr3:uid="{00000000-0010-0000-0100-000001000000}" name="Chamber"/>
    <tableColumn id="2" xr3:uid="{00000000-0010-0000-0100-000002000000}" name="_Clear"/>
    <tableColumn id="3" xr3:uid="{00000000-0010-0000-0100-000003000000}" name="_Anemo"/>
    <tableColumn id="4" xr3:uid="{00000000-0010-0000-0100-000004000000}" name="_Cryo"/>
    <tableColumn id="5" xr3:uid="{00000000-0010-0000-0100-000005000000}" name="_Dendro"/>
    <tableColumn id="6" xr3:uid="{00000000-0010-0000-0100-000006000000}" name="_Electro"/>
    <tableColumn id="7" xr3:uid="{00000000-0010-0000-0100-000007000000}" name="_Geo"/>
    <tableColumn id="8" xr3:uid="{00000000-0010-0000-0100-000008000000}" name="_Hydro"/>
    <tableColumn id="9" xr3:uid="{00000000-0010-0000-0100-000009000000}" name="_Pyro"/>
    <tableColumn id="10" xr3:uid="{00000000-0010-0000-0100-00000A000000}" name="Clear"/>
    <tableColumn id="11" xr3:uid="{00000000-0010-0000-0100-00000B000000}" name="Anemo"/>
    <tableColumn id="12" xr3:uid="{00000000-0010-0000-0100-00000C000000}" name="Cryo"/>
    <tableColumn id="13" xr3:uid="{00000000-0010-0000-0100-00000D000000}" name="Dendro"/>
    <tableColumn id="14" xr3:uid="{00000000-0010-0000-0100-00000E000000}" name="Electro"/>
    <tableColumn id="15" xr3:uid="{00000000-0010-0000-0100-00000F000000}" name="Geo"/>
    <tableColumn id="16" xr3:uid="{00000000-0010-0000-0100-000010000000}" name="Hydro"/>
    <tableColumn id="17" xr3:uid="{00000000-0010-0000-0100-000011000000}" name="Pyro"/>
    <tableColumn id="18" xr3:uid="{00000000-0010-0000-0100-000012000000}" name="None"/>
    <tableColumn id="19" xr3:uid="{00000000-0010-0000-0100-000013000000}" name="Description"/>
  </tableColumns>
  <tableStyleInfo name="Enemy Particl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K35">
  <tableColumns count="11">
    <tableColumn id="1" xr3:uid="{00000000-0010-0000-0200-000001000000}" name="Character"/>
    <tableColumn id="2" xr3:uid="{00000000-0010-0000-0200-000002000000}" name="Press"/>
    <tableColumn id="3" xr3:uid="{00000000-0010-0000-0200-000003000000}" name="Hold"/>
    <tableColumn id="4" xr3:uid="{00000000-0010-0000-0200-000004000000}" name="Turret Uptime"/>
    <tableColumn id="5" xr3:uid="{00000000-0010-0000-0200-000005000000}" name="Skill cooldown"/>
    <tableColumn id="6" xr3:uid="{00000000-0010-0000-0200-000006000000}" name="Burst cooldown"/>
    <tableColumn id="7" xr3:uid="{00000000-0010-0000-0200-000007000000}" name="Energy Produced"/>
    <tableColumn id="8" xr3:uid="{00000000-0010-0000-0200-000008000000}" name="Energy Required (C0)"/>
    <tableColumn id="9" xr3:uid="{00000000-0010-0000-0200-000009000000}" name="Energy Required (C6)"/>
    <tableColumn id="10" xr3:uid="{00000000-0010-0000-0200-00000A000000}" name="C0"/>
    <tableColumn id="11" xr3:uid="{00000000-0010-0000-0200-00000B000000}" name="C6"/>
  </tableColumns>
  <tableStyleInfo name="Self-Funding-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41">
  <tableColumns count="28">
    <tableColumn id="1" xr3:uid="{00000000-0010-0000-0300-000001000000}" name="Character"/>
    <tableColumn id="2" xr3:uid="{00000000-0010-0000-0300-000002000000}" name="Notes"/>
    <tableColumn id="3" xr3:uid="{00000000-0010-0000-0300-000003000000}" name="Element"/>
    <tableColumn id="4" xr3:uid="{00000000-0010-0000-0300-000004000000}" name="Field Time"/>
    <tableColumn id="5" xr3:uid="{00000000-0010-0000-0300-000005000000}" name="E tap"/>
    <tableColumn id="6" xr3:uid="{00000000-0010-0000-0300-000006000000}" name="E hold"/>
    <tableColumn id="7" xr3:uid="{00000000-0010-0000-0300-000007000000}" name="Cooldown"/>
    <tableColumn id="8" xr3:uid="{00000000-0010-0000-0300-000008000000}" name="Energy"/>
    <tableColumn id="9" xr3:uid="{00000000-0010-0000-0300-000009000000}" name="Self particles"/>
    <tableColumn id="10" xr3:uid="{00000000-0010-0000-0300-00000A000000}" name="Self Energy"/>
    <tableColumn id="11" xr3:uid="{00000000-0010-0000-0300-00000B000000}" name="Discount"/>
    <tableColumn id="12" xr3:uid="{00000000-0010-0000-0300-00000C000000}" name="Orbs (1:30 clear)"/>
    <tableColumn id="13" xr3:uid="{00000000-0010-0000-0300-00000D000000}" name="Orbs (2:30 clear)"/>
    <tableColumn id="14" xr3:uid="{00000000-0010-0000-0300-00000E000000}" name="Orbs (5:00 clear)"/>
    <tableColumn id="15" xr3:uid="{00000000-0010-0000-0300-00000F000000}" name="Team Energy (low)"/>
    <tableColumn id="16" xr3:uid="{00000000-0010-0000-0300-000010000000}" name="Team Energy (medium)"/>
    <tableColumn id="17" xr3:uid="{00000000-0010-0000-0300-000011000000}" name="Team Energy (high)"/>
    <tableColumn id="18" xr3:uid="{00000000-0010-0000-0300-000012000000}" name="Team Energy (very high)"/>
    <tableColumn id="19" xr3:uid="{00000000-0010-0000-0300-000013000000}" name="ER (1:30 low)"/>
    <tableColumn id="20" xr3:uid="{00000000-0010-0000-0300-000014000000}" name="ER (1:30 med)"/>
    <tableColumn id="21" xr3:uid="{00000000-0010-0000-0300-000015000000}" name="ER (1:30 high)"/>
    <tableColumn id="22" xr3:uid="{00000000-0010-0000-0300-000016000000}" name="ER (1:30 vhigh)"/>
    <tableColumn id="23" xr3:uid="{00000000-0010-0000-0300-000017000000}" name="ER (2:30 low)"/>
    <tableColumn id="24" xr3:uid="{00000000-0010-0000-0300-000018000000}" name="ER (2:30 med)"/>
    <tableColumn id="25" xr3:uid="{00000000-0010-0000-0300-000019000000}" name="ER (2:30 high)"/>
    <tableColumn id="26" xr3:uid="{00000000-0010-0000-0300-00001A000000}" name="ER (5:00 low)"/>
    <tableColumn id="27" xr3:uid="{00000000-0010-0000-0300-00001B000000}" name="ER (5:00 med)"/>
    <tableColumn id="28" xr3:uid="{00000000-0010-0000-0300-00001C000000}" name="ER (5:00 high)"/>
  </tableColumns>
  <tableStyleInfo name="Calcula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enshin-impact.fandom.com/wiki/Energy" TargetMode="External"/><Relationship Id="rId2" Type="http://schemas.openxmlformats.org/officeDocument/2006/relationships/hyperlink" Target="https://docs.google.com/spreadsheets/d/1-vkmgp5n0bI9pvhUg110Aza3Emb2puLWdeoCgrxDlu4" TargetMode="External"/><Relationship Id="rId1" Type="http://schemas.openxmlformats.org/officeDocument/2006/relationships/hyperlink" Target="https://docs.google.com/document/d/e/2PACX-1vTsbs-nboNg8atTMjZxn8e6jnB8slMzw1c0_zdG7j__5b0tTAciNZqCzWpSIP3HVDX6nOKrYqS9862O/pu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3"/>
  <sheetViews>
    <sheetView tabSelected="1" topLeftCell="A51" zoomScale="130" zoomScaleNormal="130" workbookViewId="0">
      <selection activeCell="E81" sqref="E81"/>
    </sheetView>
  </sheetViews>
  <sheetFormatPr defaultColWidth="14.42578125" defaultRowHeight="15" customHeight="1" x14ac:dyDescent="0.25"/>
  <cols>
    <col min="1" max="1" width="2.5703125" customWidth="1"/>
    <col min="2" max="2" width="26.140625" customWidth="1"/>
    <col min="3" max="3" width="12.5703125" customWidth="1"/>
    <col min="4" max="4" width="1.5703125" customWidth="1"/>
    <col min="5" max="5" width="15.42578125" customWidth="1"/>
    <col min="6" max="6" width="4.140625" customWidth="1"/>
    <col min="7" max="7" width="1.5703125" customWidth="1"/>
    <col min="8" max="8" width="15.42578125" customWidth="1"/>
    <col min="9" max="9" width="4.140625" customWidth="1"/>
    <col min="10" max="10" width="1.5703125" customWidth="1"/>
    <col min="11" max="11" width="15.42578125" customWidth="1"/>
    <col min="12" max="12" width="4.140625" customWidth="1"/>
    <col min="13" max="13" width="1.5703125" customWidth="1"/>
    <col min="14" max="14" width="15.42578125" customWidth="1"/>
    <col min="15" max="15" width="4.140625" customWidth="1"/>
    <col min="16" max="17" width="3.5703125" customWidth="1"/>
    <col min="18" max="18" width="87.85546875" customWidth="1"/>
    <col min="19" max="21" width="9.85546875" customWidth="1"/>
    <col min="22" max="22" width="13.85546875" customWidth="1"/>
    <col min="23" max="24" width="9.85546875" customWidth="1"/>
    <col min="25" max="28" width="12.140625" customWidth="1"/>
    <col min="29" max="40" width="11.140625" customWidth="1"/>
    <col min="41" max="45" width="8.7109375" customWidth="1"/>
  </cols>
  <sheetData>
    <row r="1" spans="1:45" ht="14.25" customHeight="1" x14ac:dyDescent="0.25">
      <c r="A1" s="1"/>
      <c r="B1" s="1"/>
      <c r="C1" s="1"/>
      <c r="D1" s="1"/>
      <c r="E1" s="1"/>
      <c r="F1" s="1"/>
      <c r="G1" s="1"/>
      <c r="H1" s="1"/>
      <c r="I1" s="1"/>
      <c r="J1" s="1"/>
      <c r="K1" s="1"/>
      <c r="L1" s="1"/>
      <c r="M1" s="1"/>
      <c r="N1" s="1"/>
      <c r="O1" s="1"/>
      <c r="P1" s="1"/>
      <c r="Q1" s="2"/>
      <c r="R1" s="3"/>
      <c r="S1" s="1"/>
      <c r="T1" s="1"/>
      <c r="U1" s="1"/>
      <c r="V1" s="1"/>
      <c r="W1" s="1"/>
      <c r="X1" s="1"/>
      <c r="Y1" s="1"/>
      <c r="Z1" s="1"/>
      <c r="AA1" s="1"/>
      <c r="AB1" s="1"/>
      <c r="AC1" s="1"/>
      <c r="AD1" s="1"/>
      <c r="AE1" s="1"/>
      <c r="AF1" s="1"/>
      <c r="AG1" s="1"/>
      <c r="AH1" s="1"/>
      <c r="AI1" s="1"/>
      <c r="AJ1" s="1"/>
      <c r="AK1" s="1"/>
      <c r="AL1" s="1"/>
      <c r="AM1" s="1"/>
      <c r="AN1" s="1"/>
      <c r="AO1" s="4" t="s">
        <v>0</v>
      </c>
      <c r="AP1" s="4">
        <v>1</v>
      </c>
      <c r="AQ1" s="4"/>
      <c r="AR1" s="4" t="str">
        <f>C122</f>
        <v>1.62.0</v>
      </c>
      <c r="AS1" s="4"/>
    </row>
    <row r="2" spans="1:45" ht="14.25" customHeight="1" x14ac:dyDescent="0.25">
      <c r="A2" s="1"/>
      <c r="B2" s="5" t="s">
        <v>1</v>
      </c>
      <c r="C2" s="6">
        <v>90</v>
      </c>
      <c r="D2" s="7"/>
      <c r="E2" s="133" t="s">
        <v>2</v>
      </c>
      <c r="F2" s="134"/>
      <c r="G2" s="1"/>
      <c r="H2" s="8" t="s">
        <v>3</v>
      </c>
      <c r="I2" s="8"/>
      <c r="J2" s="9"/>
      <c r="K2" s="9"/>
      <c r="L2" s="9"/>
      <c r="M2" s="9"/>
      <c r="N2" s="161">
        <v>5.5</v>
      </c>
      <c r="O2" s="134"/>
      <c r="P2" s="1"/>
      <c r="Q2" s="2"/>
      <c r="R2" s="2" t="s">
        <v>4</v>
      </c>
      <c r="S2" s="1"/>
      <c r="T2" s="1"/>
      <c r="U2" s="1"/>
      <c r="V2" s="1"/>
      <c r="W2" s="1"/>
      <c r="X2" s="1"/>
      <c r="Y2" s="1"/>
      <c r="Z2" s="1"/>
      <c r="AA2" s="1"/>
      <c r="AB2" s="1"/>
      <c r="AC2" s="1"/>
      <c r="AD2" s="1"/>
      <c r="AE2" s="1"/>
      <c r="AF2" s="1"/>
      <c r="AG2" s="1"/>
      <c r="AH2" s="1"/>
      <c r="AI2" s="1"/>
      <c r="AJ2" s="1"/>
      <c r="AK2" s="1"/>
      <c r="AL2" s="1"/>
      <c r="AM2" s="1"/>
      <c r="AN2" s="1"/>
      <c r="AO2" s="4" t="s">
        <v>5</v>
      </c>
      <c r="AP2" s="4">
        <v>0.5</v>
      </c>
      <c r="AQ2" s="4"/>
      <c r="AR2" s="4"/>
      <c r="AS2" s="4"/>
    </row>
    <row r="3" spans="1:45" ht="14.25" customHeight="1" x14ac:dyDescent="0.25">
      <c r="A3" s="1"/>
      <c r="B3" s="5" t="s">
        <v>6</v>
      </c>
      <c r="C3" s="6" t="s">
        <v>7</v>
      </c>
      <c r="D3" s="7"/>
      <c r="E3" s="162">
        <v>9</v>
      </c>
      <c r="F3" s="154"/>
      <c r="G3" s="1"/>
      <c r="H3" s="1"/>
      <c r="I3" s="1"/>
      <c r="J3" s="1"/>
      <c r="K3" s="1"/>
      <c r="L3" s="1"/>
      <c r="M3" s="1"/>
      <c r="N3" s="1"/>
      <c r="O3" s="1"/>
      <c r="P3" s="1"/>
      <c r="Q3" s="2"/>
      <c r="R3" s="2" t="e">
        <f t="array" aca="1" ref="R3" ca="1">INDEX('Enemy Particles'!$S$3:$S$11, MATCH('Energy Recharge Calculator'!C3,'Enemy Particles'!$A$3:$A$11,0))</f>
        <v>#NAME?</v>
      </c>
      <c r="S3" s="1"/>
      <c r="T3" s="1"/>
      <c r="U3" s="1"/>
      <c r="V3" s="1"/>
      <c r="W3" s="1"/>
      <c r="X3" s="1"/>
      <c r="Y3" s="1"/>
      <c r="Z3" s="1"/>
      <c r="AA3" s="1"/>
      <c r="AB3" s="1"/>
      <c r="AC3" s="1"/>
      <c r="AD3" s="1"/>
      <c r="AE3" s="1"/>
      <c r="AF3" s="1"/>
      <c r="AG3" s="1"/>
      <c r="AH3" s="1"/>
      <c r="AI3" s="1"/>
      <c r="AJ3" s="1"/>
      <c r="AK3" s="1"/>
      <c r="AL3" s="1"/>
      <c r="AM3" s="1"/>
      <c r="AN3" s="1"/>
      <c r="AO3" s="4" t="s">
        <v>8</v>
      </c>
      <c r="AP3" s="4">
        <v>0</v>
      </c>
      <c r="AQ3" s="4"/>
      <c r="AR3" s="4"/>
      <c r="AS3" s="4"/>
    </row>
    <row r="4" spans="1:45" ht="14.25" customHeight="1" x14ac:dyDescent="0.25">
      <c r="A4" s="1"/>
      <c r="B4" s="5" t="s">
        <v>9</v>
      </c>
      <c r="C4" s="10" t="s">
        <v>0</v>
      </c>
      <c r="D4" s="4"/>
      <c r="E4" s="4"/>
      <c r="F4" s="4"/>
      <c r="G4" s="1"/>
      <c r="H4" s="1"/>
      <c r="I4" s="1"/>
      <c r="J4" s="1"/>
      <c r="K4" s="1"/>
      <c r="L4" s="1"/>
      <c r="M4" s="1"/>
      <c r="N4" s="1"/>
      <c r="O4" s="1"/>
      <c r="P4" s="1"/>
      <c r="Q4" s="2"/>
      <c r="R4" s="2" t="str">
        <f>IF(C4=AO1,"Assume skills always lowroll particles and turrets produce half the expected particles.",
IF(C4=AO2,"Assume skills are more likely to lowroll particles and turrets produce 0.75x the expected particles.",
"Change this if you want to have enough ER even when you get unlucky on particle RNG."))</f>
        <v>Assume skills always lowroll particles and turrets produce half the expected particles.</v>
      </c>
      <c r="S4" s="1"/>
      <c r="T4" s="1"/>
      <c r="U4" s="1"/>
      <c r="V4" s="1"/>
      <c r="W4" s="1"/>
      <c r="X4" s="1"/>
      <c r="Y4" s="1"/>
      <c r="Z4" s="1"/>
      <c r="AA4" s="1"/>
      <c r="AB4" s="1"/>
      <c r="AC4" s="1"/>
      <c r="AD4" s="1"/>
      <c r="AE4" s="1"/>
      <c r="AF4" s="1"/>
      <c r="AG4" s="1"/>
      <c r="AH4" s="1"/>
      <c r="AI4" s="1"/>
      <c r="AJ4" s="1"/>
      <c r="AK4" s="1"/>
      <c r="AL4" s="1"/>
      <c r="AM4" s="1"/>
      <c r="AN4" s="1"/>
      <c r="AO4" s="4"/>
      <c r="AP4" s="4"/>
      <c r="AQ4" s="4"/>
      <c r="AR4" s="4"/>
      <c r="AS4" s="4"/>
    </row>
    <row r="5" spans="1:45" ht="14.25" customHeight="1" x14ac:dyDescent="0.25">
      <c r="A5" s="1"/>
      <c r="B5" s="5" t="s">
        <v>10</v>
      </c>
      <c r="C5" s="10" t="s">
        <v>11</v>
      </c>
      <c r="D5" s="4"/>
      <c r="E5" s="4"/>
      <c r="F5" s="4"/>
      <c r="G5" s="1"/>
      <c r="H5" s="1"/>
      <c r="I5" s="1"/>
      <c r="J5" s="1"/>
      <c r="K5" s="1"/>
      <c r="L5" s="1"/>
      <c r="M5" s="1"/>
      <c r="N5" s="1"/>
      <c r="O5" s="1"/>
      <c r="P5" s="1"/>
      <c r="Q5" s="2"/>
      <c r="R5" s="2" t="str">
        <f>IF(C5=Flexible, "Each character has a separate time between burst uses", "Every character uses skills and bursts on a fixed rotation. Change to ""Flexible"" for the classic view.")</f>
        <v>Every character uses skills and bursts on a fixed rotation. Change to "Flexible" for the classic view.</v>
      </c>
      <c r="S5" s="1"/>
      <c r="T5" s="1"/>
      <c r="U5" s="1"/>
      <c r="V5" s="1"/>
      <c r="W5" s="1"/>
      <c r="X5" s="1"/>
      <c r="Y5" s="1"/>
      <c r="Z5" s="1"/>
      <c r="AA5" s="1"/>
      <c r="AB5" s="1"/>
      <c r="AC5" s="1"/>
      <c r="AD5" s="1"/>
      <c r="AE5" s="1"/>
      <c r="AF5" s="1"/>
      <c r="AG5" s="1"/>
      <c r="AH5" s="1"/>
      <c r="AI5" s="1"/>
      <c r="AJ5" s="1"/>
      <c r="AK5" s="1"/>
      <c r="AL5" s="1"/>
      <c r="AM5" s="1"/>
      <c r="AN5" s="1"/>
      <c r="AO5" s="4" t="s">
        <v>12</v>
      </c>
      <c r="AP5" s="4"/>
      <c r="AQ5" s="4"/>
      <c r="AR5" s="4"/>
      <c r="AS5" s="4"/>
    </row>
    <row r="6" spans="1:45" ht="14.25" customHeight="1" x14ac:dyDescent="0.25">
      <c r="A6" s="1"/>
      <c r="B6" s="5" t="s">
        <v>13</v>
      </c>
      <c r="C6" s="6">
        <v>20</v>
      </c>
      <c r="D6" s="4"/>
      <c r="E6" s="4"/>
      <c r="F6" s="4"/>
      <c r="G6" s="1"/>
      <c r="H6" s="1"/>
      <c r="I6" s="1"/>
      <c r="J6" s="1"/>
      <c r="K6" s="1"/>
      <c r="L6" s="1"/>
      <c r="M6" s="1"/>
      <c r="N6" s="1"/>
      <c r="O6" s="1"/>
      <c r="P6" s="1"/>
      <c r="Q6" s="2"/>
      <c r="R6" s="2" t="str">
        <f>IF(C5=Fixed, "How long it takes you to complete one rotation", "")</f>
        <v>How long it takes you to complete one rotation</v>
      </c>
      <c r="S6" s="1"/>
      <c r="T6" s="1"/>
      <c r="U6" s="1"/>
      <c r="V6" s="1"/>
      <c r="W6" s="1"/>
      <c r="X6" s="1"/>
      <c r="Y6" s="1"/>
      <c r="Z6" s="1"/>
      <c r="AA6" s="1"/>
      <c r="AB6" s="1"/>
      <c r="AC6" s="1"/>
      <c r="AD6" s="1"/>
      <c r="AE6" s="1"/>
      <c r="AF6" s="1"/>
      <c r="AG6" s="1"/>
      <c r="AH6" s="1"/>
      <c r="AI6" s="1"/>
      <c r="AJ6" s="1"/>
      <c r="AK6" s="1"/>
      <c r="AL6" s="1"/>
      <c r="AM6" s="1"/>
      <c r="AN6" s="1"/>
      <c r="AO6" s="4" t="s">
        <v>11</v>
      </c>
      <c r="AP6" s="4"/>
      <c r="AQ6" s="4"/>
      <c r="AR6" s="4"/>
      <c r="AS6" s="4"/>
    </row>
    <row r="7" spans="1:45" ht="14.25" customHeight="1" x14ac:dyDescent="0.25">
      <c r="A7" s="1"/>
      <c r="B7" s="133" t="s">
        <v>14</v>
      </c>
      <c r="C7" s="134"/>
      <c r="D7" s="7"/>
      <c r="E7" s="163" t="s">
        <v>210</v>
      </c>
      <c r="F7" s="154"/>
      <c r="G7" s="1"/>
      <c r="H7" s="163" t="s">
        <v>399</v>
      </c>
      <c r="I7" s="154"/>
      <c r="J7" s="1"/>
      <c r="K7" s="163" t="s">
        <v>420</v>
      </c>
      <c r="L7" s="154"/>
      <c r="M7" s="1"/>
      <c r="N7" s="163" t="s">
        <v>290</v>
      </c>
      <c r="O7" s="154"/>
      <c r="P7" s="1"/>
      <c r="Q7" s="2"/>
      <c r="R7" s="2"/>
      <c r="S7" s="1"/>
      <c r="T7" s="1"/>
      <c r="U7" s="1"/>
      <c r="V7" s="1"/>
      <c r="W7" s="1"/>
      <c r="X7" s="1"/>
      <c r="Y7" s="1"/>
      <c r="Z7" s="1"/>
      <c r="AA7" s="1"/>
      <c r="AB7" s="1"/>
      <c r="AC7" s="1"/>
      <c r="AD7" s="1"/>
      <c r="AE7" s="1"/>
      <c r="AF7" s="1"/>
      <c r="AG7" s="1"/>
      <c r="AH7" s="1"/>
      <c r="AI7" s="1"/>
      <c r="AJ7" s="1"/>
      <c r="AK7" s="1"/>
      <c r="AL7" s="1"/>
      <c r="AM7" s="1"/>
      <c r="AN7" s="1"/>
      <c r="AO7" s="4" t="s">
        <v>19</v>
      </c>
      <c r="AP7" s="4"/>
      <c r="AQ7" s="4"/>
      <c r="AR7" s="4"/>
      <c r="AS7" s="4"/>
    </row>
    <row r="8" spans="1:45" ht="14.25" customHeight="1" x14ac:dyDescent="0.25">
      <c r="A8" s="1"/>
      <c r="B8" s="133" t="s">
        <v>20</v>
      </c>
      <c r="C8" s="134"/>
      <c r="D8" s="7"/>
      <c r="E8" s="158" t="str" cm="1">
        <f t="array" ref="E8">ROUND(INDEX(Data!$U$2:$W$106,E$60,E$61),2) &amp; IF(F$13&gt;0," / " &amp; ROUND(INDEX(Data!$U$2:$W$106,E$60,E$62),2),"")</f>
        <v>16 / 16</v>
      </c>
      <c r="F8" s="134"/>
      <c r="G8" s="4"/>
      <c r="H8" s="158" t="str">
        <f t="array" ref="H8">ROUND(INDEX(Data!$U$2:$W$106,H$60,H$61),2) &amp; IF(I$13&gt;0," / " &amp; ROUND(INDEX(Data!$U$2:$W$106,H$60,H$62),2),"")</f>
        <v>10</v>
      </c>
      <c r="I8" s="134"/>
      <c r="J8" s="4"/>
      <c r="K8" s="158" t="str" cm="1">
        <f t="array" ref="K8">ROUND(INDEX(Data!$U$2:$W$106,K$60,K$61),2) &amp; IF(L$13&gt;0," / " &amp; ROUND(INDEX(Data!$U$2:$W$106,K$60,K$62),2),"")</f>
        <v>12</v>
      </c>
      <c r="L8" s="134"/>
      <c r="M8" s="4"/>
      <c r="N8" s="158" t="str">
        <f t="array" ref="N8">ROUND(INDEX(Data!$U$2:$W$106,N$60,N$61),2) &amp; IF(O$13&gt;0," / " &amp; ROUND(INDEX(Data!$U$2:$W$106,N$60,N$62),2),"")</f>
        <v>9 / 6</v>
      </c>
      <c r="O8" s="134"/>
      <c r="P8" s="1"/>
      <c r="Q8" s="2"/>
      <c r="R8" s="2" t="s">
        <v>21</v>
      </c>
      <c r="S8" s="1"/>
      <c r="T8" s="1"/>
      <c r="U8" s="1"/>
      <c r="V8" s="1"/>
      <c r="W8" s="1"/>
      <c r="X8" s="1"/>
      <c r="Y8" s="1"/>
      <c r="Z8" s="1"/>
      <c r="AA8" s="1"/>
      <c r="AB8" s="1"/>
      <c r="AC8" s="1"/>
      <c r="AD8" s="1"/>
      <c r="AE8" s="1"/>
      <c r="AF8" s="1"/>
      <c r="AG8" s="1"/>
      <c r="AH8" s="1"/>
      <c r="AI8" s="1"/>
      <c r="AJ8" s="1"/>
      <c r="AK8" s="1"/>
      <c r="AL8" s="1"/>
      <c r="AM8" s="1"/>
      <c r="AN8" s="1"/>
      <c r="AO8" s="4" t="s">
        <v>22</v>
      </c>
      <c r="AP8" s="4"/>
      <c r="AQ8" s="4"/>
      <c r="AR8" s="4"/>
      <c r="AS8" s="4"/>
    </row>
    <row r="9" spans="1:45" ht="14.25" customHeight="1" x14ac:dyDescent="0.25">
      <c r="A9" s="1"/>
      <c r="B9" s="133" t="s">
        <v>23</v>
      </c>
      <c r="C9" s="134"/>
      <c r="D9" s="7"/>
      <c r="E9" s="158" t="str">
        <f t="array" ref="E9">ROUND(INDEX(Data!$F$2:$H$106,E$60,E$61) * (1-E$65),2) &amp; IF(F$13&gt;0," / " &amp; ROUND(INDEX(Data!$F$2:$H$106,E$60,E$62) * (1-E$66),2),"")</f>
        <v>0 / 0</v>
      </c>
      <c r="F9" s="134"/>
      <c r="G9" s="4"/>
      <c r="H9" s="158" t="str">
        <f t="array" ref="H9">ROUND(INDEX(Data!$F$2:$H$106,H$60,H$61) * (1-H$65),2) &amp; IF(I$13&gt;0," / " &amp; ROUND(INDEX(Data!$F$2:$H$106,H$60,H$62) * (1-H$66),2),"")</f>
        <v>3</v>
      </c>
      <c r="I9" s="134"/>
      <c r="J9" s="4"/>
      <c r="K9" s="158" t="str">
        <f t="array" ref="K9">ROUND(INDEX(Data!$F$2:$H$106,K$60,K$61) * (1-K$65),2) &amp; IF(L$13&gt;0," / " &amp; ROUND(INDEX(Data!$F$2:$H$106,K$60,K$62) * (1-K$66),2),"")</f>
        <v>0</v>
      </c>
      <c r="L9" s="134"/>
      <c r="M9" s="4"/>
      <c r="N9" s="158" t="str">
        <f t="array" ref="N9">ROUND(INDEX(Data!$F$2:$H$106,N$60,N$61) * (1-N$65),2) &amp; IF(O$13&gt;0," / " &amp; ROUND(INDEX(Data!$F$2:$H$106,N$60,N$62) * (1-N$66),2),"")</f>
        <v>4 / 3</v>
      </c>
      <c r="O9" s="134"/>
      <c r="P9" s="1"/>
      <c r="Q9" s="2"/>
      <c r="R9" s="2" t="s">
        <v>24</v>
      </c>
      <c r="S9" s="1"/>
      <c r="T9" s="1"/>
      <c r="U9" s="1"/>
      <c r="V9" s="1"/>
      <c r="W9" s="1"/>
      <c r="X9" s="1"/>
      <c r="Y9" s="1"/>
      <c r="Z9" s="1"/>
      <c r="AA9" s="1"/>
      <c r="AB9" s="1"/>
      <c r="AC9" s="1"/>
      <c r="AD9" s="1"/>
      <c r="AE9" s="1"/>
      <c r="AF9" s="1"/>
      <c r="AG9" s="1"/>
      <c r="AH9" s="1"/>
      <c r="AI9" s="1"/>
      <c r="AJ9" s="1"/>
      <c r="AK9" s="1"/>
      <c r="AL9" s="1"/>
      <c r="AM9" s="1"/>
      <c r="AN9" s="1"/>
      <c r="AO9" s="4" t="s">
        <v>25</v>
      </c>
      <c r="AP9" s="4"/>
      <c r="AQ9" s="4"/>
      <c r="AR9" s="4"/>
      <c r="AS9" s="4"/>
    </row>
    <row r="10" spans="1:45" ht="14.25" customHeight="1" x14ac:dyDescent="0.25">
      <c r="A10" s="1"/>
      <c r="B10" s="133" t="s">
        <v>26</v>
      </c>
      <c r="C10" s="134"/>
      <c r="D10" s="7"/>
      <c r="E10" s="158">
        <f>IF(E11&gt;0,(IF(E79,E81,0)+IF(E80,E82,0))/E11,0)</f>
        <v>0.26400000000000007</v>
      </c>
      <c r="F10" s="134"/>
      <c r="G10" s="4"/>
      <c r="H10" s="158">
        <f>IF(H11&gt;0,(IF(H79,H81,0)+IF(H80,H82,0))/H11,0)</f>
        <v>0</v>
      </c>
      <c r="I10" s="134"/>
      <c r="J10" s="4"/>
      <c r="K10" s="158">
        <f>IF(K11&gt;0,(IF(K79,K81,0)+IF(K80,K82,0))/K11,0)</f>
        <v>0.125</v>
      </c>
      <c r="L10" s="134"/>
      <c r="M10" s="4"/>
      <c r="N10" s="158">
        <f>IF(N11&gt;0,(IF(N79,N81,0)+IF(N80,N82,0))/N11,0)</f>
        <v>0</v>
      </c>
      <c r="O10" s="134"/>
      <c r="P10" s="1"/>
      <c r="Q10" s="2"/>
      <c r="R10" s="2" t="s">
        <v>27</v>
      </c>
      <c r="S10" s="1"/>
      <c r="T10" s="1"/>
      <c r="U10" s="1"/>
      <c r="V10" s="1"/>
      <c r="W10" s="1"/>
      <c r="X10" s="1"/>
      <c r="Y10" s="1"/>
      <c r="Z10" s="1"/>
      <c r="AA10" s="1"/>
      <c r="AB10" s="1"/>
      <c r="AC10" s="1"/>
      <c r="AD10" s="1"/>
      <c r="AE10" s="1"/>
      <c r="AF10" s="1"/>
      <c r="AG10" s="1"/>
      <c r="AH10" s="1"/>
      <c r="AI10" s="1"/>
      <c r="AJ10" s="1"/>
      <c r="AK10" s="1"/>
      <c r="AL10" s="1"/>
      <c r="AM10" s="1"/>
      <c r="AN10" s="1"/>
      <c r="AO10" s="4" t="s">
        <v>28</v>
      </c>
      <c r="AP10" s="4"/>
      <c r="AQ10" s="4"/>
      <c r="AR10" s="4"/>
      <c r="AS10" s="4"/>
    </row>
    <row r="11" spans="1:45" ht="14.25" customHeight="1" x14ac:dyDescent="0.25">
      <c r="A11" s="1"/>
      <c r="B11" s="7" t="s">
        <v>29</v>
      </c>
      <c r="C11" s="7"/>
      <c r="D11" s="7"/>
      <c r="E11" s="159">
        <f>(E$69+E$70)/E$74</f>
        <v>1</v>
      </c>
      <c r="F11" s="134"/>
      <c r="G11" s="4"/>
      <c r="H11" s="159">
        <f>(H$69+H$70)/H$74</f>
        <v>0</v>
      </c>
      <c r="I11" s="134"/>
      <c r="J11" s="4"/>
      <c r="K11" s="159">
        <f>(K$69+K$70)/K$74</f>
        <v>1</v>
      </c>
      <c r="L11" s="134"/>
      <c r="M11" s="4"/>
      <c r="N11" s="159">
        <f>(N$69+N$70)/N$74</f>
        <v>0</v>
      </c>
      <c r="O11" s="134"/>
      <c r="P11" s="1"/>
      <c r="Q11" s="2"/>
      <c r="R11" s="2"/>
      <c r="S11" s="1"/>
      <c r="T11" s="1"/>
      <c r="U11" s="1"/>
      <c r="V11" s="1"/>
      <c r="W11" s="1"/>
      <c r="X11" s="1"/>
      <c r="Y11" s="1"/>
      <c r="Z11" s="1"/>
      <c r="AA11" s="1"/>
      <c r="AB11" s="1"/>
      <c r="AC11" s="1"/>
      <c r="AD11" s="1"/>
      <c r="AE11" s="1"/>
      <c r="AF11" s="1"/>
      <c r="AG11" s="1"/>
      <c r="AH11" s="1"/>
      <c r="AI11" s="1"/>
      <c r="AJ11" s="1"/>
      <c r="AK11" s="1"/>
      <c r="AL11" s="1"/>
      <c r="AM11" s="1"/>
      <c r="AN11" s="1"/>
      <c r="AO11" s="4"/>
      <c r="AP11" s="4"/>
      <c r="AQ11" s="4"/>
      <c r="AR11" s="4"/>
      <c r="AS11" s="4"/>
    </row>
    <row r="12" spans="1:45" ht="14.25" customHeight="1" x14ac:dyDescent="0.25">
      <c r="A12" s="1"/>
      <c r="B12" s="133" t="str">
        <f>"Skill uses per " &amp; IF(RotationMode=Flexible, "burst", "rotation") &amp; " (primary type)"</f>
        <v>Skill uses per rotation (primary type)</v>
      </c>
      <c r="C12" s="134"/>
      <c r="D12" s="7"/>
      <c r="E12" s="11" t="s">
        <v>19</v>
      </c>
      <c r="F12" s="11">
        <v>1</v>
      </c>
      <c r="G12" s="1"/>
      <c r="H12" s="11" t="s">
        <v>19</v>
      </c>
      <c r="I12" s="11">
        <v>2</v>
      </c>
      <c r="J12" s="1"/>
      <c r="K12" s="11" t="s">
        <v>22</v>
      </c>
      <c r="L12" s="11">
        <v>1</v>
      </c>
      <c r="M12" s="1"/>
      <c r="N12" s="11" t="s">
        <v>22</v>
      </c>
      <c r="O12" s="11">
        <v>1</v>
      </c>
      <c r="P12" s="1"/>
      <c r="Q12" s="2"/>
      <c r="R12" s="2" t="s">
        <v>32</v>
      </c>
      <c r="S12" s="1"/>
      <c r="T12" s="1"/>
      <c r="U12" s="1"/>
      <c r="V12" s="1"/>
      <c r="W12" s="1"/>
      <c r="X12" s="1"/>
      <c r="Y12" s="1"/>
      <c r="Z12" s="1"/>
      <c r="AA12" s="1"/>
      <c r="AB12" s="1"/>
      <c r="AC12" s="1"/>
      <c r="AD12" s="1"/>
      <c r="AE12" s="1"/>
      <c r="AF12" s="1"/>
      <c r="AG12" s="1"/>
      <c r="AH12" s="1"/>
      <c r="AI12" s="1"/>
      <c r="AJ12" s="1"/>
      <c r="AK12" s="1"/>
      <c r="AL12" s="1"/>
      <c r="AM12" s="1"/>
      <c r="AN12" s="1"/>
      <c r="AO12" s="4" t="str">
        <f>IF(OR(E$63&gt;0,E$28&gt;0),$H$7,"")</f>
        <v/>
      </c>
      <c r="AP12" s="4" t="str">
        <f>IF(OR(H$63&gt;0,H$28&gt;0),$E$7,"")</f>
        <v>Chiori</v>
      </c>
      <c r="AQ12" s="4" t="str">
        <f>IF(OR(K$63&gt;0,K$28&gt;0),$E$7,"")</f>
        <v>Chiori</v>
      </c>
      <c r="AR12" s="4" t="str">
        <f>IF(OR(N$63&gt;0,N$28&gt;0),$E$7,"")</f>
        <v>Chiori</v>
      </c>
      <c r="AS12" s="4"/>
    </row>
    <row r="13" spans="1:45" ht="14.25" customHeight="1" x14ac:dyDescent="0.25">
      <c r="A13" s="1"/>
      <c r="B13" s="133" t="str">
        <f>"Skill uses per " &amp; IF(RotationMode=Flexible, "burst", "rotation") &amp; " (secondary type)"</f>
        <v>Skill uses per rotation (secondary type)</v>
      </c>
      <c r="C13" s="134"/>
      <c r="D13" s="7"/>
      <c r="E13" s="11" t="s">
        <v>22</v>
      </c>
      <c r="F13" s="11">
        <v>2</v>
      </c>
      <c r="G13" s="1"/>
      <c r="H13" s="11"/>
      <c r="I13" s="11"/>
      <c r="J13" s="1"/>
      <c r="K13" s="11"/>
      <c r="L13" s="11"/>
      <c r="M13" s="1"/>
      <c r="N13" s="11" t="s">
        <v>19</v>
      </c>
      <c r="O13" s="11">
        <v>1</v>
      </c>
      <c r="P13" s="1"/>
      <c r="Q13" s="2"/>
      <c r="R13" s="2" t="s">
        <v>33</v>
      </c>
      <c r="S13" s="130"/>
      <c r="T13" s="130"/>
      <c r="U13" s="130"/>
      <c r="V13" s="130"/>
      <c r="W13" s="130"/>
      <c r="X13" s="130"/>
      <c r="Y13" s="130"/>
      <c r="Z13" s="130"/>
      <c r="AA13" s="1"/>
      <c r="AB13" s="1"/>
      <c r="AC13" s="1"/>
      <c r="AD13" s="1"/>
      <c r="AE13" s="1"/>
      <c r="AF13" s="1"/>
      <c r="AG13" s="1"/>
      <c r="AH13" s="1"/>
      <c r="AI13" s="1"/>
      <c r="AJ13" s="1"/>
      <c r="AK13" s="1"/>
      <c r="AL13" s="1"/>
      <c r="AM13" s="1"/>
      <c r="AN13" s="1"/>
      <c r="AO13" s="4" t="str">
        <f>IF(OR(E$63&gt;0,E$28&gt;0),$K$7,"")</f>
        <v/>
      </c>
      <c r="AP13" s="4" t="str">
        <f>IF(OR(H$63&gt;0,H$28&gt;0),$K$7,"")</f>
        <v>Zhongli</v>
      </c>
      <c r="AQ13" s="4" t="str">
        <f>IF(OR(K$63&gt;0,K$28&gt;0),$H$7,"")</f>
        <v>Xiao</v>
      </c>
      <c r="AR13" s="4" t="str">
        <f>IF(OR(N$63&gt;0,N$28&gt;0),$H$7,"")</f>
        <v>Xiao</v>
      </c>
      <c r="AS13" s="4"/>
    </row>
    <row r="14" spans="1:45" ht="14.25" customHeight="1" x14ac:dyDescent="0.25">
      <c r="A14" s="1"/>
      <c r="B14" s="133" t="s">
        <v>34</v>
      </c>
      <c r="C14" s="134"/>
      <c r="D14" s="7"/>
      <c r="E14" s="156"/>
      <c r="F14" s="154"/>
      <c r="G14" s="1"/>
      <c r="H14" s="156"/>
      <c r="I14" s="154"/>
      <c r="J14" s="1"/>
      <c r="K14" s="156"/>
      <c r="L14" s="154"/>
      <c r="M14" s="1"/>
      <c r="N14" s="156" t="s">
        <v>399</v>
      </c>
      <c r="O14" s="154"/>
      <c r="P14" s="1"/>
      <c r="Q14" s="2"/>
      <c r="R14" s="2" t="s">
        <v>35</v>
      </c>
      <c r="S14" s="130"/>
      <c r="T14" s="130"/>
      <c r="U14" s="130"/>
      <c r="V14" s="130"/>
      <c r="W14" s="130"/>
      <c r="X14" s="130"/>
      <c r="Y14" s="130"/>
      <c r="Z14" s="130"/>
      <c r="AA14" s="1"/>
      <c r="AB14" s="1"/>
      <c r="AC14" s="1"/>
      <c r="AD14" s="1"/>
      <c r="AE14" s="1"/>
      <c r="AF14" s="1"/>
      <c r="AG14" s="1"/>
      <c r="AH14" s="1"/>
      <c r="AI14" s="1"/>
      <c r="AJ14" s="1"/>
      <c r="AK14" s="1"/>
      <c r="AL14" s="1"/>
      <c r="AM14" s="1"/>
      <c r="AN14" s="1"/>
      <c r="AO14" s="4" t="str">
        <f>IF(OR(E$63&gt;0,E$28&gt;0),$N$7,"")</f>
        <v/>
      </c>
      <c r="AP14" s="4" t="str">
        <f>IF(OR(H$63&gt;0,H$28&gt;0),$N$7,"")</f>
        <v>Kazuha</v>
      </c>
      <c r="AQ14" s="4" t="str">
        <f>IF(OR(K$63&gt;0,K$28&gt;0),$N$7,"")</f>
        <v>Kazuha</v>
      </c>
      <c r="AR14" s="4" t="str">
        <f>IF(OR(N$63&gt;0,N$28&gt;0),$K$7,"")</f>
        <v>Zhongli</v>
      </c>
      <c r="AS14" s="4"/>
    </row>
    <row r="15" spans="1:45" ht="14.25" customHeight="1" x14ac:dyDescent="0.25">
      <c r="A15" s="1"/>
      <c r="B15" s="12" t="str">
        <f t="shared" ref="B15:B18" si="0">"Feed primary skill particles to " &amp; S61</f>
        <v>Feed primary skill particles to Chiori</v>
      </c>
      <c r="C15" s="12"/>
      <c r="D15" s="12"/>
      <c r="E15" s="160"/>
      <c r="F15" s="154"/>
      <c r="G15" s="13"/>
      <c r="H15" s="160"/>
      <c r="I15" s="154"/>
      <c r="J15" s="13"/>
      <c r="K15" s="160"/>
      <c r="L15" s="154"/>
      <c r="M15" s="13"/>
      <c r="N15" s="160"/>
      <c r="O15" s="154"/>
      <c r="P15" s="13"/>
      <c r="Q15" s="14"/>
      <c r="R15" s="164" t="s">
        <v>36</v>
      </c>
      <c r="S15" s="130"/>
      <c r="T15" s="130"/>
      <c r="U15" s="130"/>
      <c r="V15" s="130"/>
      <c r="W15" s="130"/>
      <c r="X15" s="130"/>
      <c r="Y15" s="130"/>
      <c r="Z15" s="130"/>
      <c r="AA15" s="1"/>
      <c r="AB15" s="1"/>
      <c r="AC15" s="1"/>
      <c r="AD15" s="1"/>
      <c r="AE15" s="1"/>
      <c r="AF15" s="1"/>
      <c r="AG15" s="1"/>
      <c r="AH15" s="1"/>
      <c r="AI15" s="1"/>
      <c r="AJ15" s="1"/>
      <c r="AK15" s="1"/>
      <c r="AL15" s="1"/>
      <c r="AM15" s="1"/>
      <c r="AN15" s="1"/>
      <c r="AO15" s="4" t="str">
        <f>IF(OR(E$63&gt;0,E$28&gt;0),"Don't Know","")</f>
        <v/>
      </c>
      <c r="AP15" s="4" t="str">
        <f>IF(OR(H$63&gt;0,H$28&gt;0),"Don't Know","")</f>
        <v>Don't Know</v>
      </c>
      <c r="AQ15" s="4" t="str">
        <f>IF(OR(K$63&gt;0,K$28&gt;0),"Don't Know","")</f>
        <v>Don't Know</v>
      </c>
      <c r="AR15" s="4" t="str">
        <f>IF(OR(N$63&gt;0,N$28&gt;0),"Don't Know","")</f>
        <v>Don't Know</v>
      </c>
      <c r="AS15" s="4"/>
    </row>
    <row r="16" spans="1:45" ht="14.25" customHeight="1" x14ac:dyDescent="0.25">
      <c r="A16" s="1"/>
      <c r="B16" s="12" t="str">
        <f t="shared" si="0"/>
        <v>Feed primary skill particles to Xiao</v>
      </c>
      <c r="C16" s="12"/>
      <c r="D16" s="12"/>
      <c r="E16" s="160"/>
      <c r="F16" s="154"/>
      <c r="G16" s="13"/>
      <c r="H16" s="160"/>
      <c r="I16" s="154"/>
      <c r="J16" s="13"/>
      <c r="K16" s="160"/>
      <c r="L16" s="154"/>
      <c r="M16" s="13"/>
      <c r="N16" s="160"/>
      <c r="O16" s="154"/>
      <c r="P16" s="13"/>
      <c r="Q16" s="14"/>
      <c r="R16" s="165"/>
      <c r="S16" s="130"/>
      <c r="T16" s="130"/>
      <c r="U16" s="130"/>
      <c r="V16" s="130"/>
      <c r="W16" s="130"/>
      <c r="X16" s="130"/>
      <c r="Y16" s="130"/>
      <c r="Z16" s="130"/>
      <c r="AA16" s="1"/>
      <c r="AB16" s="1"/>
      <c r="AC16" s="1"/>
      <c r="AD16" s="1"/>
      <c r="AE16" s="1"/>
      <c r="AF16" s="1"/>
      <c r="AG16" s="1"/>
      <c r="AH16" s="1"/>
      <c r="AI16" s="1"/>
      <c r="AJ16" s="1"/>
      <c r="AK16" s="1"/>
      <c r="AL16" s="1"/>
      <c r="AM16" s="1"/>
      <c r="AN16" s="1"/>
      <c r="AO16" s="4"/>
      <c r="AP16" s="4"/>
      <c r="AQ16" s="4"/>
      <c r="AR16" s="4"/>
      <c r="AS16" s="4"/>
    </row>
    <row r="17" spans="1:45" ht="14.25" customHeight="1" x14ac:dyDescent="0.25">
      <c r="A17" s="1"/>
      <c r="B17" s="12" t="str">
        <f t="shared" si="0"/>
        <v>Feed primary skill particles to Zhongli</v>
      </c>
      <c r="C17" s="12"/>
      <c r="D17" s="12"/>
      <c r="E17" s="160"/>
      <c r="F17" s="154"/>
      <c r="G17" s="13"/>
      <c r="H17" s="160"/>
      <c r="I17" s="154"/>
      <c r="J17" s="13"/>
      <c r="K17" s="160"/>
      <c r="L17" s="154"/>
      <c r="M17" s="13"/>
      <c r="N17" s="160"/>
      <c r="O17" s="154"/>
      <c r="P17" s="13"/>
      <c r="Q17" s="14"/>
      <c r="R17" s="14"/>
      <c r="S17" s="130"/>
      <c r="T17" s="130"/>
      <c r="U17" s="130"/>
      <c r="V17" s="130"/>
      <c r="W17" s="130"/>
      <c r="X17" s="130"/>
      <c r="Y17" s="130"/>
      <c r="Z17" s="130"/>
      <c r="AA17" s="1"/>
      <c r="AB17" s="1"/>
      <c r="AC17" s="1"/>
      <c r="AD17" s="1"/>
      <c r="AE17" s="1"/>
      <c r="AF17" s="1"/>
      <c r="AG17" s="1"/>
      <c r="AH17" s="1"/>
      <c r="AI17" s="1"/>
      <c r="AJ17" s="1"/>
      <c r="AK17" s="1"/>
      <c r="AL17" s="1"/>
      <c r="AM17" s="1"/>
      <c r="AN17" s="1"/>
      <c r="AO17" s="4"/>
      <c r="AP17" s="4"/>
      <c r="AQ17" s="4"/>
      <c r="AR17" s="4"/>
      <c r="AS17" s="4"/>
    </row>
    <row r="18" spans="1:45" ht="14.25" customHeight="1" x14ac:dyDescent="0.25">
      <c r="A18" s="1"/>
      <c r="B18" s="12" t="str">
        <f t="shared" si="0"/>
        <v>Feed primary skill particles to Kazuha</v>
      </c>
      <c r="C18" s="12"/>
      <c r="D18" s="12"/>
      <c r="E18" s="160"/>
      <c r="F18" s="154"/>
      <c r="G18" s="13"/>
      <c r="H18" s="160"/>
      <c r="I18" s="154"/>
      <c r="J18" s="13"/>
      <c r="K18" s="160"/>
      <c r="L18" s="154"/>
      <c r="M18" s="13"/>
      <c r="N18" s="160"/>
      <c r="O18" s="154"/>
      <c r="P18" s="13"/>
      <c r="Q18" s="14"/>
      <c r="R18" s="14"/>
      <c r="S18" s="130"/>
      <c r="T18" s="130"/>
      <c r="U18" s="130"/>
      <c r="V18" s="130"/>
      <c r="W18" s="130"/>
      <c r="X18" s="130"/>
      <c r="Y18" s="130"/>
      <c r="Z18" s="130"/>
      <c r="AA18" s="1"/>
      <c r="AB18" s="1"/>
      <c r="AC18" s="1"/>
      <c r="AD18" s="1"/>
      <c r="AE18" s="1"/>
      <c r="AF18" s="1"/>
      <c r="AG18" s="1"/>
      <c r="AH18" s="1"/>
      <c r="AI18" s="1"/>
      <c r="AJ18" s="1"/>
      <c r="AK18" s="1"/>
      <c r="AL18" s="1"/>
      <c r="AM18" s="1"/>
      <c r="AN18" s="1"/>
      <c r="AO18" s="4"/>
      <c r="AP18" s="4"/>
      <c r="AQ18" s="4"/>
      <c r="AR18" s="4"/>
      <c r="AS18" s="4"/>
    </row>
    <row r="19" spans="1:45" ht="14.25" customHeight="1" x14ac:dyDescent="0.25">
      <c r="A19" s="1"/>
      <c r="B19" s="12" t="str">
        <f t="shared" ref="B19:B22" si="1">"Feed secondary skill particles to " &amp; S61</f>
        <v>Feed secondary skill particles to Chiori</v>
      </c>
      <c r="C19" s="12"/>
      <c r="D19" s="12"/>
      <c r="E19" s="160"/>
      <c r="F19" s="154"/>
      <c r="G19" s="13"/>
      <c r="H19" s="160"/>
      <c r="I19" s="154"/>
      <c r="J19" s="13"/>
      <c r="K19" s="160"/>
      <c r="L19" s="154"/>
      <c r="M19" s="13"/>
      <c r="N19" s="160"/>
      <c r="O19" s="154"/>
      <c r="P19" s="13"/>
      <c r="Q19" s="14"/>
      <c r="R19" s="14"/>
      <c r="S19" s="130"/>
      <c r="T19" s="130"/>
      <c r="U19" s="130"/>
      <c r="V19" s="130"/>
      <c r="W19" s="130"/>
      <c r="X19" s="130"/>
      <c r="Y19" s="130"/>
      <c r="Z19" s="130"/>
      <c r="AA19" s="1"/>
      <c r="AB19" s="1"/>
      <c r="AC19" s="1"/>
      <c r="AD19" s="1"/>
      <c r="AE19" s="1"/>
      <c r="AF19" s="1"/>
      <c r="AG19" s="1"/>
      <c r="AH19" s="1"/>
      <c r="AI19" s="1"/>
      <c r="AJ19" s="1"/>
      <c r="AK19" s="1"/>
      <c r="AL19" s="1"/>
      <c r="AM19" s="1"/>
      <c r="AN19" s="1"/>
      <c r="AO19" s="4"/>
      <c r="AP19" s="4"/>
      <c r="AQ19" s="4"/>
      <c r="AR19" s="4"/>
      <c r="AS19" s="4"/>
    </row>
    <row r="20" spans="1:45" ht="14.25" customHeight="1" x14ac:dyDescent="0.25">
      <c r="A20" s="1"/>
      <c r="B20" s="12" t="str">
        <f t="shared" si="1"/>
        <v>Feed secondary skill particles to Xiao</v>
      </c>
      <c r="C20" s="12"/>
      <c r="D20" s="12"/>
      <c r="E20" s="160"/>
      <c r="F20" s="154"/>
      <c r="G20" s="13"/>
      <c r="H20" s="160"/>
      <c r="I20" s="154"/>
      <c r="J20" s="13"/>
      <c r="K20" s="160"/>
      <c r="L20" s="154"/>
      <c r="M20" s="13"/>
      <c r="N20" s="160"/>
      <c r="O20" s="154"/>
      <c r="P20" s="13"/>
      <c r="Q20" s="14"/>
      <c r="R20" s="14"/>
      <c r="S20" s="130"/>
      <c r="T20" s="130"/>
      <c r="U20" s="130"/>
      <c r="V20" s="130"/>
      <c r="W20" s="130"/>
      <c r="X20" s="130"/>
      <c r="Y20" s="130"/>
      <c r="Z20" s="130"/>
      <c r="AA20" s="1"/>
      <c r="AB20" s="1"/>
      <c r="AC20" s="1"/>
      <c r="AD20" s="1"/>
      <c r="AE20" s="1"/>
      <c r="AF20" s="1"/>
      <c r="AG20" s="1"/>
      <c r="AH20" s="1"/>
      <c r="AI20" s="1"/>
      <c r="AJ20" s="1"/>
      <c r="AK20" s="1"/>
      <c r="AL20" s="1"/>
      <c r="AM20" s="1"/>
      <c r="AN20" s="1"/>
      <c r="AO20" s="4"/>
      <c r="AP20" s="4"/>
      <c r="AQ20" s="4"/>
      <c r="AR20" s="4"/>
      <c r="AS20" s="4"/>
    </row>
    <row r="21" spans="1:45" ht="14.25" customHeight="1" x14ac:dyDescent="0.25">
      <c r="A21" s="1"/>
      <c r="B21" s="12" t="str">
        <f t="shared" si="1"/>
        <v>Feed secondary skill particles to Zhongli</v>
      </c>
      <c r="C21" s="12"/>
      <c r="D21" s="12"/>
      <c r="E21" s="160"/>
      <c r="F21" s="154"/>
      <c r="G21" s="13"/>
      <c r="H21" s="160"/>
      <c r="I21" s="154"/>
      <c r="J21" s="13"/>
      <c r="K21" s="160"/>
      <c r="L21" s="154"/>
      <c r="M21" s="13"/>
      <c r="N21" s="160"/>
      <c r="O21" s="154"/>
      <c r="P21" s="13"/>
      <c r="Q21" s="14"/>
      <c r="R21" s="14"/>
      <c r="S21" s="130"/>
      <c r="T21" s="130"/>
      <c r="U21" s="130"/>
      <c r="V21" s="130"/>
      <c r="W21" s="130"/>
      <c r="X21" s="130"/>
      <c r="Y21" s="130"/>
      <c r="Z21" s="130"/>
      <c r="AA21" s="1"/>
      <c r="AB21" s="1"/>
      <c r="AC21" s="1"/>
      <c r="AD21" s="1"/>
      <c r="AE21" s="1"/>
      <c r="AF21" s="1"/>
      <c r="AG21" s="1"/>
      <c r="AH21" s="1"/>
      <c r="AI21" s="1"/>
      <c r="AJ21" s="1"/>
      <c r="AK21" s="1"/>
      <c r="AL21" s="1"/>
      <c r="AM21" s="1"/>
      <c r="AN21" s="1"/>
      <c r="AO21" s="4"/>
      <c r="AP21" s="4"/>
      <c r="AQ21" s="4"/>
      <c r="AR21" s="4"/>
      <c r="AS21" s="4"/>
    </row>
    <row r="22" spans="1:45" ht="14.25" customHeight="1" x14ac:dyDescent="0.25">
      <c r="A22" s="1"/>
      <c r="B22" s="12" t="str">
        <f t="shared" si="1"/>
        <v>Feed secondary skill particles to Kazuha</v>
      </c>
      <c r="C22" s="12"/>
      <c r="D22" s="12"/>
      <c r="E22" s="160"/>
      <c r="F22" s="154"/>
      <c r="G22" s="13"/>
      <c r="H22" s="160"/>
      <c r="I22" s="154"/>
      <c r="J22" s="13"/>
      <c r="K22" s="160"/>
      <c r="L22" s="154"/>
      <c r="M22" s="13"/>
      <c r="N22" s="160"/>
      <c r="O22" s="154"/>
      <c r="P22" s="13"/>
      <c r="Q22" s="14"/>
      <c r="R22" s="14"/>
      <c r="S22" s="130"/>
      <c r="T22" s="130"/>
      <c r="U22" s="130"/>
      <c r="V22" s="130"/>
      <c r="W22" s="130"/>
      <c r="X22" s="130"/>
      <c r="Y22" s="130"/>
      <c r="Z22" s="130"/>
      <c r="AA22" s="1"/>
      <c r="AB22" s="1"/>
      <c r="AC22" s="1"/>
      <c r="AD22" s="1"/>
      <c r="AE22" s="1"/>
      <c r="AF22" s="1"/>
      <c r="AG22" s="1"/>
      <c r="AH22" s="1"/>
      <c r="AI22" s="1"/>
      <c r="AJ22" s="1"/>
      <c r="AK22" s="1"/>
      <c r="AL22" s="1"/>
      <c r="AM22" s="1"/>
      <c r="AN22" s="1"/>
      <c r="AO22" s="4"/>
      <c r="AP22" s="4"/>
      <c r="AQ22" s="4"/>
      <c r="AR22" s="4"/>
      <c r="AS22" s="4"/>
    </row>
    <row r="23" spans="1:45" ht="14.25" customHeight="1" x14ac:dyDescent="0.25">
      <c r="A23" s="1"/>
      <c r="B23" s="12" t="str">
        <f t="shared" ref="B23:B26" si="2">"Feed Favonius particles to " &amp; S61</f>
        <v>Feed Favonius particles to Chiori</v>
      </c>
      <c r="C23" s="12"/>
      <c r="D23" s="12"/>
      <c r="E23" s="153"/>
      <c r="F23" s="154"/>
      <c r="G23" s="13"/>
      <c r="H23" s="153"/>
      <c r="I23" s="154"/>
      <c r="J23" s="13"/>
      <c r="K23" s="153"/>
      <c r="L23" s="154"/>
      <c r="M23" s="13"/>
      <c r="N23" s="153"/>
      <c r="O23" s="154"/>
      <c r="P23" s="13"/>
      <c r="Q23" s="14"/>
      <c r="R23" s="14"/>
      <c r="S23" s="130"/>
      <c r="T23" s="130"/>
      <c r="U23" s="130"/>
      <c r="V23" s="130"/>
      <c r="W23" s="130"/>
      <c r="X23" s="130"/>
      <c r="Y23" s="130"/>
      <c r="Z23" s="130"/>
      <c r="AA23" s="1"/>
      <c r="AB23" s="1"/>
      <c r="AC23" s="1"/>
      <c r="AD23" s="1"/>
      <c r="AE23" s="1"/>
      <c r="AF23" s="1"/>
      <c r="AG23" s="1"/>
      <c r="AH23" s="1"/>
      <c r="AI23" s="1"/>
      <c r="AJ23" s="1"/>
      <c r="AK23" s="1"/>
      <c r="AL23" s="1"/>
      <c r="AM23" s="1"/>
      <c r="AN23" s="1"/>
      <c r="AO23" s="4"/>
      <c r="AP23" s="4"/>
      <c r="AQ23" s="4"/>
      <c r="AR23" s="4"/>
      <c r="AS23" s="4"/>
    </row>
    <row r="24" spans="1:45" ht="14.25" customHeight="1" x14ac:dyDescent="0.25">
      <c r="A24" s="1"/>
      <c r="B24" s="12" t="str">
        <f t="shared" si="2"/>
        <v>Feed Favonius particles to Xiao</v>
      </c>
      <c r="C24" s="12"/>
      <c r="D24" s="12"/>
      <c r="E24" s="153"/>
      <c r="F24" s="154"/>
      <c r="G24" s="13"/>
      <c r="H24" s="153"/>
      <c r="I24" s="154"/>
      <c r="J24" s="13"/>
      <c r="K24" s="153"/>
      <c r="L24" s="154"/>
      <c r="M24" s="13"/>
      <c r="N24" s="153"/>
      <c r="O24" s="154"/>
      <c r="P24" s="13"/>
      <c r="Q24" s="14"/>
      <c r="R24" s="14"/>
      <c r="S24" s="130"/>
      <c r="T24" s="130"/>
      <c r="U24" s="130"/>
      <c r="V24" s="130"/>
      <c r="W24" s="130"/>
      <c r="X24" s="130"/>
      <c r="Y24" s="130"/>
      <c r="Z24" s="130"/>
      <c r="AA24" s="1"/>
      <c r="AB24" s="1"/>
      <c r="AC24" s="1"/>
      <c r="AD24" s="1"/>
      <c r="AE24" s="1"/>
      <c r="AF24" s="1"/>
      <c r="AG24" s="1"/>
      <c r="AH24" s="1"/>
      <c r="AI24" s="1"/>
      <c r="AJ24" s="1"/>
      <c r="AK24" s="1"/>
      <c r="AL24" s="1"/>
      <c r="AM24" s="1"/>
      <c r="AN24" s="1"/>
      <c r="AO24" s="4"/>
      <c r="AP24" s="4"/>
      <c r="AQ24" s="4"/>
      <c r="AR24" s="4"/>
      <c r="AS24" s="4"/>
    </row>
    <row r="25" spans="1:45" ht="14.25" customHeight="1" x14ac:dyDescent="0.25">
      <c r="A25" s="1"/>
      <c r="B25" s="12" t="str">
        <f t="shared" si="2"/>
        <v>Feed Favonius particles to Zhongli</v>
      </c>
      <c r="C25" s="12"/>
      <c r="D25" s="12"/>
      <c r="E25" s="153"/>
      <c r="F25" s="154"/>
      <c r="G25" s="13"/>
      <c r="H25" s="153"/>
      <c r="I25" s="154"/>
      <c r="J25" s="13"/>
      <c r="K25" s="153"/>
      <c r="L25" s="154"/>
      <c r="M25" s="13"/>
      <c r="N25" s="153"/>
      <c r="O25" s="154"/>
      <c r="P25" s="13"/>
      <c r="Q25" s="14"/>
      <c r="R25" s="14"/>
      <c r="S25" s="130"/>
      <c r="T25" s="130"/>
      <c r="U25" s="130"/>
      <c r="V25" s="130"/>
      <c r="W25" s="130"/>
      <c r="X25" s="130"/>
      <c r="Y25" s="130"/>
      <c r="Z25" s="130"/>
      <c r="AA25" s="1"/>
      <c r="AB25" s="1"/>
      <c r="AC25" s="1"/>
      <c r="AD25" s="1"/>
      <c r="AE25" s="1"/>
      <c r="AF25" s="1"/>
      <c r="AG25" s="1"/>
      <c r="AH25" s="1"/>
      <c r="AI25" s="1"/>
      <c r="AJ25" s="1"/>
      <c r="AK25" s="1"/>
      <c r="AL25" s="1"/>
      <c r="AM25" s="1"/>
      <c r="AN25" s="1"/>
      <c r="AO25" s="4"/>
      <c r="AP25" s="4"/>
      <c r="AQ25" s="4"/>
      <c r="AR25" s="4"/>
      <c r="AS25" s="4"/>
    </row>
    <row r="26" spans="1:45" ht="14.25" customHeight="1" x14ac:dyDescent="0.25">
      <c r="A26" s="1"/>
      <c r="B26" s="12" t="str">
        <f t="shared" si="2"/>
        <v>Feed Favonius particles to Kazuha</v>
      </c>
      <c r="C26" s="12"/>
      <c r="D26" s="12"/>
      <c r="E26" s="153"/>
      <c r="F26" s="154"/>
      <c r="G26" s="13"/>
      <c r="H26" s="153"/>
      <c r="I26" s="154"/>
      <c r="J26" s="13"/>
      <c r="K26" s="153"/>
      <c r="L26" s="154"/>
      <c r="M26" s="13"/>
      <c r="N26" s="153"/>
      <c r="O26" s="154"/>
      <c r="P26" s="13"/>
      <c r="Q26" s="14"/>
      <c r="R26" s="14"/>
      <c r="S26" s="130"/>
      <c r="T26" s="130"/>
      <c r="U26" s="130"/>
      <c r="V26" s="130"/>
      <c r="W26" s="130"/>
      <c r="X26" s="130"/>
      <c r="Y26" s="130"/>
      <c r="Z26" s="130"/>
      <c r="AA26" s="1"/>
      <c r="AB26" s="1"/>
      <c r="AC26" s="1"/>
      <c r="AD26" s="1"/>
      <c r="AE26" s="1"/>
      <c r="AF26" s="1"/>
      <c r="AG26" s="1"/>
      <c r="AH26" s="1"/>
      <c r="AI26" s="1"/>
      <c r="AJ26" s="1"/>
      <c r="AK26" s="1"/>
      <c r="AL26" s="1"/>
      <c r="AM26" s="1"/>
      <c r="AN26" s="1"/>
      <c r="AO26" s="4"/>
      <c r="AP26" s="4"/>
      <c r="AQ26" s="4"/>
      <c r="AR26" s="4"/>
      <c r="AS26" s="4"/>
    </row>
    <row r="27" spans="1:45" ht="14.25" customHeight="1" x14ac:dyDescent="0.25">
      <c r="A27" s="1"/>
      <c r="B27" s="7" t="s">
        <v>37</v>
      </c>
      <c r="C27" s="7"/>
      <c r="D27" s="7"/>
      <c r="E27" s="153"/>
      <c r="F27" s="154"/>
      <c r="G27" s="1"/>
      <c r="H27" s="153">
        <v>0.5</v>
      </c>
      <c r="I27" s="154"/>
      <c r="J27" s="1"/>
      <c r="K27" s="153"/>
      <c r="L27" s="154"/>
      <c r="M27" s="1"/>
      <c r="N27" s="153"/>
      <c r="O27" s="154"/>
      <c r="P27" s="1"/>
      <c r="Q27" s="2"/>
      <c r="R27" s="2" t="s">
        <v>38</v>
      </c>
      <c r="S27" s="130"/>
      <c r="T27" s="130"/>
      <c r="U27" s="130"/>
      <c r="V27" s="130"/>
      <c r="W27" s="130"/>
      <c r="X27" s="130"/>
      <c r="Y27" s="130"/>
      <c r="Z27" s="130"/>
      <c r="AA27" s="1"/>
      <c r="AB27" s="1"/>
      <c r="AC27" s="1"/>
      <c r="AD27" s="1"/>
      <c r="AE27" s="1"/>
      <c r="AF27" s="1"/>
      <c r="AG27" s="1"/>
      <c r="AH27" s="1"/>
      <c r="AI27" s="1"/>
      <c r="AJ27" s="1"/>
      <c r="AK27" s="1"/>
      <c r="AL27" s="1"/>
      <c r="AM27" s="1"/>
      <c r="AN27" s="1"/>
      <c r="AO27" s="4" t="str">
        <f>IF(OR(G$63&gt;0,G$28&gt;0),"Don't Know","")</f>
        <v/>
      </c>
      <c r="AQ27" s="4" t="str">
        <f t="shared" ref="AQ27:AR27" si="3">IF(OR(I$63&gt;0,I$28&gt;0),"Don't Know","")</f>
        <v/>
      </c>
      <c r="AR27" s="4" t="str">
        <f t="shared" si="3"/>
        <v/>
      </c>
      <c r="AS27" s="4"/>
    </row>
    <row r="28" spans="1:45" ht="14.25" customHeight="1" x14ac:dyDescent="0.25">
      <c r="A28" s="1"/>
      <c r="B28" s="133" t="str">
        <f>IF(RotationMode=Flexible, "Favonius triggers per burst", "Favonius triggers per rotation")</f>
        <v>Favonius triggers per rotation</v>
      </c>
      <c r="C28" s="134"/>
      <c r="D28" s="7"/>
      <c r="E28" s="156"/>
      <c r="F28" s="154"/>
      <c r="G28" s="1"/>
      <c r="H28" s="156"/>
      <c r="I28" s="154"/>
      <c r="J28" s="1"/>
      <c r="K28" s="156">
        <v>1</v>
      </c>
      <c r="L28" s="154"/>
      <c r="M28" s="1"/>
      <c r="N28" s="156"/>
      <c r="O28" s="154"/>
      <c r="P28" s="1"/>
      <c r="Q28" s="2"/>
      <c r="R28" s="2" t="s">
        <v>39</v>
      </c>
      <c r="S28" s="130"/>
      <c r="T28" s="130"/>
      <c r="U28" s="130">
        <f>INDEX(Data!$AA$2:$AA$106,MATCH('Energy Recharge Calculator'!H7,Data!$A$2:$A$106,0))</f>
        <v>0</v>
      </c>
      <c r="V28" s="131" t="e" cm="1" vm="1">
        <f t="array" aca="1" ref="V28" ca="1">(Data!$AA$2:$AA$106)</f>
        <v>#VALUE!</v>
      </c>
      <c r="W28" s="130">
        <f>MATCH('Energy Recharge Calculator'!H7,Data!$A$2:$A$106,0)</f>
        <v>93</v>
      </c>
      <c r="X28" s="130"/>
      <c r="Y28" s="130"/>
      <c r="Z28" s="130"/>
      <c r="AA28" s="1"/>
      <c r="AB28" s="1"/>
      <c r="AC28" s="1"/>
      <c r="AD28" s="1"/>
      <c r="AE28" s="1"/>
      <c r="AF28" s="1"/>
      <c r="AG28" s="1"/>
      <c r="AH28" s="1"/>
      <c r="AI28" s="1"/>
      <c r="AJ28" s="1"/>
      <c r="AK28" s="1"/>
      <c r="AL28" s="1"/>
      <c r="AM28" s="1"/>
      <c r="AN28" s="1"/>
      <c r="AO28" s="4"/>
      <c r="AP28" s="4"/>
      <c r="AQ28" s="4"/>
      <c r="AR28" s="4"/>
      <c r="AS28" s="4"/>
    </row>
    <row r="29" spans="1:45" ht="14.25" customHeight="1" x14ac:dyDescent="0.25">
      <c r="A29" s="1"/>
      <c r="B29" s="133" t="str">
        <f>IF(RotationMode=Flexible, "Bonus non-particle energy", "Bonus non-particle energy per rotation")</f>
        <v>Bonus non-particle energy per rotation</v>
      </c>
      <c r="C29" s="134"/>
      <c r="D29" s="7"/>
      <c r="E29" s="156"/>
      <c r="F29" s="154"/>
      <c r="G29" s="1"/>
      <c r="H29" s="156"/>
      <c r="I29" s="154"/>
      <c r="J29" s="1"/>
      <c r="K29" s="156"/>
      <c r="L29" s="154"/>
      <c r="M29" s="1"/>
      <c r="N29" s="156"/>
      <c r="O29" s="154"/>
      <c r="P29" s="1"/>
      <c r="Q29" s="2"/>
      <c r="R29" s="2" t="s">
        <v>40</v>
      </c>
      <c r="S29" s="130"/>
      <c r="T29" s="130"/>
      <c r="U29" s="130"/>
      <c r="V29" s="131" t="e" cm="1" vm="1">
        <f t="array" aca="1" ref="V29" ca="1">Data!$AA$2:$AA$106</f>
        <v>#VALUE!</v>
      </c>
      <c r="W29" s="130"/>
      <c r="X29" s="130"/>
      <c r="Y29" s="130"/>
      <c r="Z29" s="130"/>
      <c r="AA29" s="1"/>
      <c r="AB29" s="1"/>
      <c r="AC29" s="1"/>
      <c r="AD29" s="1"/>
      <c r="AE29" s="1"/>
      <c r="AF29" s="1"/>
      <c r="AG29" s="1"/>
      <c r="AH29" s="1"/>
      <c r="AI29" s="1"/>
      <c r="AJ29" s="1"/>
      <c r="AK29" s="1"/>
      <c r="AL29" s="1"/>
      <c r="AM29" s="1"/>
      <c r="AN29" s="1"/>
      <c r="AO29" s="4"/>
      <c r="AP29" s="4"/>
      <c r="AQ29" s="4"/>
      <c r="AR29" s="4"/>
      <c r="AS29" s="4"/>
    </row>
    <row r="30" spans="1:45" ht="14.25" customHeight="1" x14ac:dyDescent="0.25">
      <c r="A30" s="1"/>
      <c r="B30" s="133" t="s">
        <v>41</v>
      </c>
      <c r="C30" s="134"/>
      <c r="D30" s="7"/>
      <c r="E30" s="153">
        <v>0.5</v>
      </c>
      <c r="F30" s="154"/>
      <c r="G30" s="1"/>
      <c r="H30" s="153">
        <v>0.2</v>
      </c>
      <c r="I30" s="154"/>
      <c r="J30" s="1"/>
      <c r="K30" s="153">
        <v>0.2</v>
      </c>
      <c r="L30" s="154"/>
      <c r="M30" s="1"/>
      <c r="N30" s="153">
        <v>0.1</v>
      </c>
      <c r="O30" s="154"/>
      <c r="P30" s="1"/>
      <c r="Q30" s="2"/>
      <c r="R30" s="2" t="s">
        <v>42</v>
      </c>
      <c r="S30" s="130"/>
      <c r="T30" s="130"/>
      <c r="U30" s="130"/>
      <c r="V30" s="130"/>
      <c r="W30" s="130"/>
      <c r="X30" s="130"/>
      <c r="Y30" s="130"/>
      <c r="Z30" s="130"/>
      <c r="AA30" s="1"/>
      <c r="AB30" s="1"/>
      <c r="AC30" s="1"/>
      <c r="AD30" s="1"/>
      <c r="AE30" s="1"/>
      <c r="AF30" s="1"/>
      <c r="AG30" s="1"/>
      <c r="AH30" s="1"/>
      <c r="AI30" s="1"/>
      <c r="AJ30" s="1"/>
      <c r="AK30" s="1"/>
      <c r="AL30" s="1"/>
      <c r="AM30" s="1"/>
      <c r="AN30" s="1"/>
      <c r="AO30" s="4"/>
      <c r="AP30" s="4"/>
      <c r="AQ30" s="4"/>
      <c r="AR30" s="4"/>
      <c r="AS30" s="4"/>
    </row>
    <row r="31" spans="1:45" ht="14.25" customHeight="1" x14ac:dyDescent="0.25">
      <c r="A31" s="1"/>
      <c r="B31" s="133" t="str">
        <f>IF(RotationMode=Flexible, "Time between bursts", "Number of rotations between bursts")</f>
        <v>Number of rotations between bursts</v>
      </c>
      <c r="C31" s="133"/>
      <c r="D31" s="7"/>
      <c r="E31" s="155">
        <v>1</v>
      </c>
      <c r="F31" s="154"/>
      <c r="G31" s="1"/>
      <c r="H31" s="155">
        <v>1</v>
      </c>
      <c r="I31" s="154"/>
      <c r="J31" s="1"/>
      <c r="K31" s="155">
        <v>1</v>
      </c>
      <c r="L31" s="154"/>
      <c r="M31" s="1"/>
      <c r="N31" s="155">
        <v>1</v>
      </c>
      <c r="O31" s="154"/>
      <c r="P31" s="1"/>
      <c r="Q31" s="2"/>
      <c r="R31" s="16" t="s">
        <v>43</v>
      </c>
      <c r="S31" s="130"/>
      <c r="T31" s="130"/>
      <c r="U31" s="130"/>
      <c r="V31" s="130"/>
      <c r="W31" s="130"/>
      <c r="X31" s="130"/>
      <c r="Y31" s="130"/>
      <c r="Z31" s="130"/>
      <c r="AA31" s="1"/>
      <c r="AB31" s="1"/>
      <c r="AC31" s="1"/>
      <c r="AD31" s="1"/>
      <c r="AE31" s="1"/>
      <c r="AF31" s="1"/>
      <c r="AG31" s="1"/>
      <c r="AH31" s="1"/>
      <c r="AI31" s="1"/>
      <c r="AJ31" s="1"/>
      <c r="AK31" s="1"/>
      <c r="AL31" s="1"/>
      <c r="AM31" s="1"/>
      <c r="AN31" s="1"/>
      <c r="AO31" s="4" t="s">
        <v>44</v>
      </c>
      <c r="AP31" s="4"/>
      <c r="AQ31" s="4"/>
      <c r="AR31" s="4"/>
      <c r="AS31" s="4"/>
    </row>
    <row r="32" spans="1:45" ht="14.25" customHeight="1" x14ac:dyDescent="0.25">
      <c r="A32" s="1"/>
      <c r="B32" s="133" t="s">
        <v>45</v>
      </c>
      <c r="C32" s="134"/>
      <c r="D32" s="7"/>
      <c r="E32" s="135">
        <f t="array" ref="E32">INDEX(Data!$X$2:$X$106, MATCH(E$7, Data!$A$2:$A$106,0))</f>
        <v>13.5</v>
      </c>
      <c r="F32" s="134"/>
      <c r="G32" s="1"/>
      <c r="H32" s="136">
        <f t="array" ref="H32">INDEX(Data!$X$2:$X$106, MATCH(H$7, Data!$A$2:$A$106,0))</f>
        <v>18</v>
      </c>
      <c r="I32" s="134"/>
      <c r="J32" s="1"/>
      <c r="K32" s="136">
        <f t="array" ref="K32">INDEX(Data!$X$2:$X$106, MATCH(K$7, Data!$A$2:$A$106,0))</f>
        <v>12</v>
      </c>
      <c r="L32" s="134"/>
      <c r="M32" s="1"/>
      <c r="N32" s="136">
        <f t="array" ref="N32">INDEX(Data!$X$2:$X$106, MATCH(N$7, Data!$A$2:$A$106,0))</f>
        <v>15</v>
      </c>
      <c r="O32" s="134"/>
      <c r="P32" s="1"/>
      <c r="Q32" s="2"/>
      <c r="R32" s="2"/>
      <c r="S32" s="130"/>
      <c r="T32" s="130"/>
      <c r="U32" s="130"/>
      <c r="V32" s="130"/>
      <c r="W32" s="130"/>
      <c r="X32" s="130"/>
      <c r="Y32" s="130"/>
      <c r="Z32" s="130"/>
      <c r="AA32" s="1"/>
      <c r="AB32" s="1"/>
      <c r="AC32" s="1"/>
      <c r="AD32" s="1"/>
      <c r="AE32" s="1"/>
      <c r="AF32" s="1"/>
      <c r="AG32" s="1"/>
      <c r="AH32" s="1"/>
      <c r="AI32" s="1"/>
      <c r="AJ32" s="1"/>
      <c r="AK32" s="1"/>
      <c r="AL32" s="1"/>
      <c r="AM32" s="1"/>
      <c r="AN32" s="1"/>
      <c r="AO32" s="4" t="s">
        <v>46</v>
      </c>
      <c r="AP32" s="4"/>
      <c r="AQ32" s="4"/>
      <c r="AR32" s="4"/>
      <c r="AS32" s="4"/>
    </row>
    <row r="33" spans="1:45" ht="14.25" customHeight="1" x14ac:dyDescent="0.25">
      <c r="A33" s="1"/>
      <c r="B33" s="133" t="s">
        <v>47</v>
      </c>
      <c r="C33" s="134"/>
      <c r="D33" s="7"/>
      <c r="E33" s="136">
        <f t="array" ref="E33">INDEX(Data!$Y$2:$Y$106, MATCH(E$7, Data!$A$2:$A$106,0)) - INDEX(Data!$Z$2:$Z$106, MATCH(E$7, Data!$A$2:$A$106)) - IF(E7="Traveler (Dendro)", 3.5*E67,0)</f>
        <v>50</v>
      </c>
      <c r="F33" s="134"/>
      <c r="G33" s="1"/>
      <c r="H33" s="136">
        <f t="array" ref="H33">INDEX(Data!$Y$2:$Y$106, MATCH(H$7, Data!$A$2:$A$106,0)) - INDEX(Data!$Z$2:$Z$106, MATCH(H$7, Data!$A$2:$A$106)) - IF(H7="Traveler (Dendro)", 3.5*H67,0)</f>
        <v>70</v>
      </c>
      <c r="I33" s="134"/>
      <c r="J33" s="1"/>
      <c r="K33" s="136">
        <f t="array" ref="K33">INDEX(Data!$Y$2:$Y$106, MATCH(K$7, Data!$A$2:$A$106,0)) - INDEX(Data!$Z$2:$Z$106, MATCH(K$7, Data!$A$2:$A$106)) - IF(K7="Traveler (Dendro)", 3.5*K67,0)</f>
        <v>40</v>
      </c>
      <c r="L33" s="134"/>
      <c r="M33" s="1"/>
      <c r="N33" s="136">
        <f t="array" ref="N33">INDEX(Data!$Y$2:$Y$106, MATCH(N$7, Data!$A$2:$A$106,0)) - INDEX(Data!$Z$2:$Z$106, MATCH(N$7, Data!$A$2:$A$106)) - IF(N7="Traveler (Dendro)", 3.5*N67,0)</f>
        <v>60</v>
      </c>
      <c r="O33" s="134"/>
      <c r="P33" s="1"/>
      <c r="Q33" s="2"/>
      <c r="R33" s="2"/>
      <c r="S33" s="130"/>
      <c r="T33" s="130"/>
      <c r="U33" s="130"/>
      <c r="V33" s="130"/>
      <c r="W33" s="130"/>
      <c r="X33" s="130"/>
      <c r="Y33" s="130"/>
      <c r="Z33" s="130"/>
      <c r="AA33" s="1"/>
      <c r="AB33" s="1"/>
      <c r="AC33" s="1"/>
      <c r="AD33" s="1"/>
      <c r="AE33" s="1"/>
      <c r="AF33" s="1"/>
      <c r="AG33" s="1"/>
      <c r="AH33" s="1"/>
      <c r="AI33" s="1"/>
      <c r="AJ33" s="1"/>
      <c r="AK33" s="1"/>
      <c r="AL33" s="1"/>
      <c r="AM33" s="1"/>
      <c r="AN33" s="1"/>
      <c r="AO33" s="4" t="s">
        <v>48</v>
      </c>
      <c r="AP33" s="4"/>
      <c r="AQ33" s="4"/>
      <c r="AR33" s="4"/>
      <c r="AS33" s="4"/>
    </row>
    <row r="34" spans="1:45" ht="19.5" customHeight="1" x14ac:dyDescent="0.25">
      <c r="A34" s="1"/>
      <c r="B34" s="138" t="s">
        <v>49</v>
      </c>
      <c r="C34" s="134"/>
      <c r="D34" s="17"/>
      <c r="E34" s="137">
        <f>IFERROR(MAX(1, (E$33-E$72)/E$46 ),"")</f>
        <v>1.5027650877614809</v>
      </c>
      <c r="F34" s="134"/>
      <c r="G34" s="1"/>
      <c r="H34" s="137">
        <f>MAX(1, (H$33-H$72)/H$46 - INDEX(Data!$AA$2:$AA$106,MATCH('Energy Recharge Calculator'!H7,Data!$A$2:$A$106,0)))</f>
        <v>1.4890322141483587</v>
      </c>
      <c r="I34" s="134"/>
      <c r="J34" s="1"/>
      <c r="K34" s="137">
        <f t="array" ref="K34">IFERROR(MAX(1, (K$33-K$72)/K$46 - INDEX(Data!$AA$2:$AA$106,MATCH('Energy Recharge Calculator'!K7,Data!$A$2:$A$106,0))),"")</f>
        <v>1.2349033070710564</v>
      </c>
      <c r="L34" s="134"/>
      <c r="M34" s="1"/>
      <c r="N34" s="137">
        <f t="array" ref="N34">IFERROR(MAX(1, (N$33-N$72)/N$46 - INDEX(Data!$AA$2:$AA$106,MATCH('Energy Recharge Calculator'!N7,Data!$A$2:$A$106,0))),"")</f>
        <v>1.7371566220410435</v>
      </c>
      <c r="O34" s="134"/>
      <c r="P34" s="1"/>
      <c r="Q34" s="2"/>
      <c r="R34" s="16" t="s">
        <v>50</v>
      </c>
      <c r="S34" s="130"/>
      <c r="T34" s="130"/>
      <c r="U34" s="130"/>
      <c r="V34" s="131" t="e" cm="1" vm="1">
        <f t="array" aca="1" ref="V34" ca="1">(Data!$AA$2:$AA$106)</f>
        <v>#VALUE!</v>
      </c>
      <c r="W34" s="130"/>
      <c r="X34" s="130"/>
      <c r="Y34" s="130"/>
      <c r="Z34" s="130"/>
      <c r="AA34" s="1"/>
      <c r="AB34" s="1"/>
      <c r="AC34" s="1"/>
      <c r="AD34" s="1"/>
      <c r="AE34" s="1"/>
      <c r="AF34" s="1"/>
      <c r="AG34" s="1"/>
      <c r="AH34" s="1"/>
      <c r="AI34" s="1"/>
      <c r="AJ34" s="1"/>
      <c r="AK34" s="1"/>
      <c r="AL34" s="1"/>
      <c r="AM34" s="1"/>
      <c r="AN34" s="1"/>
      <c r="AO34" s="4" t="s">
        <v>51</v>
      </c>
      <c r="AP34" s="4"/>
      <c r="AQ34" s="4"/>
      <c r="AR34" s="4"/>
      <c r="AS34" s="4"/>
    </row>
    <row r="35" spans="1:45" ht="22.5" customHeight="1" x14ac:dyDescent="0.25">
      <c r="A35" s="1"/>
      <c r="B35" s="139"/>
      <c r="C35" s="134"/>
      <c r="D35" s="18"/>
      <c r="E35" s="4">
        <f xml:space="preserve"> INDEX(Data!$AA$2:$AA$106,MATCH('Energy Recharge Calculator'!E7,Data!$A$2:$A$106,0))</f>
        <v>0</v>
      </c>
      <c r="F35" s="4"/>
      <c r="G35" s="1"/>
      <c r="H35" s="4"/>
      <c r="I35" s="4"/>
      <c r="J35" s="1"/>
      <c r="K35" s="4"/>
      <c r="L35" s="4"/>
      <c r="M35" s="1"/>
      <c r="N35" s="4"/>
      <c r="O35" s="4"/>
      <c r="P35" s="1"/>
      <c r="Q35" s="19"/>
      <c r="R35" s="166">
        <f t="array" ref="R35">INDEX(IF($E$59=0,Data!$AB$2:$AB$106,Data!$AD$2:$AD$106),MATCH('Energy Recharge Calculator'!$E$7,Data!$A$2:$A$106,0))</f>
        <v>0</v>
      </c>
      <c r="S35" s="130"/>
      <c r="T35" s="130"/>
      <c r="U35" s="130"/>
      <c r="V35" s="130"/>
      <c r="W35" s="130"/>
      <c r="X35" s="130"/>
      <c r="Y35" s="130"/>
      <c r="Z35" s="130"/>
      <c r="AA35" s="1"/>
      <c r="AB35" s="1"/>
      <c r="AC35" s="1"/>
      <c r="AD35" s="1"/>
      <c r="AE35" s="1"/>
      <c r="AF35" s="1"/>
      <c r="AG35" s="1"/>
      <c r="AH35" s="1"/>
      <c r="AI35" s="1"/>
      <c r="AJ35" s="1"/>
      <c r="AK35" s="1"/>
      <c r="AL35" s="1"/>
      <c r="AM35" s="1"/>
      <c r="AN35" s="1"/>
      <c r="AO35" s="4" t="s">
        <v>52</v>
      </c>
      <c r="AP35" s="4"/>
      <c r="AQ35" s="4"/>
      <c r="AR35" s="4"/>
      <c r="AS35" s="4"/>
    </row>
    <row r="36" spans="1:45" ht="14.25" customHeight="1" x14ac:dyDescent="0.25">
      <c r="A36" s="1"/>
      <c r="B36" s="139" t="s">
        <v>53</v>
      </c>
      <c r="C36" s="134"/>
      <c r="D36" s="18"/>
      <c r="E36" s="139" t="str">
        <f t="array" ref="E36">INDEX(Data!$B$2:$B$106, MATCH(E$7, Data!$A$2:$A$106,0))</f>
        <v>Geo</v>
      </c>
      <c r="F36" s="134"/>
      <c r="G36" s="1"/>
      <c r="H36" s="4" t="str">
        <f t="array" ref="H36">INDEX(Data!$B$2:$B$106, MATCH(H$7, Data!$A$2:$A$106,0))</f>
        <v>Anemo</v>
      </c>
      <c r="I36" s="4"/>
      <c r="J36" s="1"/>
      <c r="K36" s="4" t="str">
        <f t="array" ref="K36">INDEX(Data!$B$2:$B$106, MATCH(K$7, Data!$A$2:$A$106,0))</f>
        <v>Geo</v>
      </c>
      <c r="L36" s="4"/>
      <c r="M36" s="1"/>
      <c r="N36" s="4" t="str">
        <f t="array" ref="N36">INDEX(Data!$B$2:$B$106, MATCH(N$7, Data!$A$2:$A$106,0))</f>
        <v>Anemo</v>
      </c>
      <c r="O36" s="4"/>
      <c r="P36" s="4"/>
      <c r="Q36" s="19"/>
      <c r="R36" s="165"/>
      <c r="S36" s="1"/>
      <c r="T36" s="1"/>
      <c r="U36" s="1"/>
      <c r="V36" s="1"/>
      <c r="W36" s="1"/>
      <c r="X36" s="1"/>
      <c r="Y36" s="1"/>
      <c r="Z36" s="1"/>
      <c r="AA36" s="1"/>
      <c r="AB36" s="1"/>
      <c r="AC36" s="1"/>
      <c r="AD36" s="1"/>
      <c r="AE36" s="1"/>
      <c r="AF36" s="1"/>
      <c r="AG36" s="1"/>
      <c r="AH36" s="1"/>
      <c r="AI36" s="1"/>
      <c r="AJ36" s="1"/>
      <c r="AK36" s="1"/>
      <c r="AL36" s="1"/>
      <c r="AM36" s="1"/>
      <c r="AN36" s="1"/>
      <c r="AO36" s="4" t="s">
        <v>54</v>
      </c>
      <c r="AP36" s="4"/>
      <c r="AQ36" s="4"/>
      <c r="AR36" s="4"/>
      <c r="AS36" s="4"/>
    </row>
    <row r="37" spans="1:45" ht="14.25" customHeight="1" x14ac:dyDescent="0.25">
      <c r="A37" s="1"/>
      <c r="B37" s="140" t="s">
        <v>55</v>
      </c>
      <c r="C37" s="134"/>
      <c r="D37" s="18"/>
      <c r="E37" s="157">
        <f t="shared" ref="E37:E39" si="4">E81</f>
        <v>0.22440000000000004</v>
      </c>
      <c r="F37" s="134"/>
      <c r="G37" s="1"/>
      <c r="H37" s="157">
        <f t="shared" ref="H37:H39" si="5">H81</f>
        <v>0.3</v>
      </c>
      <c r="I37" s="134"/>
      <c r="J37" s="1"/>
      <c r="K37" s="157">
        <f t="shared" ref="K37:K39" si="6">K81</f>
        <v>0.125</v>
      </c>
      <c r="L37" s="134"/>
      <c r="M37" s="1"/>
      <c r="N37" s="157">
        <f t="shared" ref="N37:N39" si="7">N81</f>
        <v>0.2</v>
      </c>
      <c r="O37" s="134"/>
      <c r="P37" s="4"/>
      <c r="Q37" s="19"/>
      <c r="R37" s="166" t="str">
        <f t="array" ref="R37">INDEX(Data!$AB$2:$AB$106,MATCH('Energy Recharge Calculator'!$H$7,Data!$A$2:$A$106,0))</f>
        <v/>
      </c>
      <c r="S37" s="1"/>
      <c r="T37" s="1"/>
      <c r="U37" s="1"/>
      <c r="V37" s="1"/>
      <c r="W37" s="1"/>
      <c r="X37" s="1"/>
      <c r="Y37" s="1"/>
      <c r="Z37" s="1"/>
      <c r="AA37" s="1"/>
      <c r="AB37" s="1"/>
      <c r="AC37" s="1"/>
      <c r="AD37" s="1"/>
      <c r="AE37" s="1"/>
      <c r="AF37" s="1"/>
      <c r="AG37" s="1"/>
      <c r="AH37" s="1"/>
      <c r="AI37" s="1"/>
      <c r="AJ37" s="1"/>
      <c r="AK37" s="1"/>
      <c r="AL37" s="1"/>
      <c r="AM37" s="1"/>
      <c r="AN37" s="1"/>
      <c r="AO37" s="4" t="s">
        <v>56</v>
      </c>
      <c r="AP37" s="4"/>
      <c r="AQ37" s="4"/>
      <c r="AR37" s="4"/>
      <c r="AS37" s="4"/>
    </row>
    <row r="38" spans="1:45" ht="14.25" customHeight="1" x14ac:dyDescent="0.25">
      <c r="A38" s="1"/>
      <c r="B38" s="140" t="s">
        <v>57</v>
      </c>
      <c r="C38" s="134"/>
      <c r="D38" s="18"/>
      <c r="E38" s="157">
        <f t="shared" si="4"/>
        <v>3.9600000000000003E-2</v>
      </c>
      <c r="F38" s="134"/>
      <c r="G38" s="1"/>
      <c r="H38" s="157">
        <f t="shared" si="5"/>
        <v>0</v>
      </c>
      <c r="I38" s="134"/>
      <c r="J38" s="1"/>
      <c r="K38" s="157">
        <f t="shared" si="6"/>
        <v>0</v>
      </c>
      <c r="L38" s="134"/>
      <c r="M38" s="1"/>
      <c r="N38" s="157">
        <f t="shared" si="7"/>
        <v>0.15</v>
      </c>
      <c r="O38" s="134"/>
      <c r="P38" s="4"/>
      <c r="Q38" s="19"/>
      <c r="R38" s="167"/>
      <c r="S38" s="1"/>
      <c r="T38" s="1"/>
      <c r="U38" s="1"/>
      <c r="V38" s="1"/>
      <c r="W38" s="1"/>
      <c r="X38" s="1"/>
      <c r="Y38" s="1"/>
      <c r="Z38" s="1"/>
      <c r="AA38" s="1"/>
      <c r="AB38" s="1"/>
      <c r="AC38" s="1"/>
      <c r="AD38" s="1"/>
      <c r="AE38" s="1"/>
      <c r="AF38" s="1"/>
      <c r="AG38" s="1"/>
      <c r="AH38" s="1"/>
      <c r="AI38" s="1"/>
      <c r="AJ38" s="1"/>
      <c r="AK38" s="1"/>
      <c r="AL38" s="1"/>
      <c r="AM38" s="1"/>
      <c r="AN38" s="1"/>
      <c r="AO38" s="4"/>
      <c r="AP38" s="4"/>
      <c r="AQ38" s="4"/>
      <c r="AR38" s="4"/>
      <c r="AS38" s="4"/>
    </row>
    <row r="39" spans="1:45" ht="14.25" customHeight="1" x14ac:dyDescent="0.25">
      <c r="A39" s="1"/>
      <c r="B39" s="140" t="s">
        <v>58</v>
      </c>
      <c r="C39" s="134"/>
      <c r="D39" s="18"/>
      <c r="E39" s="157">
        <f t="shared" si="4"/>
        <v>0</v>
      </c>
      <c r="F39" s="134"/>
      <c r="G39" s="1"/>
      <c r="H39" s="157">
        <f t="shared" si="5"/>
        <v>0</v>
      </c>
      <c r="I39" s="134"/>
      <c r="J39" s="1"/>
      <c r="K39" s="157">
        <f t="shared" si="6"/>
        <v>0.15</v>
      </c>
      <c r="L39" s="134"/>
      <c r="M39" s="1"/>
      <c r="N39" s="157">
        <f t="shared" si="7"/>
        <v>0</v>
      </c>
      <c r="O39" s="134"/>
      <c r="P39" s="4"/>
      <c r="Q39" s="19"/>
      <c r="R39" s="165"/>
      <c r="S39" s="1"/>
      <c r="T39" s="1"/>
      <c r="U39" s="1"/>
      <c r="V39" s="1"/>
      <c r="W39" s="1"/>
      <c r="X39" s="1"/>
      <c r="Y39" s="1"/>
      <c r="Z39" s="1"/>
      <c r="AA39" s="1"/>
      <c r="AB39" s="1"/>
      <c r="AC39" s="1"/>
      <c r="AD39" s="1"/>
      <c r="AE39" s="1"/>
      <c r="AF39" s="1"/>
      <c r="AG39" s="1"/>
      <c r="AH39" s="1"/>
      <c r="AI39" s="1"/>
      <c r="AJ39" s="1"/>
      <c r="AK39" s="1"/>
      <c r="AL39" s="1"/>
      <c r="AM39" s="1"/>
      <c r="AN39" s="1"/>
      <c r="AO39" s="4"/>
      <c r="AP39" s="4"/>
      <c r="AQ39" s="4"/>
      <c r="AR39" s="4"/>
      <c r="AS39" s="4"/>
    </row>
    <row r="40" spans="1:45" ht="14.25" customHeight="1" x14ac:dyDescent="0.25">
      <c r="A40" s="1"/>
      <c r="B40" s="20" t="str">
        <f>CONCATENATE("Energy from ", $E$7)</f>
        <v>Energy from Chiori</v>
      </c>
      <c r="C40" s="20"/>
      <c r="D40" s="18"/>
      <c r="E40" s="141">
        <f>E96+E100+E104</f>
        <v>12.672000000000004</v>
      </c>
      <c r="F40" s="134"/>
      <c r="G40" s="1"/>
      <c r="H40" s="141">
        <f t="shared" ref="H40:H43" si="8">H96+H100+H104</f>
        <v>3.5904000000000007</v>
      </c>
      <c r="I40" s="134"/>
      <c r="J40" s="1"/>
      <c r="K40" s="141">
        <f t="shared" ref="K40:K43" si="9">K96+K100+K104</f>
        <v>10.7712</v>
      </c>
      <c r="L40" s="134"/>
      <c r="M40" s="1"/>
      <c r="N40" s="141">
        <f t="shared" ref="N40:N43" si="10">N96+N100+N104</f>
        <v>3.3792000000000009</v>
      </c>
      <c r="O40" s="134"/>
      <c r="P40" s="4"/>
      <c r="Q40" s="19"/>
      <c r="R40" s="166" t="str">
        <f t="array" ref="R40">INDEX(Data!$AB$2:$AB$106,MATCH('Energy Recharge Calculator'!$K$7,Data!$A$2:$A$106,0))</f>
        <v>Zhongli's pillar is assumed to hit on every pulse, and distributes its particles based on time spent on field. If you don't want the pillar to hit, put "miss pillar".</v>
      </c>
      <c r="S40" s="1"/>
      <c r="T40" s="1"/>
      <c r="U40" s="1"/>
      <c r="V40" s="1"/>
      <c r="W40" s="1"/>
      <c r="X40" s="1"/>
      <c r="Y40" s="1"/>
      <c r="Z40" s="1"/>
      <c r="AA40" s="1"/>
      <c r="AB40" s="1"/>
      <c r="AC40" s="1"/>
      <c r="AD40" s="1"/>
      <c r="AE40" s="1"/>
      <c r="AF40" s="1"/>
      <c r="AG40" s="1"/>
      <c r="AH40" s="1"/>
      <c r="AI40" s="1"/>
      <c r="AJ40" s="1"/>
      <c r="AK40" s="1"/>
      <c r="AL40" s="1"/>
      <c r="AM40" s="1"/>
      <c r="AN40" s="1"/>
      <c r="AO40" s="4"/>
      <c r="AP40" s="4"/>
      <c r="AQ40" s="4"/>
      <c r="AR40" s="4"/>
      <c r="AS40" s="4"/>
    </row>
    <row r="41" spans="1:45" ht="14.25" customHeight="1" x14ac:dyDescent="0.25">
      <c r="A41" s="1"/>
      <c r="B41" s="20" t="str">
        <f>CONCATENATE("Energy from ", $H$7)</f>
        <v>Energy from Xiao</v>
      </c>
      <c r="C41" s="20"/>
      <c r="D41" s="18"/>
      <c r="E41" s="141">
        <f t="shared" ref="E40:E43" si="11">E97+E101+E105</f>
        <v>3.5999999999999996</v>
      </c>
      <c r="F41" s="134"/>
      <c r="G41" s="1"/>
      <c r="H41" s="141">
        <f t="shared" si="8"/>
        <v>14.4</v>
      </c>
      <c r="I41" s="134"/>
      <c r="J41" s="1"/>
      <c r="K41" s="141">
        <f t="shared" si="9"/>
        <v>3.5999999999999996</v>
      </c>
      <c r="L41" s="134"/>
      <c r="M41" s="1"/>
      <c r="N41" s="141">
        <f t="shared" si="10"/>
        <v>10.799999999999999</v>
      </c>
      <c r="O41" s="134"/>
      <c r="P41" s="4"/>
      <c r="Q41" s="19"/>
      <c r="R41" s="167"/>
      <c r="S41" s="1"/>
      <c r="T41" s="1"/>
      <c r="U41" s="1"/>
      <c r="V41" s="1"/>
      <c r="W41" s="1"/>
      <c r="X41" s="1"/>
      <c r="Y41" s="1"/>
      <c r="Z41" s="1"/>
      <c r="AA41" s="1"/>
      <c r="AB41" s="1"/>
      <c r="AC41" s="1"/>
      <c r="AD41" s="1"/>
      <c r="AE41" s="1"/>
      <c r="AF41" s="1"/>
      <c r="AG41" s="1"/>
      <c r="AH41" s="1"/>
      <c r="AI41" s="1"/>
      <c r="AJ41" s="1"/>
      <c r="AK41" s="1"/>
      <c r="AL41" s="1"/>
      <c r="AM41" s="1"/>
      <c r="AN41" s="1"/>
      <c r="AO41" s="4"/>
      <c r="AP41" s="4"/>
      <c r="AQ41" s="4"/>
      <c r="AR41" s="4"/>
      <c r="AS41" s="4"/>
    </row>
    <row r="42" spans="1:45" ht="14.25" customHeight="1" x14ac:dyDescent="0.25">
      <c r="A42" s="1"/>
      <c r="B42" s="20" t="str">
        <f>CONCATENATE("Energy from ", $K$7)</f>
        <v>Energy from Zhongli</v>
      </c>
      <c r="C42" s="20"/>
      <c r="D42" s="18"/>
      <c r="E42" s="141">
        <f t="shared" si="11"/>
        <v>9.6</v>
      </c>
      <c r="F42" s="134"/>
      <c r="G42" s="1"/>
      <c r="H42" s="141">
        <f t="shared" si="8"/>
        <v>5.2999999999999989</v>
      </c>
      <c r="I42" s="134"/>
      <c r="J42" s="1"/>
      <c r="K42" s="141">
        <f t="shared" si="9"/>
        <v>11.1</v>
      </c>
      <c r="L42" s="134"/>
      <c r="M42" s="1"/>
      <c r="N42" s="141">
        <f t="shared" si="10"/>
        <v>5.1999999999999993</v>
      </c>
      <c r="O42" s="134"/>
      <c r="P42" s="4"/>
      <c r="Q42" s="19"/>
      <c r="R42" s="165"/>
      <c r="S42" s="1"/>
      <c r="T42" s="1"/>
      <c r="U42" s="1"/>
      <c r="V42" s="1"/>
      <c r="W42" s="1"/>
      <c r="X42" s="1"/>
      <c r="Y42" s="1"/>
      <c r="Z42" s="1"/>
      <c r="AA42" s="1"/>
      <c r="AB42" s="1"/>
      <c r="AC42" s="1"/>
      <c r="AD42" s="1"/>
      <c r="AE42" s="1"/>
      <c r="AF42" s="1"/>
      <c r="AG42" s="1"/>
      <c r="AH42" s="1"/>
      <c r="AI42" s="1"/>
      <c r="AJ42" s="1"/>
      <c r="AK42" s="1"/>
      <c r="AL42" s="1"/>
      <c r="AM42" s="1"/>
      <c r="AN42" s="1"/>
      <c r="AO42" s="4"/>
      <c r="AP42" s="4"/>
      <c r="AQ42" s="4"/>
      <c r="AR42" s="4"/>
      <c r="AS42" s="4"/>
    </row>
    <row r="43" spans="1:45" ht="14.25" customHeight="1" x14ac:dyDescent="0.25">
      <c r="A43" s="1"/>
      <c r="B43" s="20" t="str">
        <f>CONCATENATE("Energy from ", $N$7)</f>
        <v>Energy from Kazuha</v>
      </c>
      <c r="C43" s="20"/>
      <c r="D43" s="18"/>
      <c r="E43" s="141">
        <f t="shared" si="11"/>
        <v>4.1999999999999993</v>
      </c>
      <c r="F43" s="134"/>
      <c r="G43" s="1"/>
      <c r="H43" s="141">
        <f t="shared" si="8"/>
        <v>21</v>
      </c>
      <c r="I43" s="134"/>
      <c r="J43" s="1"/>
      <c r="K43" s="141">
        <f t="shared" si="9"/>
        <v>4.1999999999999993</v>
      </c>
      <c r="L43" s="134"/>
      <c r="M43" s="1"/>
      <c r="N43" s="141">
        <f t="shared" si="10"/>
        <v>12.599999999999998</v>
      </c>
      <c r="O43" s="134"/>
      <c r="P43" s="4"/>
      <c r="Q43" s="19"/>
      <c r="R43" s="166" t="str">
        <f>INDEX(Data!$AB$2:$AB$106,MATCH('Energy Recharge Calculator'!$N$7,Data!$A$2:$A$106,0))</f>
        <v/>
      </c>
      <c r="S43" s="1"/>
      <c r="T43" s="1"/>
      <c r="U43" s="1"/>
      <c r="V43" s="1"/>
      <c r="W43" s="1"/>
      <c r="X43" s="1"/>
      <c r="Y43" s="1"/>
      <c r="Z43" s="1"/>
      <c r="AA43" s="1"/>
      <c r="AB43" s="1"/>
      <c r="AC43" s="1"/>
      <c r="AD43" s="1"/>
      <c r="AE43" s="1"/>
      <c r="AF43" s="1"/>
      <c r="AG43" s="1"/>
      <c r="AH43" s="1"/>
      <c r="AI43" s="1"/>
      <c r="AJ43" s="1"/>
      <c r="AK43" s="1"/>
      <c r="AL43" s="1"/>
      <c r="AM43" s="1"/>
      <c r="AN43" s="1"/>
      <c r="AO43" s="4"/>
      <c r="AP43" s="4"/>
      <c r="AQ43" s="4"/>
      <c r="AR43" s="4"/>
      <c r="AS43" s="4"/>
    </row>
    <row r="44" spans="1:45" ht="14.25" customHeight="1" x14ac:dyDescent="0.25">
      <c r="A44" s="1"/>
      <c r="B44" s="20" t="s">
        <v>59</v>
      </c>
      <c r="C44" s="20"/>
      <c r="D44" s="18"/>
      <c r="E44" s="141">
        <f t="array" ref="E44">E$74 * INDEX('Enemy Particles'!$K$3:$R$11, MATCH($C$3,'Enemy Particles'!$A$3:$A$11,0),MATCH(E$36,'Enemy Particles'!$K$2:$R$2,0)) * (0.6+0.4*E$30) / $C$2</f>
        <v>3.2</v>
      </c>
      <c r="F44" s="134"/>
      <c r="G44" s="1"/>
      <c r="H44" s="141">
        <f t="array" ref="H44">H$74 * INDEX('Enemy Particles'!$K$3:$R$11, MATCH($C$3,'Enemy Particles'!$A$3:$A$11,0),MATCH(H$36,'Enemy Particles'!$K$2:$R$2,0)) * (0.6+0.4*H$30) / $C$2</f>
        <v>2.7199999999999998</v>
      </c>
      <c r="I44" s="134"/>
      <c r="J44" s="1"/>
      <c r="K44" s="141">
        <f t="array" ref="K44">K$74 * INDEX('Enemy Particles'!$K$3:$R$11, MATCH($C$3,'Enemy Particles'!$A$3:$A$11,0),MATCH(K$36,'Enemy Particles'!$K$2:$R$2,0)) * (0.6+0.4*K$30) / $C$2</f>
        <v>2.7199999999999998</v>
      </c>
      <c r="L44" s="134"/>
      <c r="M44" s="1"/>
      <c r="N44" s="141">
        <f t="array" ref="N44">N$74 * INDEX('Enemy Particles'!$K$3:$R$11, MATCH($C$3,'Enemy Particles'!$A$3:$A$11,0),MATCH(N$36,'Enemy Particles'!$K$2:$R$2,0)) * (0.6+0.4*N$30) / $C$2</f>
        <v>2.56</v>
      </c>
      <c r="O44" s="134"/>
      <c r="P44" s="4"/>
      <c r="Q44" s="19"/>
      <c r="R44" s="167"/>
      <c r="S44" s="1"/>
      <c r="T44" s="1"/>
      <c r="U44" s="1"/>
      <c r="V44" s="1"/>
      <c r="W44" s="1"/>
      <c r="X44" s="1"/>
      <c r="Y44" s="1"/>
      <c r="Z44" s="1"/>
      <c r="AA44" s="1"/>
      <c r="AB44" s="1"/>
      <c r="AC44" s="1"/>
      <c r="AD44" s="1"/>
      <c r="AE44" s="1"/>
      <c r="AF44" s="1"/>
      <c r="AG44" s="1"/>
      <c r="AH44" s="1"/>
      <c r="AI44" s="1"/>
      <c r="AJ44" s="1"/>
      <c r="AK44" s="1"/>
      <c r="AL44" s="1"/>
      <c r="AM44" s="1"/>
      <c r="AN44" s="1"/>
      <c r="AO44" s="4"/>
      <c r="AP44" s="4"/>
      <c r="AQ44" s="4"/>
      <c r="AR44" s="4"/>
      <c r="AS44" s="4"/>
    </row>
    <row r="45" spans="1:45" ht="14.25" customHeight="1" x14ac:dyDescent="0.25">
      <c r="A45" s="1"/>
      <c r="B45" s="144" t="s">
        <v>60</v>
      </c>
      <c r="C45" s="134"/>
      <c r="D45" s="18"/>
      <c r="E45" s="141">
        <f>E$74 * IF(AND(COUNTIF($E$36:$N$36, "Electro") &gt;= 2, OR(COUNTIF($E$36:$N$36, "Pyro") &gt;= 1, COUNTIF($E$36:$N$36, "Hydro") &gt;= 1, COUNTIF($E$36:$N$36, "Cryo") &gt;= 1, COUNTIF($E$36:$N$36, "Dendro") &gt;= 1)),(1/$N$2) * ( 0.6+0.4*E$30) * IF("Electro"=E$36, OnFieldRight, OnFieldWrong), 0) +
IF(E7="Dori", 5*(F12+F13), 0)</f>
        <v>0</v>
      </c>
      <c r="F45" s="134"/>
      <c r="G45" s="1"/>
      <c r="H45" s="141">
        <f>H$74 * IF(AND(COUNTIF($E$36:$N$36, "Electro") &gt;= 2, OR(COUNTIF($E$36:$N$36, "Pyro") &gt;= 1, COUNTIF($E$36:$N$36, "Hydro") &gt;= 1, COUNTIF($E$36:$N$36, "Cryo") &gt;= 1, COUNTIF($E$36:$N$36, "Dendro") &gt;= 1)),(1/$N$2) * ( 0.6+0.4*H$30) * IF("Electro"=H$36, OnFieldRight, OnFieldWrong), 0) +
IF(H7="Dori", 5*(I12+I13), 0)</f>
        <v>0</v>
      </c>
      <c r="I45" s="134"/>
      <c r="J45" s="1"/>
      <c r="K45" s="141">
        <f>K$74 * IF(AND(COUNTIF($E$36:$N$36, "Electro") &gt;= 2, OR(COUNTIF($E$36:$N$36, "Pyro") &gt;= 1, COUNTIF($E$36:$N$36, "Hydro") &gt;= 1, COUNTIF($E$36:$N$36, "Cryo") &gt;= 1, COUNTIF($E$36:$N$36, "Dendro") &gt;= 1)),(1/$N$2) * ( 0.6+0.4*K$30) * IF("Electro"=K$36, OnFieldRight, OnFieldWrong), 0) +
IF(K7="Dori", 5*(L12+L13), 0)</f>
        <v>0</v>
      </c>
      <c r="L45" s="134"/>
      <c r="M45" s="1"/>
      <c r="N45" s="141">
        <f>N$74 * IF(AND(COUNTIF($E$36:$N$36, "Electro") &gt;= 2, OR(COUNTIF($E$36:$N$36, "Pyro") &gt;= 1, COUNTIF($E$36:$N$36, "Hydro") &gt;= 1, COUNTIF($E$36:$N$36, "Cryo") &gt;= 1, COUNTIF($E$36:$N$36, "Dendro") &gt;= 1)),(1/$N$2) * ( 0.6+0.4*N$30) * IF("Electro"=N$36, OnFieldRight, OnFieldWrong), 0) +
IF(N7="Dori", 5*(O12+O13), 0)</f>
        <v>0</v>
      </c>
      <c r="O45" s="134"/>
      <c r="P45" s="4"/>
      <c r="Q45" s="19"/>
      <c r="R45" s="165"/>
      <c r="S45" s="1"/>
      <c r="T45" s="1"/>
      <c r="U45" s="1"/>
      <c r="V45" s="1"/>
      <c r="W45" s="1"/>
      <c r="X45" s="1"/>
      <c r="Y45" s="1"/>
      <c r="Z45" s="1"/>
      <c r="AA45" s="1"/>
      <c r="AB45" s="1"/>
      <c r="AC45" s="1"/>
      <c r="AD45" s="1"/>
      <c r="AE45" s="1"/>
      <c r="AF45" s="1"/>
      <c r="AG45" s="1"/>
      <c r="AH45" s="1"/>
      <c r="AI45" s="1"/>
      <c r="AJ45" s="1"/>
      <c r="AK45" s="1"/>
      <c r="AL45" s="1"/>
      <c r="AM45" s="1"/>
      <c r="AN45" s="1"/>
      <c r="AO45" s="4"/>
      <c r="AP45" s="4"/>
      <c r="AQ45" s="4"/>
      <c r="AR45" s="4"/>
      <c r="AS45" s="4"/>
    </row>
    <row r="46" spans="1:45" ht="14.25" customHeight="1" x14ac:dyDescent="0.25">
      <c r="A46" s="1"/>
      <c r="B46" s="139" t="s">
        <v>61</v>
      </c>
      <c r="C46" s="134"/>
      <c r="D46" s="18"/>
      <c r="E46" s="145">
        <f>SUM(E40:E45)</f>
        <v>33.272000000000006</v>
      </c>
      <c r="F46" s="134"/>
      <c r="G46" s="1"/>
      <c r="H46" s="145">
        <f>SUM(H40:H45)</f>
        <v>47.010399999999997</v>
      </c>
      <c r="I46" s="134"/>
      <c r="J46" s="1"/>
      <c r="K46" s="145">
        <f>SUM(K40:K45)</f>
        <v>32.391199999999998</v>
      </c>
      <c r="L46" s="134"/>
      <c r="M46" s="1"/>
      <c r="N46" s="145">
        <f>SUM(N40:N45)</f>
        <v>34.539199999999994</v>
      </c>
      <c r="O46" s="134"/>
      <c r="P46" s="4"/>
      <c r="Q46" s="19"/>
      <c r="R46" s="21"/>
      <c r="S46" s="1"/>
      <c r="T46" s="1"/>
      <c r="U46" s="1"/>
      <c r="V46" s="1"/>
      <c r="W46" s="1"/>
      <c r="X46" s="1"/>
      <c r="Y46" s="1"/>
      <c r="Z46" s="1"/>
      <c r="AA46" s="1"/>
      <c r="AB46" s="1"/>
      <c r="AC46" s="1"/>
      <c r="AD46" s="1"/>
      <c r="AE46" s="1"/>
      <c r="AF46" s="1"/>
      <c r="AG46" s="1"/>
      <c r="AH46" s="1"/>
      <c r="AI46" s="1"/>
      <c r="AJ46" s="1"/>
      <c r="AK46" s="1"/>
      <c r="AL46" s="1"/>
      <c r="AM46" s="1"/>
      <c r="AN46" s="1"/>
      <c r="AO46" s="4"/>
      <c r="AP46" s="4"/>
      <c r="AQ46" s="4"/>
      <c r="AR46" s="4"/>
      <c r="AS46" s="4"/>
    </row>
    <row r="47" spans="1:45" ht="14.25" customHeight="1" x14ac:dyDescent="0.25">
      <c r="A47" s="1"/>
      <c r="B47" s="18"/>
      <c r="C47" s="18"/>
      <c r="D47" s="18"/>
      <c r="E47" s="145"/>
      <c r="F47" s="134"/>
      <c r="G47" s="1"/>
      <c r="H47" s="145"/>
      <c r="I47" s="134"/>
      <c r="J47" s="1"/>
      <c r="K47" s="145"/>
      <c r="L47" s="134"/>
      <c r="M47" s="1"/>
      <c r="N47" s="145"/>
      <c r="O47" s="134"/>
      <c r="P47" s="4"/>
      <c r="Q47" s="19"/>
      <c r="R47" s="21"/>
      <c r="S47" s="1"/>
      <c r="T47" s="1"/>
      <c r="U47" s="1"/>
      <c r="V47" s="1"/>
      <c r="W47" s="1"/>
      <c r="X47" s="1"/>
      <c r="Y47" s="1"/>
      <c r="Z47" s="1"/>
      <c r="AA47" s="1"/>
      <c r="AB47" s="1"/>
      <c r="AC47" s="1"/>
      <c r="AD47" s="1"/>
      <c r="AE47" s="1"/>
      <c r="AF47" s="1"/>
      <c r="AG47" s="1"/>
      <c r="AH47" s="1"/>
      <c r="AI47" s="1"/>
      <c r="AJ47" s="1"/>
      <c r="AK47" s="1"/>
      <c r="AL47" s="1"/>
      <c r="AM47" s="1"/>
      <c r="AN47" s="1"/>
      <c r="AO47" s="4"/>
      <c r="AP47" s="4"/>
      <c r="AQ47" s="4"/>
      <c r="AR47" s="4"/>
      <c r="AS47" s="4"/>
    </row>
    <row r="48" spans="1:45" ht="14.25" customHeight="1" x14ac:dyDescent="0.25">
      <c r="A48" s="13"/>
      <c r="B48" s="146" t="s">
        <v>62</v>
      </c>
      <c r="C48" s="134"/>
      <c r="D48" s="22"/>
      <c r="E48" s="142">
        <f>IF(E$74=0,0,E$63/E$74)</f>
        <v>0</v>
      </c>
      <c r="F48" s="134"/>
      <c r="G48" s="13"/>
      <c r="H48" s="142">
        <f>IF(H$74=0,0,H$63/H$74)</f>
        <v>0.3</v>
      </c>
      <c r="I48" s="134"/>
      <c r="J48" s="13"/>
      <c r="K48" s="142">
        <f>IF(K$74=0,0,K$63/K$74)</f>
        <v>0</v>
      </c>
      <c r="L48" s="134"/>
      <c r="M48" s="13"/>
      <c r="N48" s="142">
        <f>IF(N$74=0,0,N$63/N$74)</f>
        <v>0.35</v>
      </c>
      <c r="O48" s="134"/>
      <c r="P48" s="23"/>
      <c r="Q48" s="19"/>
      <c r="R48" s="24"/>
      <c r="S48" s="1"/>
      <c r="T48" s="1"/>
      <c r="U48" s="1"/>
      <c r="V48" s="1"/>
      <c r="W48" s="1"/>
      <c r="X48" s="1"/>
      <c r="Y48" s="1"/>
      <c r="Z48" s="1"/>
      <c r="AA48" s="1"/>
      <c r="AB48" s="1"/>
      <c r="AC48" s="1"/>
      <c r="AD48" s="1"/>
      <c r="AE48" s="1"/>
      <c r="AF48" s="1"/>
      <c r="AG48" s="1"/>
      <c r="AH48" s="1"/>
      <c r="AI48" s="1"/>
      <c r="AJ48" s="1"/>
      <c r="AK48" s="1"/>
      <c r="AL48" s="1"/>
      <c r="AM48" s="1"/>
      <c r="AN48" s="1"/>
      <c r="AO48" s="4" t="s">
        <v>63</v>
      </c>
      <c r="AP48" s="4"/>
      <c r="AQ48" s="4"/>
      <c r="AR48" s="4"/>
      <c r="AS48" s="4"/>
    </row>
    <row r="49" spans="1:45" ht="14.25" customHeight="1" x14ac:dyDescent="0.25">
      <c r="A49" s="13"/>
      <c r="B49" s="146" t="s">
        <v>64</v>
      </c>
      <c r="C49" s="134"/>
      <c r="D49" s="22"/>
      <c r="E49" s="142">
        <f>IF(E$74=0,0,E$10 * E$69 / E$74)</f>
        <v>0.22440000000000007</v>
      </c>
      <c r="F49" s="134"/>
      <c r="G49" s="13"/>
      <c r="H49" s="142">
        <f>IF(H$74=0,0,H$10 * H$69 / H$74)</f>
        <v>0</v>
      </c>
      <c r="I49" s="134"/>
      <c r="J49" s="13"/>
      <c r="K49" s="142">
        <f>IF(K$74=0,0,K$10 * K$69 / K$74)</f>
        <v>0.125</v>
      </c>
      <c r="L49" s="134"/>
      <c r="M49" s="13"/>
      <c r="N49" s="142">
        <f>IF(N$74=0,0,N$10 * N$69 / N$74)</f>
        <v>0</v>
      </c>
      <c r="O49" s="134"/>
      <c r="P49" s="23"/>
      <c r="Q49" s="19"/>
      <c r="R49" s="21"/>
      <c r="AO49" s="4"/>
      <c r="AP49" s="4"/>
      <c r="AQ49" s="4"/>
      <c r="AR49" s="4"/>
      <c r="AS49" s="4"/>
    </row>
    <row r="50" spans="1:45" ht="14.25" customHeight="1" x14ac:dyDescent="0.25">
      <c r="A50" s="13"/>
      <c r="B50" s="146" t="s">
        <v>58</v>
      </c>
      <c r="C50" s="134"/>
      <c r="D50" s="22"/>
      <c r="E50" s="142">
        <f>IF(E$74=0,0,3*E$28/E$74)</f>
        <v>0</v>
      </c>
      <c r="F50" s="134"/>
      <c r="G50" s="13"/>
      <c r="H50" s="142">
        <f>IF(H$74=0,0,3*H$28/H$74)</f>
        <v>0</v>
      </c>
      <c r="I50" s="134"/>
      <c r="J50" s="13"/>
      <c r="K50" s="142">
        <f>IF(K$74=0,0,3*K$28/K$74)</f>
        <v>0.15</v>
      </c>
      <c r="L50" s="134"/>
      <c r="M50" s="13"/>
      <c r="N50" s="142">
        <f>IF(N$74=0,0,3*N$28/N$74)</f>
        <v>0</v>
      </c>
      <c r="O50" s="134"/>
      <c r="P50" s="23"/>
      <c r="Q50" s="19"/>
      <c r="R50" s="21"/>
      <c r="AO50" s="4"/>
      <c r="AP50" s="4"/>
      <c r="AQ50" s="4"/>
      <c r="AR50" s="4"/>
      <c r="AS50" s="4"/>
    </row>
    <row r="51" spans="1:45" ht="14.25" customHeight="1" x14ac:dyDescent="0.25">
      <c r="A51" s="13"/>
      <c r="B51" s="25" t="str">
        <f>CONCATENATE("Energy from ", $E$7)</f>
        <v>Energy from Chiori</v>
      </c>
      <c r="C51" s="25"/>
      <c r="D51" s="25"/>
      <c r="E51" s="143">
        <f>E$74*(IF($AA61=E$7,$AB61*OnField+(1-$AB61)*OffField,IF($S61=E$7,(1-$AB61)*OnField+$AB61*OffField, OffField))*($W61*IF(E$36=$U61,RightElement,WrongElement)+$Y61*NoElement)+
$X61*(E75*OnField+(1-E75)*OffField)*IF(E$36=$U61,RightElement,WrongElement))</f>
        <v>10.771200000000004</v>
      </c>
      <c r="F51" s="134"/>
      <c r="G51" s="13"/>
      <c r="H51" s="143">
        <f>H$74*(IF($AA61=H$7,$AB61*OnField+(1-$AB61)*OffField,IF($S61=H$7,(1-$AB61)*OnField+$AB61*OffField, OffField))*($W61*IF(H$36=$U61,RightElement,WrongElement)+$Y61*NoElement)+
$X61*(H75*OnField+(1-H75)*OffField)*IF(H$36=$U61,RightElement,WrongElement))</f>
        <v>3.0518400000000008</v>
      </c>
      <c r="I51" s="134"/>
      <c r="J51" s="13"/>
      <c r="K51" s="143">
        <f>K$74*(IF($AA61=K$7,$AB61*OnField+(1-$AB61)*OffField,IF($S61=K$7,(1-$AB61)*OnField+$AB61*OffField, OffField))*($W61*IF(K$36=$U61,RightElement,WrongElement)+$Y61*NoElement)+
$X61*(K75*OnField+(1-K75)*OffField)*IF(K$36=$U61,RightElement,WrongElement))</f>
        <v>9.155520000000001</v>
      </c>
      <c r="L51" s="134"/>
      <c r="M51" s="13"/>
      <c r="N51" s="143">
        <f>N$74*(IF($AA61=N$7,$AB61*OnField+(1-$AB61)*OffField,IF($S61=N$7,(1-$AB61)*OnField+$AB61*OffField, OffField))*($W61*IF(N$36=$U61,RightElement,WrongElement)+$Y61*NoElement)+
$X61*(N75*OnField+(1-N75)*OffField)*IF(N$36=$U61,RightElement,WrongElement))</f>
        <v>2.8723200000000011</v>
      </c>
      <c r="O51" s="134"/>
      <c r="P51" s="23"/>
      <c r="Q51" s="19"/>
      <c r="R51" s="21"/>
      <c r="AO51" s="4"/>
      <c r="AP51" s="4"/>
      <c r="AQ51" s="4"/>
      <c r="AR51" s="4"/>
      <c r="AS51" s="4"/>
    </row>
    <row r="52" spans="1:45" ht="14.25" customHeight="1" x14ac:dyDescent="0.25">
      <c r="A52" s="13"/>
      <c r="B52" s="25" t="str">
        <f>CONCATENATE("Energy from ", $H$7)</f>
        <v>Energy from Xiao</v>
      </c>
      <c r="C52" s="25"/>
      <c r="D52" s="25"/>
      <c r="E52" s="143">
        <f>E$74*(IF($AA62=E$7,$AB62*OnField+(1-$AB62)*OffField,IF($S62=E$7,(1-$AB62)*OnField+$AB62*OffField, OffField))*($W62*IF(E$36=$U62,RightElement,WrongElement)+$Y62*NoElement)+
$X62*(E76*OnField+(1-E76)*OffField)*IF(E$36=$U62,RightElement,WrongElement))</f>
        <v>3.5999999999999996</v>
      </c>
      <c r="F52" s="134"/>
      <c r="G52" s="13"/>
      <c r="H52" s="143">
        <f>H$74*(IF($AA62=H$7,$AB62*OnField+(1-$AB62)*OffField,IF($S62=H$7,(1-$AB62)*OnField+$AB62*OffField, OffField))*($W62*IF(H$36=$U62,RightElement,WrongElement)+$Y62*NoElement)+
$X62*(H76*OnField+(1-H76)*OffField)*IF(H$36=$U62,RightElement,WrongElement))</f>
        <v>14.399999999999999</v>
      </c>
      <c r="I52" s="134"/>
      <c r="J52" s="13"/>
      <c r="K52" s="143">
        <f>K$74*(IF($AA62=K$7,$AB62*OnField+(1-$AB62)*OffField,IF($S62=K$7,(1-$AB62)*OnField+$AB62*OffField, OffField))*($W62*IF(K$36=$U62,RightElement,WrongElement)+$Y62*NoElement)+
$X62*(K76*OnField+(1-K76)*OffField)*IF(K$36=$U62,RightElement,WrongElement))</f>
        <v>3.5999999999999996</v>
      </c>
      <c r="L52" s="134"/>
      <c r="M52" s="13"/>
      <c r="N52" s="143">
        <f>N$74*(IF($AA62=N$7,$AB62*OnField+(1-$AB62)*OffField,IF($S62=N$7,(1-$AB62)*OnField+$AB62*OffField, OffField))*($W62*IF(N$36=$U62,RightElement,WrongElement)+$Y62*NoElement)+
$X62*(N76*OnField+(1-N76)*OffField)*IF(N$36=$U62,RightElement,WrongElement))</f>
        <v>10.799999999999999</v>
      </c>
      <c r="O52" s="134"/>
      <c r="P52" s="23"/>
      <c r="Q52" s="19"/>
      <c r="R52" s="21"/>
      <c r="AO52" s="4"/>
      <c r="AP52" s="4"/>
      <c r="AQ52" s="4"/>
      <c r="AR52" s="4"/>
      <c r="AS52" s="4"/>
    </row>
    <row r="53" spans="1:45" ht="14.25" customHeight="1" x14ac:dyDescent="0.25">
      <c r="A53" s="13"/>
      <c r="B53" s="25" t="str">
        <f>CONCATENATE("Energy from ", $K$7)</f>
        <v>Energy from Zhongli</v>
      </c>
      <c r="C53" s="25"/>
      <c r="D53" s="25"/>
      <c r="E53" s="143">
        <f>E$74*(IF($AA63=E$7,$AB63*OnField+(1-$AB63)*OffField,IF($S63=E$7,(1-$AB63)*OnField+$AB63*OffField, OffField))*($W63*IF(E$36=$U63,RightElement,WrongElement)+$Y63*NoElement)+
$X63*(E77*OnField+(1-E77)*OffField)*IF(E$36=$U63,RightElement,WrongElement))</f>
        <v>9.6000000000000014</v>
      </c>
      <c r="F53" s="134"/>
      <c r="G53" s="13"/>
      <c r="H53" s="143">
        <f>H$74*(IF($AA63=H$7,$AB63*OnField+(1-$AB63)*OffField,IF($S63=H$7,(1-$AB63)*OnField+$AB63*OffField, OffField))*($W63*IF(H$36=$U63,RightElement,WrongElement)+$Y63*NoElement)+
$X63*(H77*OnField+(1-H77)*OffField)*IF(H$36=$U63,RightElement,WrongElement))</f>
        <v>5.3000000000000007</v>
      </c>
      <c r="I53" s="134"/>
      <c r="J53" s="13"/>
      <c r="K53" s="143">
        <f>K$74*(IF($AA63=K$7,$AB63*OnField+(1-$AB63)*OffField,IF($S63=K$7,(1-$AB63)*OnField+$AB63*OffField, OffField))*($W63*IF(K$36=$U63,RightElement,WrongElement)+$Y63*NoElement)+
$X63*(K77*OnField+(1-K77)*OffField)*IF(K$36=$U63,RightElement,WrongElement))</f>
        <v>11.099999999999998</v>
      </c>
      <c r="L53" s="134"/>
      <c r="M53" s="13"/>
      <c r="N53" s="143">
        <f>N$74*(IF($AA63=N$7,$AB63*OnField+(1-$AB63)*OffField,IF($S63=N$7,(1-$AB63)*OnField+$AB63*OffField, OffField))*($W63*IF(N$36=$U63,RightElement,WrongElement)+$Y63*NoElement)+
$X63*(N77*OnField+(1-N77)*OffField)*IF(N$36=$U63,RightElement,WrongElement))</f>
        <v>5.2</v>
      </c>
      <c r="O53" s="134"/>
      <c r="P53" s="23"/>
      <c r="Q53" s="19"/>
      <c r="R53" s="21"/>
      <c r="AO53" s="4"/>
      <c r="AP53" s="4"/>
      <c r="AQ53" s="4"/>
      <c r="AR53" s="4"/>
      <c r="AS53" s="4"/>
    </row>
    <row r="54" spans="1:45" ht="14.25" customHeight="1" x14ac:dyDescent="0.25">
      <c r="A54" s="13"/>
      <c r="B54" s="25" t="str">
        <f>CONCATENATE("Energy from ", $N$7)</f>
        <v>Energy from Kazuha</v>
      </c>
      <c r="C54" s="25"/>
      <c r="D54" s="25"/>
      <c r="E54" s="143">
        <f>E$74*(IF($AA64=E$7,$AB64*OnField+(1-$AB64)*OffField,IF($S64=E$7,(1-$AB64)*OnField+$AB64*OffField, OffField))*($W64*IF(E$36=$U64,RightElement,WrongElement)+$Y64*NoElement)+
$X64*(E78*OnField+(1-E78)*OffField)*IF(E$36=$U64,RightElement,WrongElement))</f>
        <v>4.2</v>
      </c>
      <c r="F54" s="134"/>
      <c r="G54" s="13"/>
      <c r="H54" s="143">
        <f>H$74*(IF($AA64=H$7,$AB64*OnField+(1-$AB64)*OffField,IF($S64=H$7,(1-$AB64)*OnField+$AB64*OffField, OffField))*($W64*IF(H$36=$U64,RightElement,WrongElement)+$Y64*NoElement)+
$X64*(H78*OnField+(1-H78)*OffField)*IF(H$36=$U64,RightElement,WrongElement))</f>
        <v>20.999999999999996</v>
      </c>
      <c r="I54" s="134"/>
      <c r="J54" s="13"/>
      <c r="K54" s="143">
        <f>K$74*(IF($AA64=K$7,$AB64*OnField+(1-$AB64)*OffField,IF($S64=K$7,(1-$AB64)*OnField+$AB64*OffField, OffField))*($W64*IF(K$36=$U64,RightElement,WrongElement)+$Y64*NoElement)+
$X64*(K78*OnField+(1-K78)*OffField)*IF(K$36=$U64,RightElement,WrongElement))</f>
        <v>4.2</v>
      </c>
      <c r="L54" s="134"/>
      <c r="M54" s="13"/>
      <c r="N54" s="143">
        <f>N$74*(IF($AA64=N$7,$AB64*OnField+(1-$AB64)*OffField,IF($S64=N$7,(1-$AB64)*OnField+$AB64*OffField, OffField))*($W64*IF(N$36=$U64,RightElement,WrongElement)+$Y64*NoElement)+
$X64*(N78*OnField+(1-N78)*OffField)*IF(N$36=$U64,RightElement,WrongElement))</f>
        <v>12.599999999999998</v>
      </c>
      <c r="O54" s="134"/>
      <c r="P54" s="23"/>
      <c r="Q54" s="19"/>
      <c r="R54" s="21"/>
      <c r="AO54" s="4"/>
      <c r="AP54" s="4"/>
      <c r="AQ54" s="4"/>
      <c r="AR54" s="4"/>
      <c r="AS54" s="4"/>
    </row>
    <row r="55" spans="1:45" ht="14.25" customHeight="1" x14ac:dyDescent="0.25">
      <c r="A55" s="13"/>
      <c r="B55" s="25" t="s">
        <v>59</v>
      </c>
      <c r="C55" s="25"/>
      <c r="D55" s="25"/>
      <c r="E55" s="143">
        <f t="array" ref="E55">E$74 * INDEX('Enemy Particles'!$K$3:$R$11, MATCH('Energy Recharge Calculator'!$C$3,'Enemy Particles'!$A$3:$A$11,0),MATCH('Energy Recharge Calculator'!E$36,'Enemy Particles'!$K$2:$R$2,0)) * (0.6+0.4*E$30) / $C$2</f>
        <v>3.2</v>
      </c>
      <c r="F55" s="134"/>
      <c r="G55" s="13"/>
      <c r="H55" s="143">
        <f t="array" ref="H55">H$74 * INDEX('Enemy Particles'!$K$3:$R$11, MATCH('Energy Recharge Calculator'!$C$3,'Enemy Particles'!$A$3:$A$11,0),MATCH('Energy Recharge Calculator'!H$36,'Enemy Particles'!$K$2:$R$2,0)) * (0.6+0.4*H$30) / $C$2</f>
        <v>2.7199999999999998</v>
      </c>
      <c r="I55" s="134"/>
      <c r="J55" s="13"/>
      <c r="K55" s="143">
        <f t="array" ref="K55">K$74 * INDEX('Enemy Particles'!$K$3:$R$11, MATCH('Energy Recharge Calculator'!$C$3,'Enemy Particles'!$A$3:$A$11,0),MATCH('Energy Recharge Calculator'!K$36,'Enemy Particles'!$K$2:$R$2,0)) * (0.6+0.4*K$30) / $C$2</f>
        <v>2.7199999999999998</v>
      </c>
      <c r="L55" s="134"/>
      <c r="M55" s="13"/>
      <c r="N55" s="143">
        <f t="array" ref="N55">N$74 * INDEX('Enemy Particles'!$K$3:$R$11, MATCH('Energy Recharge Calculator'!$C$3,'Enemy Particles'!$A$3:$A$11,0),MATCH('Energy Recharge Calculator'!N$36,'Enemy Particles'!$K$2:$R$2,0)) * (0.6+0.4*N$30) / $C$2</f>
        <v>2.56</v>
      </c>
      <c r="O55" s="134"/>
      <c r="P55" s="23"/>
      <c r="Q55" s="19"/>
      <c r="R55" s="21"/>
      <c r="AO55" s="4"/>
      <c r="AP55" s="4"/>
      <c r="AQ55" s="4"/>
      <c r="AR55" s="4"/>
      <c r="AS55" s="4"/>
    </row>
    <row r="56" spans="1:45" ht="14.25" customHeight="1" x14ac:dyDescent="0.25">
      <c r="A56" s="13"/>
      <c r="B56" s="148" t="s">
        <v>60</v>
      </c>
      <c r="C56" s="134"/>
      <c r="D56" s="26"/>
      <c r="E56" s="143">
        <f>E$74 * IF(AND(COUNTIF($E$36:$N$36, "Electro") &gt;= 2, OR(COUNTIF($E$36:$N$36, "Pyro") &gt;= 1, COUNTIF($E$36:$N$36, "Hydro") &gt;= 1, COUNTIF($E$36:$N$36, "Cryo") &gt;= 1, COUNTIF($E$36:$N$36, "Dendro") &gt;= 1)),(1/$N$2) * ( 0.6+0.4*E$30) * IF("Electro"=E$36, OnFieldRight, OnFieldWrong), 0) +
IF(E7="Dori", 5*(F12+F13), 0)</f>
        <v>0</v>
      </c>
      <c r="F56" s="134"/>
      <c r="G56" s="13"/>
      <c r="H56" s="143">
        <f>H$74 * IF(AND(COUNTIF($E$36:$N$36, "Electro") &gt;= 2, OR(COUNTIF($E$36:$N$36, "Pyro") &gt;= 1, COUNTIF($E$36:$N$36, "Hydro") &gt;= 1, COUNTIF($E$36:$N$36, "Cryo") &gt;= 1, COUNTIF($E$36:$N$36, "Dendro") &gt;= 1)),(1/$N$2) * ( 0.6+0.4*H$30) * IF("Electro"=H$36, OnFieldRight, OnFieldWrong), 0) +
IF(H7="Dori", 5*(I12+I13), 0)</f>
        <v>0</v>
      </c>
      <c r="I56" s="134"/>
      <c r="J56" s="13"/>
      <c r="K56" s="143">
        <f>K$74 * IF(AND(COUNTIF($E$36:$N$36, "Electro") &gt;= 2, OR(COUNTIF($E$36:$N$36, "Pyro") &gt;= 1, COUNTIF($E$36:$N$36, "Hydro") &gt;= 1, COUNTIF($E$36:$N$36, "Cryo") &gt;= 1, COUNTIF($E$36:$N$36, "Dendro") &gt;= 1)),(1/$N$2) * ( 0.6+0.4*K$30) * IF("Electro"=K$36, OnFieldRight, OnFieldWrong), 0) +
IF(K7="Dori", 5*(L12+L13), 0)</f>
        <v>0</v>
      </c>
      <c r="L56" s="134"/>
      <c r="M56" s="13"/>
      <c r="N56" s="143">
        <f>N$74 * IF(AND(COUNTIF($E$36:$N$36, "Electro") &gt;= 2, OR(COUNTIF($E$36:$N$36, "Pyro") &gt;= 1, COUNTIF($E$36:$N$36, "Hydro") &gt;= 1, COUNTIF($E$36:$N$36, "Cryo") &gt;= 1, COUNTIF($E$36:$N$36, "Dendro") &gt;= 1)),(1/$N$2) * ( 0.6+0.4*N$30) * IF("Electro"=N$36, OnFieldRight, OnFieldWrong), 0) +
IF(N7="Dori", 5*(O12+O13), 0)</f>
        <v>0</v>
      </c>
      <c r="O56" s="134"/>
      <c r="P56" s="23"/>
      <c r="Q56" s="19"/>
      <c r="R56" s="21"/>
      <c r="AO56" s="4"/>
      <c r="AP56" s="4"/>
      <c r="AQ56" s="4"/>
      <c r="AR56" s="4"/>
      <c r="AS56" s="4"/>
    </row>
    <row r="57" spans="1:45" ht="14.25" customHeight="1" x14ac:dyDescent="0.25">
      <c r="A57" s="13"/>
      <c r="B57" s="149" t="s">
        <v>61</v>
      </c>
      <c r="C57" s="134"/>
      <c r="D57" s="27"/>
      <c r="E57" s="150">
        <f>SUM(E51:E56)</f>
        <v>31.371200000000002</v>
      </c>
      <c r="F57" s="134"/>
      <c r="G57" s="13"/>
      <c r="H57" s="150">
        <f>SUM(H51:H56)</f>
        <v>46.47184</v>
      </c>
      <c r="I57" s="134"/>
      <c r="J57" s="13"/>
      <c r="K57" s="150">
        <f>SUM(K51:K56)</f>
        <v>30.775519999999997</v>
      </c>
      <c r="L57" s="134"/>
      <c r="M57" s="13"/>
      <c r="N57" s="150">
        <f>SUM(N51:N56)</f>
        <v>34.032319999999999</v>
      </c>
      <c r="O57" s="134"/>
      <c r="P57" s="23"/>
      <c r="Q57" s="19"/>
      <c r="R57" s="21"/>
      <c r="AO57" s="4"/>
      <c r="AP57" s="4"/>
      <c r="AQ57" s="4"/>
      <c r="AR57" s="4"/>
      <c r="AS57" s="4"/>
    </row>
    <row r="58" spans="1:45" ht="14.25" customHeight="1" x14ac:dyDescent="0.25">
      <c r="A58" s="13"/>
      <c r="B58" s="27"/>
      <c r="C58" s="27"/>
      <c r="D58" s="27"/>
      <c r="E58" s="28"/>
      <c r="F58" s="28"/>
      <c r="G58" s="13"/>
      <c r="H58" s="28"/>
      <c r="I58" s="28"/>
      <c r="J58" s="13"/>
      <c r="K58" s="28"/>
      <c r="L58" s="28"/>
      <c r="M58" s="13"/>
      <c r="N58" s="28"/>
      <c r="O58" s="28"/>
      <c r="P58" s="23"/>
      <c r="Q58" s="19"/>
      <c r="R58" s="21"/>
      <c r="AO58" s="4"/>
      <c r="AP58" s="4"/>
      <c r="AQ58" s="4"/>
      <c r="AR58" s="4"/>
      <c r="AS58" s="4"/>
    </row>
    <row r="59" spans="1:45" ht="14.25" customHeight="1" x14ac:dyDescent="0.25">
      <c r="A59" s="1"/>
      <c r="B59" s="7" t="s">
        <v>65</v>
      </c>
      <c r="C59" s="18"/>
      <c r="D59" s="18"/>
      <c r="E59" s="29">
        <f>IF(AND(OR(E7="Fischl",E7="Fischl (C6)"),F12+F13&gt;=1,E74&lt;25),31,
IF(AND(E7="Mona",OR(ISBLANK(E14),E14="Mona"),F12+F13&gt;0),14,
IF(AND(E7="Jean",E29=16),29,
IF(AND(E7="Tartaglia",E29&lt;20),29,
IF(AND(E7="Traveler (Geo)",ISBLANK(E29)),29,
IF(AND(E7="Venti",E29=15),29,
IF(AND(E7="Traveler (Dendro)",OR(E29=3.5,E29=7,E29=10.5)),29,
0)))))))</f>
        <v>0</v>
      </c>
      <c r="F59" s="29">
        <f>IF(AND(E7="Diluc",F12=3),12,
IF(AND(E7="Kokomi",F12=2),12,
IF(AND(E7="Tartaglia",F12&gt;=3),12,
IF(AND(E7="Yae Miko",F12=3),12,
0))))</f>
        <v>0</v>
      </c>
      <c r="G59" s="1"/>
      <c r="H59" s="29">
        <f>IF(AND(OR(H7="Fischl",H7="Fischl (C6)"),I12+I13&gt;=1,H74&lt;25),31,
IF(AND(H7="Mona",OR(ISBLANK(H14),H14="Mona"),I12+I13&gt;0),14,
IF(AND(H7="Jean",H29=16),29,
IF(AND(H7="Tartaglia",H29&lt;20),29,
IF(AND(H7="Traveler (Geo)",ISBLANK(H29)),29,
IF(AND(H7="Venti",H29=15),29,
IF(AND(H7="Traveler (Dendro)",OR(H29=3.5,H29=7,H29=10.5)),29,
0)))))))</f>
        <v>0</v>
      </c>
      <c r="I59" s="29">
        <f>IF(AND(H7="Diluc",I12=3),12,
IF(AND(H7="Kokomi",I12=2),12,
IF(AND(H7="Tartaglia",I12&gt;=3),12,
IF(AND(H7="Yae Miko",I12=3),12,
0))))</f>
        <v>0</v>
      </c>
      <c r="J59" s="1"/>
      <c r="K59" s="29">
        <f>IF(AND(OR(K7="Fischl",K7="Fischl (C6)"),L12+L13&gt;=1,K74&lt;25),31,
IF(AND(K7="Mona",OR(ISBLANK(K14),K14="Mona"),L12+L13&gt;0),14,
IF(AND(K7="Jean",K29=16),29,
IF(AND(K7="Tartaglia",K29&lt;20),29,
IF(AND(K7="Traveler (Geo)",ISBLANK(K29)),29,
IF(AND(K7="Venti",K29=15),29,
IF(AND(K7="Traveler (Dendro)",OR(K29=3.5,K29=7,K29=10.5)),29,
0)))))))</f>
        <v>0</v>
      </c>
      <c r="L59" s="29">
        <f>IF(AND(K7="Diluc",L12=3),12,
IF(AND(K7="Kokomi",L12=2),12,
IF(AND(K7="Tartaglia",L12&gt;=3),12,
IF(AND(K7="Yae Miko",L12=3),12,
0))))</f>
        <v>0</v>
      </c>
      <c r="M59" s="1"/>
      <c r="N59" s="29">
        <f>IF(AND(OR(N7="Fischl",N7="Fischl (C6)"),O12+O13&gt;=1,N74&lt;25),31,
IF(AND(N7="Mona",OR(ISBLANK(N14),N14="Mona"),O12+O13&gt;0),14,
IF(AND(N7="Jean",N29=16),29,
IF(AND(N7="Tartaglia",N29&lt;20),29,
IF(AND(N7="Traveler (Geo)",ISBLANK(N29)),29,
IF(AND(N7="Venti",N29=15),29,
IF(AND(N7="Traveler (Dendro)",OR(N29=3.5,N29=7,N29=10.5)),29,
0)))))))</f>
        <v>0</v>
      </c>
      <c r="O59" s="29">
        <f>IF(AND(N7="Diluc",O12=3),12,
IF(AND(N7="Kokomi",O12=2),12,
IF(AND(N7="Tartaglia",O12&gt;=3),12,
IF(AND(N7="Yae Miko",O12=3),12,
0))))</f>
        <v>0</v>
      </c>
      <c r="P59" s="4"/>
      <c r="Q59" s="21"/>
      <c r="R59" s="21"/>
      <c r="S59" s="4" t="s">
        <v>66</v>
      </c>
      <c r="T59" s="4" t="s">
        <v>67</v>
      </c>
      <c r="U59" s="4" t="s">
        <v>53</v>
      </c>
      <c r="V59" s="4" t="s">
        <v>68</v>
      </c>
      <c r="W59" s="23" t="s">
        <v>69</v>
      </c>
      <c r="X59" s="23" t="s">
        <v>70</v>
      </c>
      <c r="Y59" s="23" t="s">
        <v>71</v>
      </c>
      <c r="Z59" s="4" t="s">
        <v>72</v>
      </c>
      <c r="AA59" s="30" t="s">
        <v>73</v>
      </c>
      <c r="AB59" s="31" t="s">
        <v>74</v>
      </c>
      <c r="AC59" s="151" t="s">
        <v>75</v>
      </c>
      <c r="AD59" s="152"/>
      <c r="AE59" s="152"/>
      <c r="AF59" s="134"/>
      <c r="AG59" s="151" t="s">
        <v>76</v>
      </c>
      <c r="AH59" s="152"/>
      <c r="AI59" s="152"/>
      <c r="AJ59" s="134"/>
      <c r="AK59" s="151" t="s">
        <v>77</v>
      </c>
      <c r="AL59" s="152"/>
      <c r="AM59" s="152"/>
      <c r="AN59" s="134"/>
      <c r="AO59" s="4"/>
      <c r="AP59" s="4"/>
      <c r="AQ59" s="4"/>
      <c r="AR59" s="4"/>
      <c r="AS59" s="4"/>
    </row>
    <row r="60" spans="1:45" ht="14.25" customHeight="1" x14ac:dyDescent="0.25">
      <c r="A60" s="1"/>
      <c r="B60" s="133" t="s">
        <v>78</v>
      </c>
      <c r="C60" s="134"/>
      <c r="D60" s="7"/>
      <c r="E60" s="4">
        <f>MATCH(E$7, Data!$A$2:$A$106,0)</f>
        <v>17</v>
      </c>
      <c r="F60" s="4"/>
      <c r="G60" s="1"/>
      <c r="H60" s="4">
        <f>MATCH(H$7, Data!$A$2:$A$106,0)</f>
        <v>93</v>
      </c>
      <c r="I60" s="4"/>
      <c r="J60" s="1"/>
      <c r="K60" s="4">
        <f>MATCH(K$7, Data!$A$2:$A$106,0)</f>
        <v>104</v>
      </c>
      <c r="L60" s="4"/>
      <c r="M60" s="1"/>
      <c r="N60" s="4">
        <f>MATCH(N$7, Data!$A$2:$A$106,0)</f>
        <v>44</v>
      </c>
      <c r="O60" s="4"/>
      <c r="P60" s="1"/>
      <c r="Q60" s="21"/>
      <c r="R60" s="19" t="s">
        <v>79</v>
      </c>
      <c r="S60" s="4"/>
      <c r="T60" s="4"/>
      <c r="U60" s="4"/>
      <c r="V60" s="4"/>
      <c r="W60" s="23"/>
      <c r="X60" s="23"/>
      <c r="Y60" s="23"/>
      <c r="Z60" s="4"/>
      <c r="AA60" s="30"/>
      <c r="AB60" s="31"/>
      <c r="AC60" s="4" t="str">
        <f>$E$7</f>
        <v>Chiori</v>
      </c>
      <c r="AD60" s="4" t="str">
        <f>$H$7</f>
        <v>Xiao</v>
      </c>
      <c r="AE60" s="4" t="str">
        <f>$K$7</f>
        <v>Zhongli</v>
      </c>
      <c r="AF60" s="4" t="str">
        <f>$N$7</f>
        <v>Kazuha</v>
      </c>
      <c r="AG60" s="4" t="str">
        <f>$E$7</f>
        <v>Chiori</v>
      </c>
      <c r="AH60" s="4" t="str">
        <f>$H$7</f>
        <v>Xiao</v>
      </c>
      <c r="AI60" s="4" t="str">
        <f>$K$7</f>
        <v>Zhongli</v>
      </c>
      <c r="AJ60" s="4" t="str">
        <f>$N$7</f>
        <v>Kazuha</v>
      </c>
      <c r="AK60" s="4" t="str">
        <f>$E$7</f>
        <v>Chiori</v>
      </c>
      <c r="AL60" s="4" t="str">
        <f>$H$7</f>
        <v>Xiao</v>
      </c>
      <c r="AM60" s="4" t="str">
        <f>$K$7</f>
        <v>Zhongli</v>
      </c>
      <c r="AN60" s="4" t="str">
        <f>$N$7</f>
        <v>Kazuha</v>
      </c>
      <c r="AO60" s="4"/>
      <c r="AP60" s="4"/>
      <c r="AQ60" s="4"/>
      <c r="AR60" s="4"/>
      <c r="AS60" s="4"/>
    </row>
    <row r="61" spans="1:45" ht="14.25" customHeight="1" x14ac:dyDescent="0.25">
      <c r="A61" s="1"/>
      <c r="B61" s="7" t="s">
        <v>80</v>
      </c>
      <c r="C61" s="7"/>
      <c r="D61" s="7"/>
      <c r="E61" s="4">
        <f t="shared" ref="E61:E62" si="12">IFERROR(IF(E12="",1,MATCH(E12,E$109:E$111,0)),1)</f>
        <v>1</v>
      </c>
      <c r="F61" s="4"/>
      <c r="G61" s="1"/>
      <c r="H61" s="4">
        <f t="shared" ref="H61:H62" si="13">IFERROR(IF(H12="",1,MATCH(H12,H$109:H$111,0)),1)</f>
        <v>1</v>
      </c>
      <c r="I61" s="4"/>
      <c r="J61" s="1"/>
      <c r="K61" s="4">
        <f t="shared" ref="K61:K62" si="14">IFERROR(IF(K12="",1,MATCH(K12,K$109:K$111,0)),1)</f>
        <v>2</v>
      </c>
      <c r="L61" s="4"/>
      <c r="M61" s="1"/>
      <c r="N61" s="4">
        <f t="shared" ref="N61:N62" si="15">IFERROR(IF(N12="",1,MATCH(N12,N$109:N$111,0)),1)</f>
        <v>2</v>
      </c>
      <c r="O61" s="4"/>
      <c r="P61" s="1"/>
      <c r="Q61" s="21"/>
      <c r="R61" s="21"/>
      <c r="S61" s="4" t="str">
        <f>E7</f>
        <v>Chiori</v>
      </c>
      <c r="T61" s="4" t="s">
        <v>81</v>
      </c>
      <c r="U61" s="4" t="str">
        <f>E36</f>
        <v>Geo</v>
      </c>
      <c r="V61" s="32">
        <f>E81</f>
        <v>0.22440000000000004</v>
      </c>
      <c r="W61" s="28">
        <f>E48</f>
        <v>0</v>
      </c>
      <c r="X61" s="28">
        <f>E49</f>
        <v>0.22440000000000007</v>
      </c>
      <c r="Y61" s="28">
        <f>E50</f>
        <v>0</v>
      </c>
      <c r="Z61" s="32" t="b">
        <f>E79</f>
        <v>1</v>
      </c>
      <c r="AA61" s="30" t="str">
        <f>IF(ISBLANK(E$14),S61,E$14)</f>
        <v>Chiori</v>
      </c>
      <c r="AB61" s="33">
        <f>E112</f>
        <v>1</v>
      </c>
      <c r="AC61" s="34">
        <f t="array" ref="AC61:AN61">TRANSPOSE($E$15:$E$26)</f>
        <v>0</v>
      </c>
      <c r="AD61" s="34">
        <v>0</v>
      </c>
      <c r="AE61" s="34">
        <v>0</v>
      </c>
      <c r="AF61" s="34">
        <v>0</v>
      </c>
      <c r="AG61" s="34">
        <v>0</v>
      </c>
      <c r="AH61" s="34">
        <v>0</v>
      </c>
      <c r="AI61" s="34">
        <v>0</v>
      </c>
      <c r="AJ61" s="34">
        <v>0</v>
      </c>
      <c r="AK61" s="34">
        <v>0</v>
      </c>
      <c r="AL61" s="34">
        <v>0</v>
      </c>
      <c r="AM61" s="34">
        <v>0</v>
      </c>
      <c r="AN61" s="34">
        <v>0</v>
      </c>
      <c r="AO61" s="4"/>
      <c r="AP61" s="4"/>
      <c r="AQ61" s="4"/>
      <c r="AR61" s="4"/>
      <c r="AS61" s="4"/>
    </row>
    <row r="62" spans="1:45" ht="14.25" customHeight="1" x14ac:dyDescent="0.25">
      <c r="A62" s="1"/>
      <c r="B62" s="7" t="s">
        <v>82</v>
      </c>
      <c r="C62" s="7"/>
      <c r="D62" s="7"/>
      <c r="E62" s="4">
        <f t="shared" si="12"/>
        <v>2</v>
      </c>
      <c r="F62" s="4"/>
      <c r="G62" s="1"/>
      <c r="H62" s="4">
        <f t="shared" si="13"/>
        <v>1</v>
      </c>
      <c r="I62" s="4"/>
      <c r="J62" s="1"/>
      <c r="K62" s="4">
        <f t="shared" si="14"/>
        <v>1</v>
      </c>
      <c r="L62" s="4"/>
      <c r="M62" s="1"/>
      <c r="N62" s="4">
        <f t="shared" si="15"/>
        <v>1</v>
      </c>
      <c r="O62" s="4"/>
      <c r="P62" s="1"/>
      <c r="Q62" s="21"/>
      <c r="R62" s="21"/>
      <c r="S62" s="4" t="str">
        <f>H7</f>
        <v>Xiao</v>
      </c>
      <c r="T62" s="4" t="s">
        <v>81</v>
      </c>
      <c r="U62" s="4" t="str">
        <f>H36</f>
        <v>Anemo</v>
      </c>
      <c r="V62" s="32">
        <f>H81</f>
        <v>0.3</v>
      </c>
      <c r="W62" s="28">
        <f>H48</f>
        <v>0.3</v>
      </c>
      <c r="X62" s="28">
        <f>H49</f>
        <v>0</v>
      </c>
      <c r="Y62" s="28">
        <f>H50</f>
        <v>0</v>
      </c>
      <c r="Z62" s="32" t="b">
        <f>H79</f>
        <v>0</v>
      </c>
      <c r="AA62" s="30" t="str">
        <f>IF(ISBLANK(H$14),S62,H$14)</f>
        <v>Xiao</v>
      </c>
      <c r="AB62" s="33">
        <f>H112</f>
        <v>0.5</v>
      </c>
      <c r="AC62" s="34">
        <f t="array" ref="AC62:AN62">TRANSPOSE($H$15:$H$26)</f>
        <v>0</v>
      </c>
      <c r="AD62" s="34">
        <v>0</v>
      </c>
      <c r="AE62" s="34">
        <v>0</v>
      </c>
      <c r="AF62" s="34">
        <v>0</v>
      </c>
      <c r="AG62" s="34">
        <v>0</v>
      </c>
      <c r="AH62" s="34">
        <v>0</v>
      </c>
      <c r="AI62" s="34">
        <v>0</v>
      </c>
      <c r="AJ62" s="34">
        <v>0</v>
      </c>
      <c r="AK62" s="34">
        <v>0</v>
      </c>
      <c r="AL62" s="34">
        <v>0</v>
      </c>
      <c r="AM62" s="34">
        <v>0</v>
      </c>
      <c r="AN62" s="34">
        <v>0</v>
      </c>
      <c r="AO62" s="4"/>
      <c r="AP62" s="4"/>
      <c r="AQ62" s="4"/>
      <c r="AR62" s="4"/>
      <c r="AS62" s="4"/>
    </row>
    <row r="63" spans="1:45" ht="14.25" customHeight="1" x14ac:dyDescent="0.25">
      <c r="A63" s="1"/>
      <c r="B63" s="147" t="s">
        <v>83</v>
      </c>
      <c r="C63" s="134"/>
      <c r="D63" s="1"/>
      <c r="E63" s="35">
        <f t="array" ref="E63">INDEX(Data!$F$2:$H$106,E$60,E$61) * (1-E$65) * F$12 +
INDEX(Data!$F$2:$H$106,E$60,E$62) * (1-E$66) * F$13</f>
        <v>0</v>
      </c>
      <c r="F63" s="1"/>
      <c r="G63" s="1"/>
      <c r="H63" s="35">
        <f t="array" ref="H63">INDEX(Data!$F$2:$H$106,H$60,H$61) * (1-H$65) * I$12 +
INDEX(Data!$F$2:$H$106,H$60,H$62) * (1-H$66) * I$13</f>
        <v>6</v>
      </c>
      <c r="I63" s="1"/>
      <c r="J63" s="1"/>
      <c r="K63" s="35">
        <f t="array" ref="K63">INDEX(Data!$F$2:$H$106,K$60,K$61) * (1-K$65) * L$12 +
INDEX(Data!$F$2:$H$106,K$60,K$62) * (1-K$66) * L$13</f>
        <v>0</v>
      </c>
      <c r="L63" s="1"/>
      <c r="M63" s="1"/>
      <c r="N63" s="35">
        <f t="array" ref="N63">INDEX(Data!$F$2:$H$106,N$60,N$61) * (1-N$65) * O$12 +
INDEX(Data!$F$2:$H$106,N$60,N$62) * (1-N$66) * O$13</f>
        <v>7</v>
      </c>
      <c r="O63" s="1"/>
      <c r="P63" s="1"/>
      <c r="Q63" s="19"/>
      <c r="R63" s="21"/>
      <c r="S63" s="36" t="str">
        <f>K7</f>
        <v>Zhongli</v>
      </c>
      <c r="T63" s="36" t="s">
        <v>81</v>
      </c>
      <c r="U63" s="36" t="str">
        <f>K36</f>
        <v>Geo</v>
      </c>
      <c r="V63" s="37">
        <f>K81</f>
        <v>0.125</v>
      </c>
      <c r="W63" s="38">
        <f>K48</f>
        <v>0</v>
      </c>
      <c r="X63" s="38">
        <f>K49</f>
        <v>0.125</v>
      </c>
      <c r="Y63" s="38">
        <f>K50</f>
        <v>0.15</v>
      </c>
      <c r="Z63" s="39" t="b">
        <f>K79</f>
        <v>1</v>
      </c>
      <c r="AA63" s="40" t="str">
        <f>IF(ISBLANK(K$14),S63,K$14)</f>
        <v>Zhongli</v>
      </c>
      <c r="AB63" s="41">
        <f>K112</f>
        <v>1</v>
      </c>
      <c r="AC63" s="42">
        <f t="array" ref="AC63:AN63">TRANSPOSE($K$15:$K$26)</f>
        <v>0</v>
      </c>
      <c r="AD63" s="42">
        <v>0</v>
      </c>
      <c r="AE63" s="42">
        <v>0</v>
      </c>
      <c r="AF63" s="42">
        <v>0</v>
      </c>
      <c r="AG63" s="42">
        <v>0</v>
      </c>
      <c r="AH63" s="42">
        <v>0</v>
      </c>
      <c r="AI63" s="42">
        <v>0</v>
      </c>
      <c r="AJ63" s="42">
        <v>0</v>
      </c>
      <c r="AK63" s="42">
        <v>0</v>
      </c>
      <c r="AL63" s="42">
        <v>0</v>
      </c>
      <c r="AM63" s="42">
        <v>0</v>
      </c>
      <c r="AN63" s="42">
        <v>0</v>
      </c>
      <c r="AO63" s="1"/>
      <c r="AP63" s="1"/>
      <c r="AQ63" s="1"/>
      <c r="AR63" s="1"/>
      <c r="AS63" s="1"/>
    </row>
    <row r="64" spans="1:45" ht="14.25" customHeight="1" x14ac:dyDescent="0.25">
      <c r="A64" s="1"/>
      <c r="B64" s="147" t="s">
        <v>84</v>
      </c>
      <c r="C64" s="134"/>
      <c r="D64" s="1"/>
      <c r="E64" s="37">
        <f t="array" ref="E64">IF(E12&lt;&gt;"",INDEX(Data!$O$2:$Q$106, E$60, E$61),0) +
IF(E13&lt;&gt;"",INDEX(Data!$O$2:$Q$106, E$60, E$62),0)</f>
        <v>0.66</v>
      </c>
      <c r="F64" s="1"/>
      <c r="G64" s="1"/>
      <c r="H64" s="37">
        <f t="array" ref="H64">IF(H12&lt;&gt;"",INDEX(Data!$O$2:$Q$106, H$60, H$61),0) +
IF(H13&lt;&gt;"",INDEX(Data!$O$2:$Q$106, H$60, H$62),0)</f>
        <v>0</v>
      </c>
      <c r="I64" s="1"/>
      <c r="J64" s="1"/>
      <c r="K64" s="37">
        <f t="array" ref="K64">IF(K12&lt;&gt;"",INDEX(Data!$O$2:$Q$106, K$60, K$61),0) +
IF(K13&lt;&gt;"",INDEX(Data!$O$2:$Q$106, K$60, K$62),0)</f>
        <v>0.25</v>
      </c>
      <c r="L64" s="1"/>
      <c r="M64" s="1"/>
      <c r="N64" s="37">
        <f t="array" ref="N64">IF(N12&lt;&gt;"",INDEX(Data!$O$2:$Q$106, N$60, N$61),0) +
IF(N13&lt;&gt;"",INDEX(Data!$O$2:$Q$106, N$60, N$62),0)</f>
        <v>0</v>
      </c>
      <c r="O64" s="1"/>
      <c r="P64" s="1"/>
      <c r="Q64" s="19"/>
      <c r="R64" s="19"/>
      <c r="S64" s="36" t="str">
        <f>N7</f>
        <v>Kazuha</v>
      </c>
      <c r="T64" s="36" t="s">
        <v>81</v>
      </c>
      <c r="U64" s="36" t="str">
        <f>N36</f>
        <v>Anemo</v>
      </c>
      <c r="V64" s="37">
        <f>N81</f>
        <v>0.2</v>
      </c>
      <c r="W64" s="38">
        <f>N48</f>
        <v>0.35</v>
      </c>
      <c r="X64" s="38">
        <f>N49</f>
        <v>0</v>
      </c>
      <c r="Y64" s="38">
        <f>N50</f>
        <v>0</v>
      </c>
      <c r="Z64" s="39" t="b">
        <f>N79</f>
        <v>0</v>
      </c>
      <c r="AA64" s="40" t="str">
        <f>IF(ISBLANK(N$14),S64,N$14)</f>
        <v>Xiao</v>
      </c>
      <c r="AB64" s="41">
        <f>N112</f>
        <v>1</v>
      </c>
      <c r="AC64" s="42">
        <f t="array" ref="AC64:AN64">TRANSPOSE($N$15:$N$26)</f>
        <v>0</v>
      </c>
      <c r="AD64" s="42">
        <v>0</v>
      </c>
      <c r="AE64" s="42">
        <v>0</v>
      </c>
      <c r="AF64" s="42">
        <v>0</v>
      </c>
      <c r="AG64" s="42">
        <v>0</v>
      </c>
      <c r="AH64" s="42">
        <v>0</v>
      </c>
      <c r="AI64" s="42">
        <v>0</v>
      </c>
      <c r="AJ64" s="42">
        <v>0</v>
      </c>
      <c r="AK64" s="42">
        <v>0</v>
      </c>
      <c r="AL64" s="42">
        <v>0</v>
      </c>
      <c r="AM64" s="42">
        <v>0</v>
      </c>
      <c r="AN64" s="42">
        <v>0</v>
      </c>
      <c r="AO64" s="1"/>
      <c r="AP64" s="1"/>
      <c r="AQ64" s="1"/>
      <c r="AR64" s="1"/>
      <c r="AS64" s="1"/>
    </row>
    <row r="65" spans="1:45" ht="14.25" customHeight="1" x14ac:dyDescent="0.25">
      <c r="A65" s="1"/>
      <c r="B65" s="43" t="s">
        <v>85</v>
      </c>
      <c r="C65" s="1"/>
      <c r="D65" s="1"/>
      <c r="E65" s="44">
        <f t="array" ref="E65">INDEX(Data!$L$2:$N$106,E$60,E61) * INDEX(VarianceMultipliers,MATCH($C$4,VarianceLabels,0))</f>
        <v>0.2</v>
      </c>
      <c r="F65" s="42"/>
      <c r="G65" s="1"/>
      <c r="H65" s="44">
        <f t="array" ref="H65">INDEX(Data!$L$2:$N$106,H$60,H61) * INDEX(VarianceMultipliers,MATCH($C$4,VarianceLabels,0))</f>
        <v>0</v>
      </c>
      <c r="I65" s="42"/>
      <c r="J65" s="1"/>
      <c r="K65" s="44">
        <f t="array" ref="K65">INDEX(Data!$L$2:$N$106,K$60,K61) * INDEX(VarianceMultipliers,MATCH($C$4,VarianceLabels,0))</f>
        <v>0.5</v>
      </c>
      <c r="L65" s="42"/>
      <c r="M65" s="1"/>
      <c r="N65" s="44">
        <f t="array" ref="N65">INDEX(Data!$L$2:$N$106,N$60,N61) * INDEX(VarianceMultipliers,MATCH($C$4,VarianceLabels,0))</f>
        <v>0</v>
      </c>
      <c r="O65" s="42"/>
      <c r="P65" s="1"/>
      <c r="Q65" s="19"/>
      <c r="R65" s="19">
        <f>NoElement</f>
        <v>2</v>
      </c>
      <c r="S65" s="36" t="str">
        <f t="shared" ref="S65:S72" si="16">S61</f>
        <v>Chiori</v>
      </c>
      <c r="T65" s="36" t="s">
        <v>86</v>
      </c>
      <c r="U65" s="36" t="str">
        <f t="shared" ref="U65:U68" si="17">U61</f>
        <v>Geo</v>
      </c>
      <c r="V65" s="37">
        <f>E82</f>
        <v>3.9600000000000003E-2</v>
      </c>
      <c r="W65" s="45"/>
      <c r="X65" s="45"/>
      <c r="Y65" s="45"/>
      <c r="Z65" s="39" t="b">
        <f>E80</f>
        <v>1</v>
      </c>
      <c r="AA65" s="40" t="str">
        <f t="shared" ref="AA65:AN65" si="18">AA61</f>
        <v>Chiori</v>
      </c>
      <c r="AB65" s="41">
        <f t="shared" si="18"/>
        <v>1</v>
      </c>
      <c r="AC65" s="42">
        <f t="shared" si="18"/>
        <v>0</v>
      </c>
      <c r="AD65" s="42">
        <f t="shared" si="18"/>
        <v>0</v>
      </c>
      <c r="AE65" s="42">
        <f t="shared" si="18"/>
        <v>0</v>
      </c>
      <c r="AF65" s="42">
        <f t="shared" si="18"/>
        <v>0</v>
      </c>
      <c r="AG65" s="42">
        <f t="shared" si="18"/>
        <v>0</v>
      </c>
      <c r="AH65" s="42">
        <f t="shared" si="18"/>
        <v>0</v>
      </c>
      <c r="AI65" s="42">
        <f t="shared" si="18"/>
        <v>0</v>
      </c>
      <c r="AJ65" s="42">
        <f t="shared" si="18"/>
        <v>0</v>
      </c>
      <c r="AK65" s="42">
        <f t="shared" si="18"/>
        <v>0</v>
      </c>
      <c r="AL65" s="42">
        <f t="shared" si="18"/>
        <v>0</v>
      </c>
      <c r="AM65" s="42">
        <f t="shared" si="18"/>
        <v>0</v>
      </c>
      <c r="AN65" s="42">
        <f t="shared" si="18"/>
        <v>0</v>
      </c>
      <c r="AO65" s="1"/>
      <c r="AP65" s="1"/>
      <c r="AQ65" s="1"/>
      <c r="AR65" s="1"/>
      <c r="AS65" s="1"/>
    </row>
    <row r="66" spans="1:45" ht="14.25" customHeight="1" x14ac:dyDescent="0.25">
      <c r="A66" s="1"/>
      <c r="B66" s="43" t="s">
        <v>87</v>
      </c>
      <c r="C66" s="1"/>
      <c r="D66" s="1"/>
      <c r="E66" s="44">
        <f t="array" ref="E66">INDEX(Data!$L$2:$N$106,E$60,E62) * INDEX(VarianceMultipliers,MATCH($C$4,VarianceLabels,0))</f>
        <v>0.2</v>
      </c>
      <c r="F66" s="42"/>
      <c r="G66" s="1"/>
      <c r="H66" s="44">
        <f t="array" ref="H66">INDEX(Data!$L$2:$N$106,H$60,H62) * INDEX(VarianceMultipliers,MATCH($C$4,VarianceLabels,0))</f>
        <v>0</v>
      </c>
      <c r="I66" s="42"/>
      <c r="J66" s="1"/>
      <c r="K66" s="44">
        <f t="array" ref="K66">INDEX(Data!$L$2:$N$106,K$60,K62) * INDEX(VarianceMultipliers,MATCH($C$4,VarianceLabels,0))</f>
        <v>0.5</v>
      </c>
      <c r="L66" s="42"/>
      <c r="M66" s="1"/>
      <c r="N66" s="44">
        <f t="array" ref="N66">INDEX(Data!$L$2:$N$106,N$60,N62) * INDEX(VarianceMultipliers,MATCH($C$4,VarianceLabels,0))</f>
        <v>0</v>
      </c>
      <c r="O66" s="42"/>
      <c r="P66" s="1"/>
      <c r="Q66" s="19"/>
      <c r="R66" s="19"/>
      <c r="S66" s="36" t="str">
        <f t="shared" si="16"/>
        <v>Xiao</v>
      </c>
      <c r="T66" s="36" t="s">
        <v>86</v>
      </c>
      <c r="U66" s="36" t="str">
        <f t="shared" si="17"/>
        <v>Anemo</v>
      </c>
      <c r="V66" s="37">
        <f>H82</f>
        <v>0</v>
      </c>
      <c r="W66" s="45"/>
      <c r="X66" s="45"/>
      <c r="Y66" s="45"/>
      <c r="Z66" s="39" t="b">
        <f>H80</f>
        <v>0</v>
      </c>
      <c r="AA66" s="40" t="str">
        <f t="shared" ref="AA66:AN66" si="19">AA62</f>
        <v>Xiao</v>
      </c>
      <c r="AB66" s="41">
        <f t="shared" si="19"/>
        <v>0.5</v>
      </c>
      <c r="AC66" s="42">
        <f t="shared" si="19"/>
        <v>0</v>
      </c>
      <c r="AD66" s="42">
        <f t="shared" si="19"/>
        <v>0</v>
      </c>
      <c r="AE66" s="42">
        <f t="shared" si="19"/>
        <v>0</v>
      </c>
      <c r="AF66" s="42">
        <f t="shared" si="19"/>
        <v>0</v>
      </c>
      <c r="AG66" s="42">
        <f t="shared" si="19"/>
        <v>0</v>
      </c>
      <c r="AH66" s="42">
        <f t="shared" si="19"/>
        <v>0</v>
      </c>
      <c r="AI66" s="42">
        <f t="shared" si="19"/>
        <v>0</v>
      </c>
      <c r="AJ66" s="42">
        <f t="shared" si="19"/>
        <v>0</v>
      </c>
      <c r="AK66" s="42">
        <f t="shared" si="19"/>
        <v>0</v>
      </c>
      <c r="AL66" s="42">
        <f t="shared" si="19"/>
        <v>0</v>
      </c>
      <c r="AM66" s="42">
        <f t="shared" si="19"/>
        <v>0</v>
      </c>
      <c r="AN66" s="42">
        <f t="shared" si="19"/>
        <v>0</v>
      </c>
      <c r="AO66" s="1"/>
      <c r="AP66" s="1"/>
      <c r="AQ66" s="1"/>
      <c r="AR66" s="1"/>
      <c r="AS66" s="1"/>
    </row>
    <row r="67" spans="1:45" ht="14.25" customHeight="1" x14ac:dyDescent="0.25">
      <c r="A67" s="1"/>
      <c r="B67" s="43" t="s">
        <v>88</v>
      </c>
      <c r="C67" s="1"/>
      <c r="D67" s="1"/>
      <c r="E67" s="35">
        <f>E$73 * F12 + IF(OR(E$7="Fischl",AND(E$7="Kokomi",E12="Refresh")),1,0)</f>
        <v>1</v>
      </c>
      <c r="F67" s="1"/>
      <c r="G67" s="1"/>
      <c r="H67" s="35">
        <f>H$73 * I12 + IF(OR(H$7="Fischl",AND(H$7="Kokomi",H12="Refresh")),1,0)</f>
        <v>2</v>
      </c>
      <c r="I67" s="1"/>
      <c r="J67" s="1"/>
      <c r="K67" s="35">
        <f>K$73 * L12 + IF(OR(K$7="Fischl",AND(K$7="Kokomi",K12="Refresh")),1,0)</f>
        <v>1</v>
      </c>
      <c r="L67" s="1"/>
      <c r="M67" s="1"/>
      <c r="N67" s="35">
        <f>N$73 * O12 + IF(OR(N$7="Fischl",AND(N$7="Kokomi",N12="Refresh")),1,0)</f>
        <v>1</v>
      </c>
      <c r="O67" s="42"/>
      <c r="P67" s="1"/>
      <c r="Q67" s="19"/>
      <c r="R67" s="19"/>
      <c r="S67" s="36" t="str">
        <f t="shared" si="16"/>
        <v>Zhongli</v>
      </c>
      <c r="T67" s="36" t="s">
        <v>86</v>
      </c>
      <c r="U67" s="36" t="str">
        <f t="shared" si="17"/>
        <v>Geo</v>
      </c>
      <c r="V67" s="37">
        <f>K82</f>
        <v>0</v>
      </c>
      <c r="W67" s="45"/>
      <c r="X67" s="45"/>
      <c r="Y67" s="45"/>
      <c r="Z67" s="39" t="b">
        <f>K80</f>
        <v>0</v>
      </c>
      <c r="AA67" s="40" t="str">
        <f t="shared" ref="AA67:AN67" si="20">AA63</f>
        <v>Zhongli</v>
      </c>
      <c r="AB67" s="41">
        <f t="shared" si="20"/>
        <v>1</v>
      </c>
      <c r="AC67" s="42">
        <f t="shared" si="20"/>
        <v>0</v>
      </c>
      <c r="AD67" s="42">
        <f t="shared" si="20"/>
        <v>0</v>
      </c>
      <c r="AE67" s="42">
        <f t="shared" si="20"/>
        <v>0</v>
      </c>
      <c r="AF67" s="42">
        <f t="shared" si="20"/>
        <v>0</v>
      </c>
      <c r="AG67" s="42">
        <f t="shared" si="20"/>
        <v>0</v>
      </c>
      <c r="AH67" s="42">
        <f t="shared" si="20"/>
        <v>0</v>
      </c>
      <c r="AI67" s="42">
        <f t="shared" si="20"/>
        <v>0</v>
      </c>
      <c r="AJ67" s="42">
        <f t="shared" si="20"/>
        <v>0</v>
      </c>
      <c r="AK67" s="42">
        <f t="shared" si="20"/>
        <v>0</v>
      </c>
      <c r="AL67" s="42">
        <f t="shared" si="20"/>
        <v>0</v>
      </c>
      <c r="AM67" s="42">
        <f t="shared" si="20"/>
        <v>0</v>
      </c>
      <c r="AN67" s="42">
        <f t="shared" si="20"/>
        <v>0</v>
      </c>
      <c r="AO67" s="1"/>
      <c r="AP67" s="1"/>
      <c r="AQ67" s="1"/>
      <c r="AR67" s="1"/>
      <c r="AS67" s="1"/>
    </row>
    <row r="68" spans="1:45" ht="14.25" customHeight="1" x14ac:dyDescent="0.25">
      <c r="A68" s="1"/>
      <c r="B68" s="43" t="s">
        <v>89</v>
      </c>
      <c r="C68" s="1"/>
      <c r="D68" s="1"/>
      <c r="E68" s="35">
        <f>E$73 * F13 + IF(OR(AND(E$7="Fischl",E67=0),AND(E$7="Kokomi",E13="Refresh")),1,0)</f>
        <v>2</v>
      </c>
      <c r="F68" s="1"/>
      <c r="G68" s="1"/>
      <c r="H68" s="35">
        <f>H$73 * I13 + IF(OR(AND(H$7="Fischl",H67=0),AND(H$7="Kokomi",H13="Refresh")),1,0)</f>
        <v>0</v>
      </c>
      <c r="I68" s="1"/>
      <c r="J68" s="1"/>
      <c r="K68" s="35">
        <f>K$73 * L13 + IF(OR(AND(K$7="Fischl",K67=0),AND(K$7="Kokomi",K13="Refresh")),1,0)</f>
        <v>0</v>
      </c>
      <c r="L68" s="1"/>
      <c r="M68" s="1"/>
      <c r="N68" s="35">
        <f>N$73 * O13 + IF(OR(AND(N$7="Fischl",N67=0),AND(N$7="Kokomi",N13="Refresh")),1,0)</f>
        <v>1</v>
      </c>
      <c r="O68" s="42"/>
      <c r="P68" s="1"/>
      <c r="Q68" s="19"/>
      <c r="R68" s="19"/>
      <c r="S68" s="36" t="str">
        <f t="shared" si="16"/>
        <v>Kazuha</v>
      </c>
      <c r="T68" s="36" t="s">
        <v>86</v>
      </c>
      <c r="U68" s="36" t="str">
        <f t="shared" si="17"/>
        <v>Anemo</v>
      </c>
      <c r="V68" s="37">
        <f>N82</f>
        <v>0.15</v>
      </c>
      <c r="W68" s="45"/>
      <c r="X68" s="45"/>
      <c r="Y68" s="45"/>
      <c r="Z68" s="39" t="b">
        <f>N80</f>
        <v>0</v>
      </c>
      <c r="AA68" s="40" t="str">
        <f t="shared" ref="AA68:AN68" si="21">AA64</f>
        <v>Xiao</v>
      </c>
      <c r="AB68" s="41">
        <f t="shared" si="21"/>
        <v>1</v>
      </c>
      <c r="AC68" s="42">
        <f t="shared" si="21"/>
        <v>0</v>
      </c>
      <c r="AD68" s="42">
        <f t="shared" si="21"/>
        <v>0</v>
      </c>
      <c r="AE68" s="42">
        <f t="shared" si="21"/>
        <v>0</v>
      </c>
      <c r="AF68" s="42">
        <f t="shared" si="21"/>
        <v>0</v>
      </c>
      <c r="AG68" s="42">
        <f t="shared" si="21"/>
        <v>0</v>
      </c>
      <c r="AH68" s="42">
        <f t="shared" si="21"/>
        <v>0</v>
      </c>
      <c r="AI68" s="42">
        <f t="shared" si="21"/>
        <v>0</v>
      </c>
      <c r="AJ68" s="42">
        <f t="shared" si="21"/>
        <v>0</v>
      </c>
      <c r="AK68" s="42">
        <f t="shared" si="21"/>
        <v>0</v>
      </c>
      <c r="AL68" s="42">
        <f t="shared" si="21"/>
        <v>0</v>
      </c>
      <c r="AM68" s="42">
        <f t="shared" si="21"/>
        <v>0</v>
      </c>
      <c r="AN68" s="42">
        <f t="shared" si="21"/>
        <v>0</v>
      </c>
      <c r="AO68" s="1"/>
      <c r="AP68" s="1"/>
      <c r="AQ68" s="1"/>
      <c r="AR68" s="1"/>
      <c r="AS68" s="1"/>
    </row>
    <row r="69" spans="1:45" ht="14.25" customHeight="1" x14ac:dyDescent="0.25">
      <c r="A69" s="1"/>
      <c r="B69" s="43" t="s">
        <v>90</v>
      </c>
      <c r="C69" s="1"/>
      <c r="D69" s="1"/>
      <c r="E69" s="35">
        <f t="array" ref="E69">MIN(INDEX(Data!$R$2:$T$106, E$60, E61) * E67, E$74)</f>
        <v>17</v>
      </c>
      <c r="F69" s="1"/>
      <c r="G69" s="1"/>
      <c r="H69" s="35">
        <f t="array" ref="H69">MIN(INDEX(Data!$R$2:$T$106, H$60, H61) * H67, H$74)</f>
        <v>0</v>
      </c>
      <c r="I69" s="1"/>
      <c r="J69" s="1"/>
      <c r="K69" s="35">
        <f t="array" ref="K69">MIN(INDEX(Data!$R$2:$T$106, K$60, K61) * K67, K$74)</f>
        <v>20</v>
      </c>
      <c r="L69" s="1"/>
      <c r="M69" s="1"/>
      <c r="N69" s="35">
        <f t="array" ref="N69">MIN(INDEX(Data!$R$2:$T$106, N$60, N61) * N67, N$74)</f>
        <v>0</v>
      </c>
      <c r="O69" s="42"/>
      <c r="P69" s="1"/>
      <c r="Q69" s="19"/>
      <c r="R69" s="19"/>
      <c r="S69" s="36" t="str">
        <f t="shared" si="16"/>
        <v>Chiori</v>
      </c>
      <c r="T69" s="36" t="s">
        <v>91</v>
      </c>
      <c r="U69" s="36" t="s">
        <v>44</v>
      </c>
      <c r="V69" s="37">
        <f>E83</f>
        <v>0</v>
      </c>
      <c r="W69" s="45"/>
      <c r="X69" s="45"/>
      <c r="Y69" s="45"/>
      <c r="Z69" s="39" t="b">
        <v>0</v>
      </c>
      <c r="AA69" s="40" t="str">
        <f t="shared" ref="AA69:AN69" si="22">AA65</f>
        <v>Chiori</v>
      </c>
      <c r="AB69" s="41">
        <f t="shared" si="22"/>
        <v>1</v>
      </c>
      <c r="AC69" s="42">
        <f t="shared" si="22"/>
        <v>0</v>
      </c>
      <c r="AD69" s="42">
        <f t="shared" si="22"/>
        <v>0</v>
      </c>
      <c r="AE69" s="42">
        <f t="shared" si="22"/>
        <v>0</v>
      </c>
      <c r="AF69" s="42">
        <f t="shared" si="22"/>
        <v>0</v>
      </c>
      <c r="AG69" s="42">
        <f t="shared" si="22"/>
        <v>0</v>
      </c>
      <c r="AH69" s="42">
        <f t="shared" si="22"/>
        <v>0</v>
      </c>
      <c r="AI69" s="42">
        <f t="shared" si="22"/>
        <v>0</v>
      </c>
      <c r="AJ69" s="42">
        <f t="shared" si="22"/>
        <v>0</v>
      </c>
      <c r="AK69" s="42">
        <f t="shared" si="22"/>
        <v>0</v>
      </c>
      <c r="AL69" s="42">
        <f t="shared" si="22"/>
        <v>0</v>
      </c>
      <c r="AM69" s="42">
        <f t="shared" si="22"/>
        <v>0</v>
      </c>
      <c r="AN69" s="42">
        <f t="shared" si="22"/>
        <v>0</v>
      </c>
      <c r="AO69" s="1"/>
      <c r="AP69" s="1"/>
      <c r="AQ69" s="1"/>
      <c r="AR69" s="1"/>
      <c r="AS69" s="1"/>
    </row>
    <row r="70" spans="1:45" ht="14.25" customHeight="1" x14ac:dyDescent="0.25">
      <c r="A70" s="1"/>
      <c r="B70" s="43" t="s">
        <v>92</v>
      </c>
      <c r="C70" s="1"/>
      <c r="D70" s="1"/>
      <c r="E70" s="35">
        <f t="array" ref="E70">MIN(INDEX(Data!$R$2:$T$106, E$60, E62) * E68, E$74-E$69)</f>
        <v>3</v>
      </c>
      <c r="F70" s="1"/>
      <c r="G70" s="1"/>
      <c r="H70" s="35">
        <f t="array" ref="H70">MIN(INDEX(Data!$R$2:$T$106, H$60, H62) * H68, H$74-H$69)</f>
        <v>0</v>
      </c>
      <c r="I70" s="1"/>
      <c r="J70" s="1"/>
      <c r="K70" s="35">
        <f t="array" ref="K70">MIN(INDEX(Data!$R$2:$T$106, K$60, K62) * K68, K$74-K$69)</f>
        <v>0</v>
      </c>
      <c r="L70" s="1"/>
      <c r="M70" s="1"/>
      <c r="N70" s="35">
        <f t="array" ref="N70">MIN(INDEX(Data!$R$2:$T$106, N$60, N62) * N68, N$74-N$69)</f>
        <v>0</v>
      </c>
      <c r="O70" s="42"/>
      <c r="P70" s="1"/>
      <c r="Q70" s="19"/>
      <c r="R70" s="19"/>
      <c r="S70" s="36" t="str">
        <f t="shared" si="16"/>
        <v>Xiao</v>
      </c>
      <c r="T70" s="36" t="s">
        <v>91</v>
      </c>
      <c r="U70" s="36" t="s">
        <v>44</v>
      </c>
      <c r="V70" s="37">
        <f>H83</f>
        <v>0</v>
      </c>
      <c r="W70" s="45"/>
      <c r="X70" s="45"/>
      <c r="Y70" s="45"/>
      <c r="Z70" s="39" t="b">
        <v>0</v>
      </c>
      <c r="AA70" s="40" t="str">
        <f t="shared" ref="AA70:AN70" si="23">AA66</f>
        <v>Xiao</v>
      </c>
      <c r="AB70" s="41">
        <f t="shared" si="23"/>
        <v>0.5</v>
      </c>
      <c r="AC70" s="42">
        <f t="shared" si="23"/>
        <v>0</v>
      </c>
      <c r="AD70" s="42">
        <f t="shared" si="23"/>
        <v>0</v>
      </c>
      <c r="AE70" s="42">
        <f t="shared" si="23"/>
        <v>0</v>
      </c>
      <c r="AF70" s="42">
        <f t="shared" si="23"/>
        <v>0</v>
      </c>
      <c r="AG70" s="42">
        <f t="shared" si="23"/>
        <v>0</v>
      </c>
      <c r="AH70" s="42">
        <f t="shared" si="23"/>
        <v>0</v>
      </c>
      <c r="AI70" s="42">
        <f t="shared" si="23"/>
        <v>0</v>
      </c>
      <c r="AJ70" s="42">
        <f t="shared" si="23"/>
        <v>0</v>
      </c>
      <c r="AK70" s="42">
        <f t="shared" si="23"/>
        <v>0</v>
      </c>
      <c r="AL70" s="42">
        <f t="shared" si="23"/>
        <v>0</v>
      </c>
      <c r="AM70" s="42">
        <f t="shared" si="23"/>
        <v>0</v>
      </c>
      <c r="AN70" s="42">
        <f t="shared" si="23"/>
        <v>0</v>
      </c>
      <c r="AO70" s="1"/>
      <c r="AP70" s="1"/>
      <c r="AQ70" s="1"/>
      <c r="AR70" s="1"/>
      <c r="AS70" s="1"/>
    </row>
    <row r="71" spans="1:45" ht="14.25" customHeight="1" x14ac:dyDescent="0.25">
      <c r="A71" s="1"/>
      <c r="B71" s="43" t="s">
        <v>93</v>
      </c>
      <c r="C71" s="1"/>
      <c r="D71" s="1"/>
      <c r="E71" s="35">
        <f>E$73 * E$28</f>
        <v>0</v>
      </c>
      <c r="F71" s="1"/>
      <c r="G71" s="1"/>
      <c r="H71" s="35">
        <f>H$73 * H$28</f>
        <v>0</v>
      </c>
      <c r="I71" s="1"/>
      <c r="J71" s="1"/>
      <c r="K71" s="35">
        <f>K$73 * K$28</f>
        <v>1</v>
      </c>
      <c r="L71" s="1"/>
      <c r="M71" s="1"/>
      <c r="N71" s="35">
        <f>N$73 * N$28</f>
        <v>0</v>
      </c>
      <c r="O71" s="42"/>
      <c r="P71" s="1"/>
      <c r="Q71" s="19"/>
      <c r="R71" s="19"/>
      <c r="S71" s="36" t="str">
        <f t="shared" si="16"/>
        <v>Zhongli</v>
      </c>
      <c r="T71" s="36" t="s">
        <v>91</v>
      </c>
      <c r="U71" s="36" t="s">
        <v>44</v>
      </c>
      <c r="V71" s="37">
        <f>K83</f>
        <v>0.15</v>
      </c>
      <c r="W71" s="45"/>
      <c r="X71" s="45"/>
      <c r="Y71" s="45"/>
      <c r="Z71" s="39" t="b">
        <v>0</v>
      </c>
      <c r="AA71" s="40" t="str">
        <f t="shared" ref="AA71:AN71" si="24">AA67</f>
        <v>Zhongli</v>
      </c>
      <c r="AB71" s="41">
        <f t="shared" si="24"/>
        <v>1</v>
      </c>
      <c r="AC71" s="42">
        <f t="shared" si="24"/>
        <v>0</v>
      </c>
      <c r="AD71" s="42">
        <f t="shared" si="24"/>
        <v>0</v>
      </c>
      <c r="AE71" s="42">
        <f t="shared" si="24"/>
        <v>0</v>
      </c>
      <c r="AF71" s="42">
        <f t="shared" si="24"/>
        <v>0</v>
      </c>
      <c r="AG71" s="42">
        <f t="shared" si="24"/>
        <v>0</v>
      </c>
      <c r="AH71" s="42">
        <f t="shared" si="24"/>
        <v>0</v>
      </c>
      <c r="AI71" s="42">
        <f t="shared" si="24"/>
        <v>0</v>
      </c>
      <c r="AJ71" s="42">
        <f t="shared" si="24"/>
        <v>0</v>
      </c>
      <c r="AK71" s="42">
        <f t="shared" si="24"/>
        <v>0</v>
      </c>
      <c r="AL71" s="42">
        <f t="shared" si="24"/>
        <v>0</v>
      </c>
      <c r="AM71" s="42">
        <f t="shared" si="24"/>
        <v>0</v>
      </c>
      <c r="AN71" s="42">
        <f t="shared" si="24"/>
        <v>0</v>
      </c>
      <c r="AO71" s="1"/>
      <c r="AP71" s="1"/>
      <c r="AQ71" s="1"/>
      <c r="AR71" s="1"/>
      <c r="AS71" s="1"/>
    </row>
    <row r="72" spans="1:45" ht="14.25" customHeight="1" x14ac:dyDescent="0.25">
      <c r="A72" s="1"/>
      <c r="B72" s="147" t="s">
        <v>94</v>
      </c>
      <c r="C72" s="134"/>
      <c r="D72" s="1"/>
      <c r="E72" s="35">
        <f t="array" ref="E72">E$73 * (E$29 + INDEX(Data!$I$2:$K$106,E$60,E$61)*F$12 + INDEX(Data!$I$2:$K$106,E$60,E$62)*F$13) + IF(E$31=0,E$33,0)</f>
        <v>0</v>
      </c>
      <c r="F72" s="1"/>
      <c r="G72" s="1"/>
      <c r="H72" s="35">
        <f t="array" ref="H72">H$73 * (H$29 + INDEX(Data!$I$2:$K$106,H$60,H$61)*I$12 + INDEX(Data!$I$2:$K$106,H$60,H$62)*I$13) + IF(H$31=0,H$33,0)</f>
        <v>0</v>
      </c>
      <c r="I72" s="1"/>
      <c r="J72" s="1"/>
      <c r="K72" s="35">
        <f t="array" ref="K72">K$73 * (K$29 + INDEX(Data!$I$2:$K$106,K$60,K$61)*L$12 + INDEX(Data!$I$2:$K$106,K$60,K$62)*L$13) + IF(K$31=0,K$33,0)</f>
        <v>0</v>
      </c>
      <c r="L72" s="1"/>
      <c r="M72" s="1"/>
      <c r="N72" s="35">
        <f t="array" ref="N72">N$73 * (N$29 + INDEX(Data!$I$2:$K$106,N$60,N$61)*O$12 + INDEX(Data!$I$2:$K$106,N$60,N$62)*O$13) + IF(N$31=0,N$33,0)</f>
        <v>0</v>
      </c>
      <c r="O72" s="42"/>
      <c r="P72" s="1"/>
      <c r="Q72" s="19"/>
      <c r="R72" s="19"/>
      <c r="S72" s="36" t="str">
        <f t="shared" si="16"/>
        <v>Kazuha</v>
      </c>
      <c r="T72" s="36" t="s">
        <v>91</v>
      </c>
      <c r="U72" s="36" t="s">
        <v>44</v>
      </c>
      <c r="V72" s="37">
        <f>N83</f>
        <v>0</v>
      </c>
      <c r="W72" s="45"/>
      <c r="X72" s="45"/>
      <c r="Y72" s="45"/>
      <c r="Z72" s="39" t="b">
        <v>0</v>
      </c>
      <c r="AA72" s="40" t="str">
        <f t="shared" ref="AA72:AN72" si="25">AA68</f>
        <v>Xiao</v>
      </c>
      <c r="AB72" s="41">
        <f t="shared" si="25"/>
        <v>1</v>
      </c>
      <c r="AC72" s="42">
        <f t="shared" si="25"/>
        <v>0</v>
      </c>
      <c r="AD72" s="42">
        <f t="shared" si="25"/>
        <v>0</v>
      </c>
      <c r="AE72" s="42">
        <f t="shared" si="25"/>
        <v>0</v>
      </c>
      <c r="AF72" s="42">
        <f t="shared" si="25"/>
        <v>0</v>
      </c>
      <c r="AG72" s="42">
        <f t="shared" si="25"/>
        <v>0</v>
      </c>
      <c r="AH72" s="42">
        <f t="shared" si="25"/>
        <v>0</v>
      </c>
      <c r="AI72" s="42">
        <f t="shared" si="25"/>
        <v>0</v>
      </c>
      <c r="AJ72" s="42">
        <f t="shared" si="25"/>
        <v>0</v>
      </c>
      <c r="AK72" s="42">
        <f t="shared" si="25"/>
        <v>0</v>
      </c>
      <c r="AL72" s="42">
        <f t="shared" si="25"/>
        <v>0</v>
      </c>
      <c r="AM72" s="42">
        <f t="shared" si="25"/>
        <v>0</v>
      </c>
      <c r="AN72" s="42">
        <f t="shared" si="25"/>
        <v>0</v>
      </c>
      <c r="AO72" s="1"/>
      <c r="AP72" s="1"/>
      <c r="AQ72" s="1"/>
      <c r="AR72" s="1"/>
      <c r="AS72" s="1"/>
    </row>
    <row r="73" spans="1:45" ht="14.25" customHeight="1" x14ac:dyDescent="0.25">
      <c r="A73" s="1"/>
      <c r="B73" s="147" t="s">
        <v>95</v>
      </c>
      <c r="C73" s="134"/>
      <c r="D73" s="1"/>
      <c r="E73" s="35">
        <f>IF(AND(RotationMode=Fixed,E$31&gt;0),E$31,1)</f>
        <v>1</v>
      </c>
      <c r="F73" s="1"/>
      <c r="G73" s="1"/>
      <c r="H73" s="35">
        <f>IF(AND(RotationMode=Fixed,H$31&gt;0),H$31,1)</f>
        <v>1</v>
      </c>
      <c r="I73" s="1"/>
      <c r="J73" s="1"/>
      <c r="K73" s="35">
        <f>IF(AND(RotationMode=Fixed,K$31&gt;0),K$31,1)</f>
        <v>1</v>
      </c>
      <c r="L73" s="1"/>
      <c r="M73" s="1"/>
      <c r="N73" s="35">
        <f>IF(AND(RotationMode=Fixed,N$31&gt;0),N$31,1)</f>
        <v>1</v>
      </c>
      <c r="O73" s="42"/>
      <c r="P73" s="1"/>
      <c r="Q73" s="19"/>
      <c r="R73" s="19"/>
      <c r="S73" s="46"/>
      <c r="T73" s="46"/>
      <c r="U73" s="46"/>
      <c r="V73" s="46"/>
      <c r="W73" s="46"/>
      <c r="X73" s="46"/>
      <c r="Y73" s="46"/>
      <c r="Z73" s="46"/>
      <c r="AA73" s="47"/>
      <c r="AB73" s="48"/>
      <c r="AC73" s="46"/>
      <c r="AD73" s="46"/>
      <c r="AE73" s="46"/>
      <c r="AF73" s="46"/>
      <c r="AG73" s="46"/>
      <c r="AH73" s="46"/>
      <c r="AI73" s="46"/>
      <c r="AJ73" s="46"/>
      <c r="AK73" s="46"/>
      <c r="AL73" s="46"/>
      <c r="AM73" s="46"/>
      <c r="AN73" s="46"/>
      <c r="AO73" s="1"/>
      <c r="AP73" s="1"/>
      <c r="AQ73" s="1"/>
      <c r="AR73" s="1"/>
      <c r="AS73" s="1"/>
    </row>
    <row r="74" spans="1:45" ht="14.25" customHeight="1" x14ac:dyDescent="0.25">
      <c r="A74" s="1"/>
      <c r="B74" s="43" t="s">
        <v>96</v>
      </c>
      <c r="C74" s="1"/>
      <c r="D74" s="1"/>
      <c r="E74" s="35">
        <f>IF(RotationMode=Fixed,RotationLength,1)*IF(E$31=0,1,E$31)</f>
        <v>20</v>
      </c>
      <c r="F74" s="1"/>
      <c r="G74" s="1"/>
      <c r="H74" s="35">
        <f>IF(RotationMode=Fixed,RotationLength,1)*IF(H$31=0,1,H$31)</f>
        <v>20</v>
      </c>
      <c r="I74" s="1"/>
      <c r="J74" s="1"/>
      <c r="K74" s="35">
        <f>IF(RotationMode=Fixed,RotationLength,1)*IF(K$31=0,1,K$31)</f>
        <v>20</v>
      </c>
      <c r="L74" s="1"/>
      <c r="M74" s="1"/>
      <c r="N74" s="35">
        <f>IF(RotationMode=Fixed,RotationLength,1)*IF(N$31=0,1,N$31)</f>
        <v>20</v>
      </c>
      <c r="O74" s="42"/>
      <c r="P74" s="1"/>
      <c r="Q74" s="19"/>
      <c r="R74" s="19"/>
      <c r="S74" s="49"/>
      <c r="T74" s="49"/>
      <c r="U74" s="49"/>
      <c r="V74" s="49"/>
      <c r="W74" s="49"/>
      <c r="X74" s="49"/>
      <c r="Y74" s="49"/>
      <c r="Z74" s="49"/>
      <c r="AA74" s="49"/>
      <c r="AB74" s="49"/>
      <c r="AC74" s="49"/>
      <c r="AD74" s="49"/>
      <c r="AE74" s="49"/>
      <c r="AF74" s="49"/>
      <c r="AG74" s="49"/>
      <c r="AH74" s="49"/>
      <c r="AI74" s="49"/>
      <c r="AJ74" s="49"/>
      <c r="AK74" s="49"/>
      <c r="AL74" s="49"/>
      <c r="AM74" s="49"/>
      <c r="AN74" s="49"/>
      <c r="AO74" s="1"/>
      <c r="AP74" s="1"/>
      <c r="AQ74" s="1"/>
      <c r="AR74" s="1"/>
      <c r="AS74" s="1"/>
    </row>
    <row r="75" spans="1:45" ht="14.25" customHeight="1" x14ac:dyDescent="0.25">
      <c r="A75" s="1"/>
      <c r="B75" s="50" t="str">
        <f>E7&amp;" Skill Time on Field"</f>
        <v>Chiori Skill Time on Field</v>
      </c>
      <c r="C75" s="51">
        <f>E30</f>
        <v>0.5</v>
      </c>
      <c r="D75" s="50"/>
      <c r="E75" s="52">
        <f>IF($B75="Dehya Skill Time On Field",
IF(E$7="Dehya",MAX(0,E$30-6/E$74),
E$30/(1-$C75)),
E$30)</f>
        <v>0.5</v>
      </c>
      <c r="F75" s="52"/>
      <c r="G75" s="53"/>
      <c r="H75" s="52">
        <f>IF($B75="Dehya Skill Time On Field",
IF(H$7="Dehya",MAX(0,H$30-6/H$74),
H$30/(1-$C75)),
H$30)</f>
        <v>0.2</v>
      </c>
      <c r="I75" s="52"/>
      <c r="J75" s="53"/>
      <c r="K75" s="52">
        <f>IF($B75="Dehya Skill Time On Field",
IF(K$7="Dehya",MAX(0,K$30-6/K$74),
K$30/(1-$C75)),
K$30)</f>
        <v>0.2</v>
      </c>
      <c r="L75" s="52"/>
      <c r="M75" s="53"/>
      <c r="N75" s="52">
        <f>IF($B75="Dehya Skill Time On Field",
IF(N$7="Dehya",MAX(0,N$30-6/N$74),
N$30/(1-$C75)),
N$30)</f>
        <v>0.1</v>
      </c>
      <c r="O75" s="52"/>
      <c r="P75" s="54"/>
      <c r="Q75" s="55"/>
      <c r="R75" s="19"/>
      <c r="S75" s="53"/>
      <c r="T75" s="53"/>
      <c r="U75" s="53"/>
      <c r="V75" s="53"/>
      <c r="W75" s="53"/>
      <c r="X75" s="53"/>
      <c r="Y75" s="53"/>
      <c r="Z75" s="53"/>
      <c r="AA75" s="53"/>
      <c r="AB75" s="53"/>
      <c r="AC75" s="53"/>
      <c r="AD75" s="53"/>
      <c r="AE75" s="53"/>
      <c r="AF75" s="53"/>
      <c r="AG75" s="53"/>
      <c r="AH75" s="53"/>
      <c r="AI75" s="53"/>
      <c r="AJ75" s="53"/>
      <c r="AK75" s="53"/>
      <c r="AL75" s="53"/>
      <c r="AM75" s="53"/>
      <c r="AN75" s="53"/>
      <c r="AO75" s="4"/>
      <c r="AP75" s="4"/>
      <c r="AQ75" s="4"/>
      <c r="AR75" s="4"/>
      <c r="AS75" s="4"/>
    </row>
    <row r="76" spans="1:45" ht="14.25" customHeight="1" x14ac:dyDescent="0.25">
      <c r="A76" s="1"/>
      <c r="B76" s="7" t="str">
        <f>H7&amp;" Skill Time on Field"</f>
        <v>Xiao Skill Time on Field</v>
      </c>
      <c r="C76" s="56">
        <f>H30</f>
        <v>0.2</v>
      </c>
      <c r="D76" s="7"/>
      <c r="E76" s="34">
        <f t="shared" ref="E76:E78" si="26">IF(B76="Dehya Skill Time On Field",
IF(E$7="Dehya",MAX(0,E$30-6/E$74),
E$30/(1-$C76)),
E$30)</f>
        <v>0.5</v>
      </c>
      <c r="F76" s="34"/>
      <c r="G76" s="4"/>
      <c r="H76" s="34">
        <f t="shared" ref="H76:H78" si="27">IF(E76="Dehya Skill Time On Field",
IF(H$7="Dehya",MAX(0,H$30-6/H$74),
H$30/(1-$C76)),
H$30)</f>
        <v>0.2</v>
      </c>
      <c r="I76" s="34"/>
      <c r="J76" s="4"/>
      <c r="K76" s="34">
        <f t="shared" ref="K76:K78" si="28">IF(H76="Dehya Skill Time On Field",
IF(K$7="Dehya",MAX(0,K$30-6/K$74),
K$30/(1-$C76)),
K$30)</f>
        <v>0.2</v>
      </c>
      <c r="L76" s="34"/>
      <c r="M76" s="4"/>
      <c r="N76" s="34">
        <f t="shared" ref="N76:N78" si="29">IF(K76="Dehya Skill Time On Field",
IF(N$7="Dehya",MAX(0,N$30-6/N$74),
N$30/(1-$C76)),
N$30)</f>
        <v>0.1</v>
      </c>
      <c r="O76" s="34"/>
      <c r="P76" s="1"/>
      <c r="Q76" s="21"/>
      <c r="R76" s="55"/>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row>
    <row r="77" spans="1:45" ht="14.25" customHeight="1" x14ac:dyDescent="0.25">
      <c r="A77" s="1"/>
      <c r="B77" s="7" t="str">
        <f>K7&amp;" Skill Time on Field"</f>
        <v>Zhongli Skill Time on Field</v>
      </c>
      <c r="C77" s="56">
        <f>K30</f>
        <v>0.2</v>
      </c>
      <c r="D77" s="7"/>
      <c r="E77" s="34">
        <f t="shared" si="26"/>
        <v>0.5</v>
      </c>
      <c r="F77" s="34"/>
      <c r="G77" s="4"/>
      <c r="H77" s="34">
        <f t="shared" si="27"/>
        <v>0.2</v>
      </c>
      <c r="I77" s="34"/>
      <c r="J77" s="4"/>
      <c r="K77" s="34">
        <f t="shared" si="28"/>
        <v>0.2</v>
      </c>
      <c r="L77" s="34"/>
      <c r="M77" s="4"/>
      <c r="N77" s="34">
        <f t="shared" si="29"/>
        <v>0.1</v>
      </c>
      <c r="O77" s="34"/>
      <c r="P77" s="1"/>
      <c r="Q77" s="21"/>
      <c r="R77" s="21"/>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row>
    <row r="78" spans="1:45" ht="14.25" customHeight="1" x14ac:dyDescent="0.25">
      <c r="A78" s="1"/>
      <c r="B78" s="57" t="str">
        <f>N7&amp;" Skill Time on Field"</f>
        <v>Kazuha Skill Time on Field</v>
      </c>
      <c r="C78" s="58">
        <f>N30</f>
        <v>0.1</v>
      </c>
      <c r="D78" s="57"/>
      <c r="E78" s="59">
        <f t="shared" si="26"/>
        <v>0.5</v>
      </c>
      <c r="F78" s="59"/>
      <c r="G78" s="60"/>
      <c r="H78" s="59">
        <f t="shared" si="27"/>
        <v>0.2</v>
      </c>
      <c r="I78" s="59"/>
      <c r="J78" s="60"/>
      <c r="K78" s="59">
        <f t="shared" si="28"/>
        <v>0.2</v>
      </c>
      <c r="L78" s="59"/>
      <c r="M78" s="60"/>
      <c r="N78" s="59">
        <f t="shared" si="29"/>
        <v>0.1</v>
      </c>
      <c r="O78" s="59"/>
      <c r="P78" s="49"/>
      <c r="Q78" s="61"/>
      <c r="R78" s="21"/>
      <c r="S78" s="60"/>
      <c r="T78" s="60"/>
      <c r="U78" s="60"/>
      <c r="V78" s="60"/>
      <c r="W78" s="60"/>
      <c r="X78" s="60"/>
      <c r="Y78" s="60"/>
      <c r="Z78" s="60"/>
      <c r="AA78" s="60"/>
      <c r="AB78" s="60"/>
      <c r="AC78" s="60"/>
      <c r="AD78" s="60"/>
      <c r="AE78" s="60"/>
      <c r="AF78" s="60"/>
      <c r="AG78" s="60"/>
      <c r="AH78" s="60"/>
      <c r="AI78" s="60"/>
      <c r="AJ78" s="60"/>
      <c r="AK78" s="60"/>
      <c r="AL78" s="60"/>
      <c r="AM78" s="60"/>
      <c r="AN78" s="60"/>
      <c r="AO78" s="4"/>
      <c r="AP78" s="4"/>
      <c r="AQ78" s="4"/>
      <c r="AR78" s="4"/>
      <c r="AS78" s="4"/>
    </row>
    <row r="79" spans="1:45" ht="14.25" customHeight="1" x14ac:dyDescent="0.25">
      <c r="A79" s="1"/>
      <c r="B79" s="50" t="s">
        <v>97</v>
      </c>
      <c r="C79" s="51"/>
      <c r="D79" s="50"/>
      <c r="E79" s="62" t="b">
        <f t="array" ref="E79">IF(E12&lt;&gt;"",INDEX(Data!$O$2:$Q$106, E$60, E61),0)&gt;0</f>
        <v>1</v>
      </c>
      <c r="F79" s="62"/>
      <c r="G79" s="63"/>
      <c r="H79" s="62" t="b">
        <f t="array" ref="H79">IF(H12&lt;&gt;"",INDEX(Data!$O$2:$Q$106, H$60, H61),0)&gt;0</f>
        <v>0</v>
      </c>
      <c r="I79" s="62"/>
      <c r="J79" s="63"/>
      <c r="K79" s="62" t="b">
        <f t="array" ref="K79">IF(K12&lt;&gt;"",INDEX(Data!$O$2:$Q$106, K$60, K61),0)&gt;0</f>
        <v>1</v>
      </c>
      <c r="L79" s="62"/>
      <c r="M79" s="63"/>
      <c r="N79" s="62" t="b">
        <f t="array" ref="N79">IF(N12&lt;&gt;"",INDEX(Data!$O$2:$Q$106, N$60, N61),0)&gt;0</f>
        <v>0</v>
      </c>
      <c r="O79" s="52"/>
      <c r="P79" s="54"/>
      <c r="Q79" s="55"/>
      <c r="R79" s="61"/>
      <c r="S79" s="53"/>
      <c r="T79" s="53"/>
      <c r="U79" s="53"/>
      <c r="V79" s="53"/>
      <c r="W79" s="53"/>
      <c r="X79" s="53"/>
      <c r="Y79" s="53"/>
      <c r="Z79" s="53"/>
      <c r="AA79" s="53"/>
      <c r="AB79" s="53"/>
      <c r="AC79" s="53"/>
      <c r="AD79" s="53"/>
      <c r="AE79" s="53"/>
      <c r="AF79" s="53"/>
      <c r="AG79" s="53"/>
      <c r="AH79" s="53"/>
      <c r="AI79" s="53"/>
      <c r="AJ79" s="53"/>
      <c r="AK79" s="53"/>
      <c r="AL79" s="53"/>
      <c r="AM79" s="53"/>
      <c r="AN79" s="53"/>
      <c r="AO79" s="4"/>
      <c r="AP79" s="4"/>
      <c r="AQ79" s="4"/>
      <c r="AR79" s="4"/>
      <c r="AS79" s="4"/>
    </row>
    <row r="80" spans="1:45" ht="14.25" customHeight="1" x14ac:dyDescent="0.25">
      <c r="A80" s="1"/>
      <c r="B80" s="57" t="s">
        <v>98</v>
      </c>
      <c r="C80" s="58"/>
      <c r="D80" s="57"/>
      <c r="E80" s="64" t="b">
        <f t="array" ref="E80">IF(E13&lt;&gt;"",INDEX(Data!$O$2:$Q$106, E$60, E62),0)&gt;0</f>
        <v>1</v>
      </c>
      <c r="F80" s="64"/>
      <c r="G80" s="65"/>
      <c r="H80" s="64" t="b">
        <f t="array" ref="H80">IF(H13&lt;&gt;"",INDEX(Data!$O$2:$Q$106, H$60, H62),0)&gt;0</f>
        <v>0</v>
      </c>
      <c r="I80" s="64"/>
      <c r="J80" s="65"/>
      <c r="K80" s="64" t="b">
        <f t="array" ref="K80">IF(K13&lt;&gt;"",INDEX(Data!$O$2:$Q$106, K$60, K62),0)&gt;0</f>
        <v>0</v>
      </c>
      <c r="L80" s="64"/>
      <c r="M80" s="65"/>
      <c r="N80" s="64" t="b">
        <f t="array" ref="N80">IF(N13&lt;&gt;"",INDEX(Data!$O$2:$Q$106, N$60, N62),0)&gt;0</f>
        <v>0</v>
      </c>
      <c r="O80" s="59"/>
      <c r="P80" s="49"/>
      <c r="Q80" s="61"/>
      <c r="R80" s="55"/>
      <c r="S80" s="60"/>
      <c r="T80" s="60"/>
      <c r="U80" s="60"/>
      <c r="V80" s="60"/>
      <c r="W80" s="60"/>
      <c r="X80" s="60"/>
      <c r="Y80" s="60"/>
      <c r="Z80" s="60"/>
      <c r="AA80" s="60"/>
      <c r="AB80" s="60"/>
      <c r="AC80" s="60"/>
      <c r="AD80" s="60"/>
      <c r="AE80" s="60"/>
      <c r="AF80" s="60"/>
      <c r="AG80" s="60"/>
      <c r="AH80" s="60"/>
      <c r="AI80" s="60"/>
      <c r="AJ80" s="60"/>
      <c r="AK80" s="60"/>
      <c r="AL80" s="60"/>
      <c r="AM80" s="60"/>
      <c r="AN80" s="60"/>
      <c r="AO80" s="4"/>
      <c r="AP80" s="4"/>
      <c r="AQ80" s="4"/>
      <c r="AR80" s="4"/>
      <c r="AS80" s="4"/>
    </row>
    <row r="81" spans="1:45" ht="14.25" customHeight="1" x14ac:dyDescent="0.25">
      <c r="A81" s="1"/>
      <c r="B81" s="50" t="s">
        <v>55</v>
      </c>
      <c r="C81" s="51"/>
      <c r="D81" s="50"/>
      <c r="E81" s="66" cm="1">
        <f t="array" ref="E81">IF(OR(E$74=0, E12=""),0,IF(E79,INDEX(Data!$O$2:$Q$106, E$60, E61)*E69/E$74,
INDEX(Data!$F$2:$H$106,E$60,E61) * E67 / E$74)) * (1-E65)</f>
        <v>0.22440000000000004</v>
      </c>
      <c r="F81" s="66"/>
      <c r="G81" s="66"/>
      <c r="H81" s="66">
        <f t="array" ref="H81">IF(OR(H$74=0, H12=""),0,IF(H79,INDEX(Data!$O$2:$Q$106, H$60, H61)*H69/H$74,
INDEX(Data!$F$2:$H$106,H$60,H61) * H67 / H$74)) * (1-H65)</f>
        <v>0.3</v>
      </c>
      <c r="I81" s="66"/>
      <c r="J81" s="66"/>
      <c r="K81" s="66">
        <f t="array" ref="K81">IF(OR(K$74=0, K12=""),0,IF(K79,INDEX(Data!$O$2:$Q$106, K$60, K61)*K69/K$74,
INDEX(Data!$F$2:$H$106,K$60,K61) * K67 / K$74)) * (1-K65)</f>
        <v>0.125</v>
      </c>
      <c r="L81" s="66"/>
      <c r="M81" s="66"/>
      <c r="N81" s="66">
        <f t="array" ref="N81">IF(OR(N$74=0, N12=""),0,IF(N79,INDEX(Data!$O$2:$Q$106, N$60, N61)*N69/N$74,
INDEX(Data!$F$2:$H$106,N$60,N61) * N67 / N$74)) * (1-N65)</f>
        <v>0.2</v>
      </c>
      <c r="O81" s="52"/>
      <c r="P81" s="54"/>
      <c r="Q81" s="55"/>
      <c r="R81" s="61"/>
      <c r="S81" s="53"/>
      <c r="T81" s="53"/>
      <c r="U81" s="53"/>
      <c r="V81" s="53"/>
      <c r="W81" s="53"/>
      <c r="X81" s="53"/>
      <c r="Y81" s="53"/>
      <c r="Z81" s="53"/>
      <c r="AA81" s="53"/>
      <c r="AB81" s="53"/>
      <c r="AC81" s="53"/>
      <c r="AD81" s="53"/>
      <c r="AE81" s="53"/>
      <c r="AF81" s="53"/>
      <c r="AG81" s="53"/>
      <c r="AH81" s="53"/>
      <c r="AI81" s="53"/>
      <c r="AJ81" s="53"/>
      <c r="AK81" s="53"/>
      <c r="AL81" s="53"/>
      <c r="AM81" s="53"/>
      <c r="AN81" s="53"/>
      <c r="AO81" s="4"/>
      <c r="AP81" s="4"/>
      <c r="AQ81" s="4"/>
      <c r="AR81" s="4"/>
      <c r="AS81" s="4"/>
    </row>
    <row r="82" spans="1:45" ht="14.25" customHeight="1" x14ac:dyDescent="0.25">
      <c r="A82" s="1"/>
      <c r="B82" s="7" t="s">
        <v>57</v>
      </c>
      <c r="C82" s="56"/>
      <c r="D82" s="7"/>
      <c r="E82" s="32">
        <f t="array" ref="E82">IF(OR(E$74=0, E13=""),0,IF(E80,INDEX(Data!$O$2:$Q$106, E$60, E62)*E70/E$74,
INDEX(Data!$F$2:$H$106,E$60,E62) * E68 / E$74)) * (1-E66)</f>
        <v>3.9600000000000003E-2</v>
      </c>
      <c r="F82" s="32"/>
      <c r="G82" s="32"/>
      <c r="H82" s="32">
        <f t="array" ref="H82">IF(OR(H$74=0, H13=""),0,IF(H80,INDEX(Data!$O$2:$Q$106, H$60, H62)*H70/H$74,
INDEX(Data!$F$2:$H$106,H$60,H62) * H68 / H$74)) * (1-H66)</f>
        <v>0</v>
      </c>
      <c r="I82" s="32"/>
      <c r="J82" s="32"/>
      <c r="K82" s="32">
        <f t="array" ref="K82">IF(OR(K$74=0, K13=""),0,IF(K80,INDEX(Data!$O$2:$Q$106, K$60, K62)*K70/K$74,
INDEX(Data!$F$2:$H$106,K$60,K62) * K68 / K$74)) * (1-K66)</f>
        <v>0</v>
      </c>
      <c r="L82" s="32"/>
      <c r="M82" s="32"/>
      <c r="N82" s="32">
        <f t="array" ref="N82">IF(OR(N$74=0, N13=""),0,IF(N80,INDEX(Data!$O$2:$Q$106, N$60, N62)*N70/N$74,
INDEX(Data!$F$2:$H$106,N$60,N62) * N68 / N$74)) * (1-N66)</f>
        <v>0.15</v>
      </c>
      <c r="O82" s="34"/>
      <c r="P82" s="1"/>
      <c r="Q82" s="21"/>
      <c r="R82" s="55"/>
      <c r="S82" s="4"/>
      <c r="T82" s="4"/>
      <c r="U82" s="4"/>
      <c r="V82" s="4"/>
      <c r="W82" s="4"/>
      <c r="X82" s="4"/>
      <c r="Y82" s="4"/>
      <c r="Z82" s="4"/>
      <c r="AA82" s="4"/>
      <c r="AB82" s="4"/>
      <c r="AC82" s="151" t="s">
        <v>99</v>
      </c>
      <c r="AD82" s="152"/>
      <c r="AE82" s="152"/>
      <c r="AF82" s="152"/>
      <c r="AG82" s="152"/>
      <c r="AH82" s="152"/>
      <c r="AI82" s="152"/>
      <c r="AJ82" s="152"/>
      <c r="AK82" s="152"/>
      <c r="AL82" s="134"/>
      <c r="AM82" s="4"/>
      <c r="AN82" s="4"/>
      <c r="AO82" s="4"/>
      <c r="AP82" s="4"/>
      <c r="AQ82" s="4"/>
      <c r="AR82" s="4"/>
      <c r="AS82" s="4"/>
    </row>
    <row r="83" spans="1:45" ht="14.25" customHeight="1" x14ac:dyDescent="0.25">
      <c r="A83" s="1"/>
      <c r="B83" s="7" t="s">
        <v>58</v>
      </c>
      <c r="C83" s="56"/>
      <c r="D83" s="7"/>
      <c r="E83" s="32">
        <f>IF(E$74=0,0,E$71*3/E$74)</f>
        <v>0</v>
      </c>
      <c r="F83" s="32"/>
      <c r="G83" s="32"/>
      <c r="H83" s="32">
        <f>IF(H$74=0,0,H$71*3/H$74)</f>
        <v>0</v>
      </c>
      <c r="I83" s="32"/>
      <c r="J83" s="32"/>
      <c r="K83" s="32">
        <f>IF(K$74=0,0,K$71*3/K$74)</f>
        <v>0.15</v>
      </c>
      <c r="L83" s="32"/>
      <c r="M83" s="32"/>
      <c r="N83" s="32">
        <f>IF(N$74=0,0,N$71*3/N$74)</f>
        <v>0</v>
      </c>
      <c r="O83" s="34"/>
      <c r="P83" s="1"/>
      <c r="Q83" s="21"/>
      <c r="R83" s="21"/>
      <c r="S83" s="4"/>
      <c r="T83" s="4"/>
      <c r="U83" s="4"/>
      <c r="V83" s="4"/>
      <c r="W83" s="4"/>
      <c r="X83" s="4"/>
      <c r="Y83" s="32"/>
      <c r="Z83" s="32"/>
      <c r="AA83" s="32"/>
      <c r="AB83" s="4"/>
      <c r="AC83" s="4" t="str">
        <f t="shared" ref="AC83:AC87" si="30">AC60</f>
        <v>Chiori</v>
      </c>
      <c r="AD83" s="4"/>
      <c r="AE83" s="4"/>
      <c r="AF83" s="4" t="str">
        <f t="shared" ref="AF83:AF87" si="31">AD60</f>
        <v>Xiao</v>
      </c>
      <c r="AG83" s="4"/>
      <c r="AH83" s="4"/>
      <c r="AI83" s="4" t="str">
        <f t="shared" ref="AI83:AI87" si="32">AE60</f>
        <v>Zhongli</v>
      </c>
      <c r="AJ83" s="4"/>
      <c r="AK83" s="4"/>
      <c r="AL83" s="4" t="str">
        <f t="shared" ref="AL83:AL87" si="33">AF60</f>
        <v>Kazuha</v>
      </c>
      <c r="AM83" s="4"/>
      <c r="AN83" s="4"/>
      <c r="AO83" s="4"/>
      <c r="AP83" s="4"/>
      <c r="AQ83" s="4"/>
      <c r="AR83" s="4"/>
      <c r="AS83" s="4"/>
    </row>
    <row r="84" spans="1:45" ht="14.25" customHeight="1" x14ac:dyDescent="0.25">
      <c r="A84" s="1"/>
      <c r="B84" s="50" t="str">
        <f t="shared" ref="B84:B87" si="34">"Feed from " &amp; S61 &amp; " primary skill"</f>
        <v>Feed from Chiori primary skill</v>
      </c>
      <c r="C84" s="50"/>
      <c r="D84" s="50"/>
      <c r="E84" s="52">
        <f t="shared" ref="E84:E87" si="35">IF(SUM($AC84:$AL84)&gt;0,IF(AND($S61=E$7,E15=0),1-SUM($AC84:$AL84),AC84) + N("Advanced mode field time"),
IF($Z61,E75,IF($AA61=E$7,$AB61,IF($S61=E$7,1-$AB61,0)))) + N("Basic mode field time")</f>
        <v>0.5</v>
      </c>
      <c r="F84" s="52"/>
      <c r="G84" s="52"/>
      <c r="H84" s="52">
        <f t="shared" ref="H84:H87" si="36">IF(SUM($AC84:$AL84)&gt;0,IF(AND($S61=H$7,H15=0),1-SUM($AC84:$AL84),AF84) + N("Advanced mode field time"),
IF($Z61,H75,IF($AA61=H$7,$AB61,IF($S61=H$7,1-$AB61,0)))) + N("Basic mode field time")</f>
        <v>0.2</v>
      </c>
      <c r="I84" s="52"/>
      <c r="J84" s="52"/>
      <c r="K84" s="52">
        <f t="shared" ref="K84:K87" si="37">IF(SUM($AC84:$AL84)&gt;0,IF(AND($S61=K$7,K15=0),1-SUM($AC84:$AL84),AI84) + N("Advanced mode field time"),
IF($Z61,K75,IF($AA61=K$7,$AB61,IF($S61=K$7,1-$AB61,0)))) + N("Basic mode field time")</f>
        <v>0.2</v>
      </c>
      <c r="L84" s="52"/>
      <c r="M84" s="52"/>
      <c r="N84" s="52">
        <f t="shared" ref="N84:N87" si="38">IF(SUM($AC84:$AL84)&gt;0,IF(AND($S61=N$7,N15=0),1-SUM($AC84:$AL84),AL84) + N("Advanced mode field time"),
IF($Z61,N75,IF($AA61=N$7,$AB61,IF($S61=N$7,1-$AB61,0)))) + N("Basic mode field time")</f>
        <v>0.1</v>
      </c>
      <c r="O84" s="50"/>
      <c r="P84" s="50"/>
      <c r="Q84" s="55"/>
      <c r="R84" s="21"/>
      <c r="S84" s="53"/>
      <c r="T84" s="53"/>
      <c r="U84" s="53"/>
      <c r="V84" s="53"/>
      <c r="W84" s="53"/>
      <c r="X84" s="53"/>
      <c r="Y84" s="66"/>
      <c r="Z84" s="66"/>
      <c r="AA84" s="66"/>
      <c r="AB84" s="53"/>
      <c r="AC84" s="52">
        <f t="shared" si="30"/>
        <v>0</v>
      </c>
      <c r="AD84" s="52"/>
      <c r="AE84" s="52"/>
      <c r="AF84" s="52">
        <f t="shared" si="31"/>
        <v>0</v>
      </c>
      <c r="AG84" s="52"/>
      <c r="AH84" s="52"/>
      <c r="AI84" s="52">
        <f t="shared" si="32"/>
        <v>0</v>
      </c>
      <c r="AJ84" s="52"/>
      <c r="AK84" s="52"/>
      <c r="AL84" s="52">
        <f t="shared" si="33"/>
        <v>0</v>
      </c>
      <c r="AM84" s="53"/>
      <c r="AN84" s="53"/>
      <c r="AO84" s="4"/>
      <c r="AP84" s="4"/>
      <c r="AQ84" s="4"/>
      <c r="AR84" s="4"/>
      <c r="AS84" s="4"/>
    </row>
    <row r="85" spans="1:45" ht="14.25" customHeight="1" x14ac:dyDescent="0.25">
      <c r="A85" s="1"/>
      <c r="B85" s="7" t="str">
        <f t="shared" si="34"/>
        <v>Feed from Xiao primary skill</v>
      </c>
      <c r="C85" s="7"/>
      <c r="D85" s="7"/>
      <c r="E85" s="34">
        <f t="shared" si="35"/>
        <v>0</v>
      </c>
      <c r="F85" s="34"/>
      <c r="G85" s="34"/>
      <c r="H85" s="34">
        <f t="shared" si="36"/>
        <v>0.5</v>
      </c>
      <c r="I85" s="34"/>
      <c r="J85" s="34"/>
      <c r="K85" s="34">
        <f t="shared" si="37"/>
        <v>0</v>
      </c>
      <c r="L85" s="34"/>
      <c r="M85" s="34"/>
      <c r="N85" s="34">
        <f t="shared" si="38"/>
        <v>0</v>
      </c>
      <c r="O85" s="7"/>
      <c r="P85" s="7"/>
      <c r="Q85" s="21"/>
      <c r="R85" s="55"/>
      <c r="S85" s="4"/>
      <c r="T85" s="4"/>
      <c r="U85" s="4"/>
      <c r="V85" s="4"/>
      <c r="W85" s="4"/>
      <c r="X85" s="4"/>
      <c r="Y85" s="32"/>
      <c r="Z85" s="32"/>
      <c r="AA85" s="32"/>
      <c r="AB85" s="4"/>
      <c r="AC85" s="34">
        <f t="shared" si="30"/>
        <v>0</v>
      </c>
      <c r="AD85" s="34"/>
      <c r="AE85" s="34"/>
      <c r="AF85" s="34">
        <f t="shared" si="31"/>
        <v>0</v>
      </c>
      <c r="AG85" s="34"/>
      <c r="AH85" s="34"/>
      <c r="AI85" s="34">
        <f t="shared" si="32"/>
        <v>0</v>
      </c>
      <c r="AJ85" s="34"/>
      <c r="AK85" s="34"/>
      <c r="AL85" s="34">
        <f t="shared" si="33"/>
        <v>0</v>
      </c>
      <c r="AM85" s="4"/>
      <c r="AN85" s="4"/>
      <c r="AO85" s="4"/>
      <c r="AP85" s="4"/>
      <c r="AQ85" s="4"/>
      <c r="AR85" s="4"/>
      <c r="AS85" s="4"/>
    </row>
    <row r="86" spans="1:45" ht="14.25" customHeight="1" x14ac:dyDescent="0.25">
      <c r="A86" s="1"/>
      <c r="B86" s="7" t="str">
        <f t="shared" si="34"/>
        <v>Feed from Zhongli primary skill</v>
      </c>
      <c r="C86" s="7"/>
      <c r="D86" s="7"/>
      <c r="E86" s="34">
        <f t="shared" si="35"/>
        <v>0.5</v>
      </c>
      <c r="F86" s="34"/>
      <c r="G86" s="34"/>
      <c r="H86" s="34">
        <f t="shared" si="36"/>
        <v>0.2</v>
      </c>
      <c r="I86" s="34"/>
      <c r="J86" s="34"/>
      <c r="K86" s="34">
        <f t="shared" si="37"/>
        <v>0.2</v>
      </c>
      <c r="L86" s="34"/>
      <c r="M86" s="34"/>
      <c r="N86" s="34">
        <f t="shared" si="38"/>
        <v>0.1</v>
      </c>
      <c r="O86" s="7"/>
      <c r="P86" s="7"/>
      <c r="Q86" s="21"/>
      <c r="R86" s="21"/>
      <c r="S86" s="4"/>
      <c r="T86" s="4"/>
      <c r="U86" s="4"/>
      <c r="V86" s="4"/>
      <c r="W86" s="4"/>
      <c r="X86" s="4"/>
      <c r="Y86" s="32"/>
      <c r="Z86" s="32"/>
      <c r="AA86" s="32"/>
      <c r="AB86" s="4"/>
      <c r="AC86" s="34">
        <f t="shared" si="30"/>
        <v>0</v>
      </c>
      <c r="AD86" s="34"/>
      <c r="AE86" s="34"/>
      <c r="AF86" s="34">
        <f t="shared" si="31"/>
        <v>0</v>
      </c>
      <c r="AG86" s="34"/>
      <c r="AH86" s="34"/>
      <c r="AI86" s="34">
        <f t="shared" si="32"/>
        <v>0</v>
      </c>
      <c r="AJ86" s="34"/>
      <c r="AK86" s="34"/>
      <c r="AL86" s="34">
        <f t="shared" si="33"/>
        <v>0</v>
      </c>
      <c r="AM86" s="4"/>
      <c r="AN86" s="4"/>
      <c r="AO86" s="4"/>
      <c r="AP86" s="4"/>
      <c r="AQ86" s="4"/>
      <c r="AR86" s="4"/>
      <c r="AS86" s="4"/>
    </row>
    <row r="87" spans="1:45" ht="14.25" customHeight="1" x14ac:dyDescent="0.25">
      <c r="A87" s="1"/>
      <c r="B87" s="7" t="str">
        <f t="shared" si="34"/>
        <v>Feed from Kazuha primary skill</v>
      </c>
      <c r="C87" s="7"/>
      <c r="D87" s="7"/>
      <c r="E87" s="59">
        <f t="shared" si="35"/>
        <v>0</v>
      </c>
      <c r="F87" s="59"/>
      <c r="G87" s="59"/>
      <c r="H87" s="59">
        <f t="shared" si="36"/>
        <v>1</v>
      </c>
      <c r="I87" s="59"/>
      <c r="J87" s="59"/>
      <c r="K87" s="59">
        <f t="shared" si="37"/>
        <v>0</v>
      </c>
      <c r="L87" s="59"/>
      <c r="M87" s="59"/>
      <c r="N87" s="59">
        <f t="shared" si="38"/>
        <v>0</v>
      </c>
      <c r="O87" s="7"/>
      <c r="P87" s="7"/>
      <c r="Q87" s="21"/>
      <c r="R87" s="21"/>
      <c r="S87" s="4"/>
      <c r="T87" s="4"/>
      <c r="U87" s="4"/>
      <c r="V87" s="4"/>
      <c r="W87" s="4"/>
      <c r="X87" s="4"/>
      <c r="Y87" s="32"/>
      <c r="Z87" s="32"/>
      <c r="AA87" s="32"/>
      <c r="AB87" s="4"/>
      <c r="AC87" s="34">
        <f t="shared" si="30"/>
        <v>0</v>
      </c>
      <c r="AD87" s="34"/>
      <c r="AE87" s="34"/>
      <c r="AF87" s="34">
        <f t="shared" si="31"/>
        <v>0</v>
      </c>
      <c r="AG87" s="34"/>
      <c r="AH87" s="34"/>
      <c r="AI87" s="34">
        <f t="shared" si="32"/>
        <v>0</v>
      </c>
      <c r="AJ87" s="34"/>
      <c r="AK87" s="34"/>
      <c r="AL87" s="34">
        <f t="shared" si="33"/>
        <v>0</v>
      </c>
      <c r="AM87" s="4"/>
      <c r="AN87" s="4"/>
      <c r="AO87" s="4"/>
      <c r="AP87" s="4"/>
      <c r="AQ87" s="4"/>
      <c r="AR87" s="4"/>
      <c r="AS87" s="4"/>
    </row>
    <row r="88" spans="1:45" ht="14.25" customHeight="1" x14ac:dyDescent="0.25">
      <c r="A88" s="1"/>
      <c r="B88" s="50" t="str">
        <f t="shared" ref="B88:B91" si="39">"Feed from " &amp; S61 &amp; " secondary skill"</f>
        <v>Feed from Chiori secondary skill</v>
      </c>
      <c r="C88" s="50"/>
      <c r="D88" s="50"/>
      <c r="E88" s="52">
        <f t="shared" ref="E88:E91" si="40">IF(SUM($AC88:$AL88)&gt;0,IF(AND($S65=E$7,E19=0),1-SUM($AC88:$AL88),AC88) + N("Advanced mode field time"),
IF($Z65,E75,IF($AA65=E$7,$AB65,IF($S65=E$7,1-$AB65,0)))) + N("Basic mode field time")</f>
        <v>0.5</v>
      </c>
      <c r="F88" s="52"/>
      <c r="G88" s="52"/>
      <c r="H88" s="52">
        <f t="shared" ref="H88:H91" si="41">IF(SUM($AC88:$AL88)&gt;0,IF(AND($S65=H$7,H19=0),1-SUM($AC88:$AL88),AF88) + N("Advanced mode field time"),
IF($Z65,H75,IF($AA65=H$7,$AB65,IF($S65=H$7,1-$AB65,0)))) + N("Basic mode field time")</f>
        <v>0.2</v>
      </c>
      <c r="I88" s="52"/>
      <c r="J88" s="52"/>
      <c r="K88" s="52">
        <f t="shared" ref="K88:K91" si="42">IF(SUM($AC88:$AL88)&gt;0,IF(AND($S65=K$7,K19=0),1-SUM($AC88:$AL88),AI88) + N("Advanced mode field time"),
IF($Z65,K75,IF($AA65=K$7,$AB65,IF($S65=K$7,1-$AB65,0)))) + N("Basic mode field time")</f>
        <v>0.2</v>
      </c>
      <c r="L88" s="52"/>
      <c r="M88" s="52"/>
      <c r="N88" s="52">
        <f t="shared" ref="N88:N91" si="43">IF(SUM($AC88:$AL88)&gt;0,IF(AND($S65=N$7,N19=0),1-SUM($AC88:$AL88),AL88) + N("Advanced mode field time"),
IF($Z65,N75,IF($AA65=N$7,$AB65,IF($S65=N$7,1-$AB65,0)))) + N("Basic mode field time")</f>
        <v>0.1</v>
      </c>
      <c r="O88" s="50"/>
      <c r="P88" s="50"/>
      <c r="Q88" s="55"/>
      <c r="R88" s="21"/>
      <c r="S88" s="53"/>
      <c r="T88" s="53"/>
      <c r="U88" s="53"/>
      <c r="V88" s="53"/>
      <c r="W88" s="53"/>
      <c r="X88" s="53"/>
      <c r="Y88" s="66"/>
      <c r="Z88" s="66"/>
      <c r="AA88" s="66"/>
      <c r="AB88" s="53"/>
      <c r="AC88" s="52">
        <f t="shared" ref="AC88:AC91" si="44">AG61</f>
        <v>0</v>
      </c>
      <c r="AD88" s="52"/>
      <c r="AE88" s="52"/>
      <c r="AF88" s="52">
        <f t="shared" ref="AF88:AF91" si="45">AH61</f>
        <v>0</v>
      </c>
      <c r="AG88" s="52"/>
      <c r="AH88" s="52"/>
      <c r="AI88" s="52">
        <f t="shared" ref="AI88:AI91" si="46">AI61</f>
        <v>0</v>
      </c>
      <c r="AJ88" s="52"/>
      <c r="AK88" s="52"/>
      <c r="AL88" s="52">
        <f t="shared" ref="AL88:AL91" si="47">AJ61</f>
        <v>0</v>
      </c>
      <c r="AM88" s="53"/>
      <c r="AN88" s="53"/>
      <c r="AO88" s="4"/>
      <c r="AP88" s="4"/>
      <c r="AQ88" s="4"/>
      <c r="AR88" s="4"/>
      <c r="AS88" s="4"/>
    </row>
    <row r="89" spans="1:45" ht="14.25" customHeight="1" x14ac:dyDescent="0.25">
      <c r="A89" s="1"/>
      <c r="B89" s="7" t="str">
        <f t="shared" si="39"/>
        <v>Feed from Xiao secondary skill</v>
      </c>
      <c r="C89" s="7"/>
      <c r="D89" s="7"/>
      <c r="E89" s="34">
        <f t="shared" si="40"/>
        <v>0</v>
      </c>
      <c r="F89" s="34"/>
      <c r="G89" s="34"/>
      <c r="H89" s="34">
        <f t="shared" si="41"/>
        <v>0.5</v>
      </c>
      <c r="I89" s="34"/>
      <c r="J89" s="34"/>
      <c r="K89" s="34">
        <f t="shared" si="42"/>
        <v>0</v>
      </c>
      <c r="L89" s="34"/>
      <c r="M89" s="34"/>
      <c r="N89" s="34">
        <f t="shared" si="43"/>
        <v>0</v>
      </c>
      <c r="O89" s="7"/>
      <c r="P89" s="7"/>
      <c r="Q89" s="21"/>
      <c r="R89" s="55"/>
      <c r="S89" s="4"/>
      <c r="T89" s="4"/>
      <c r="U89" s="4"/>
      <c r="V89" s="4"/>
      <c r="W89" s="4"/>
      <c r="X89" s="4"/>
      <c r="Y89" s="32"/>
      <c r="Z89" s="32"/>
      <c r="AA89" s="32"/>
      <c r="AB89" s="4"/>
      <c r="AC89" s="34">
        <f t="shared" si="44"/>
        <v>0</v>
      </c>
      <c r="AD89" s="34"/>
      <c r="AE89" s="34"/>
      <c r="AF89" s="34">
        <f t="shared" si="45"/>
        <v>0</v>
      </c>
      <c r="AG89" s="34"/>
      <c r="AH89" s="34"/>
      <c r="AI89" s="34">
        <f t="shared" si="46"/>
        <v>0</v>
      </c>
      <c r="AJ89" s="34"/>
      <c r="AK89" s="34"/>
      <c r="AL89" s="34">
        <f t="shared" si="47"/>
        <v>0</v>
      </c>
      <c r="AM89" s="4"/>
      <c r="AN89" s="4"/>
      <c r="AO89" s="4"/>
      <c r="AP89" s="4"/>
      <c r="AQ89" s="4"/>
      <c r="AR89" s="4"/>
      <c r="AS89" s="4"/>
    </row>
    <row r="90" spans="1:45" ht="14.25" customHeight="1" x14ac:dyDescent="0.25">
      <c r="A90" s="1"/>
      <c r="B90" s="7" t="str">
        <f t="shared" si="39"/>
        <v>Feed from Zhongli secondary skill</v>
      </c>
      <c r="C90" s="7"/>
      <c r="D90" s="7"/>
      <c r="E90" s="34">
        <f t="shared" si="40"/>
        <v>0</v>
      </c>
      <c r="F90" s="34"/>
      <c r="G90" s="34"/>
      <c r="H90" s="34">
        <f t="shared" si="41"/>
        <v>0</v>
      </c>
      <c r="I90" s="34"/>
      <c r="J90" s="34"/>
      <c r="K90" s="34">
        <f t="shared" si="42"/>
        <v>1</v>
      </c>
      <c r="L90" s="34"/>
      <c r="M90" s="34"/>
      <c r="N90" s="34">
        <f t="shared" si="43"/>
        <v>0</v>
      </c>
      <c r="O90" s="7"/>
      <c r="P90" s="7"/>
      <c r="Q90" s="21"/>
      <c r="R90" s="21"/>
      <c r="S90" s="4"/>
      <c r="T90" s="4"/>
      <c r="U90" s="4"/>
      <c r="V90" s="4"/>
      <c r="W90" s="4"/>
      <c r="X90" s="4"/>
      <c r="Y90" s="32"/>
      <c r="Z90" s="32"/>
      <c r="AA90" s="32"/>
      <c r="AB90" s="4"/>
      <c r="AC90" s="34">
        <f t="shared" si="44"/>
        <v>0</v>
      </c>
      <c r="AD90" s="34"/>
      <c r="AE90" s="34"/>
      <c r="AF90" s="34">
        <f t="shared" si="45"/>
        <v>0</v>
      </c>
      <c r="AG90" s="34"/>
      <c r="AH90" s="34"/>
      <c r="AI90" s="34">
        <f t="shared" si="46"/>
        <v>0</v>
      </c>
      <c r="AJ90" s="34"/>
      <c r="AK90" s="34"/>
      <c r="AL90" s="34">
        <f t="shared" si="47"/>
        <v>0</v>
      </c>
      <c r="AM90" s="4"/>
      <c r="AN90" s="4"/>
      <c r="AO90" s="4"/>
      <c r="AP90" s="4"/>
      <c r="AQ90" s="4"/>
      <c r="AR90" s="4"/>
      <c r="AS90" s="4"/>
    </row>
    <row r="91" spans="1:45" ht="14.25" customHeight="1" x14ac:dyDescent="0.25">
      <c r="A91" s="1"/>
      <c r="B91" s="7" t="str">
        <f t="shared" si="39"/>
        <v>Feed from Kazuha secondary skill</v>
      </c>
      <c r="C91" s="7"/>
      <c r="D91" s="7"/>
      <c r="E91" s="59">
        <f t="shared" si="40"/>
        <v>0</v>
      </c>
      <c r="F91" s="59"/>
      <c r="G91" s="59"/>
      <c r="H91" s="59">
        <f t="shared" si="41"/>
        <v>1</v>
      </c>
      <c r="I91" s="59"/>
      <c r="J91" s="59"/>
      <c r="K91" s="59">
        <f t="shared" si="42"/>
        <v>0</v>
      </c>
      <c r="L91" s="59"/>
      <c r="M91" s="59"/>
      <c r="N91" s="59">
        <f t="shared" si="43"/>
        <v>0</v>
      </c>
      <c r="O91" s="7"/>
      <c r="P91" s="7"/>
      <c r="Q91" s="21"/>
      <c r="R91" s="21"/>
      <c r="S91" s="4"/>
      <c r="T91" s="4"/>
      <c r="U91" s="4"/>
      <c r="V91" s="4"/>
      <c r="W91" s="4"/>
      <c r="X91" s="4"/>
      <c r="Y91" s="32"/>
      <c r="Z91" s="32"/>
      <c r="AA91" s="32"/>
      <c r="AB91" s="4"/>
      <c r="AC91" s="34">
        <f t="shared" si="44"/>
        <v>0</v>
      </c>
      <c r="AD91" s="34"/>
      <c r="AE91" s="34"/>
      <c r="AF91" s="34">
        <f t="shared" si="45"/>
        <v>0</v>
      </c>
      <c r="AG91" s="34"/>
      <c r="AH91" s="34"/>
      <c r="AI91" s="34">
        <f t="shared" si="46"/>
        <v>0</v>
      </c>
      <c r="AJ91" s="34"/>
      <c r="AK91" s="34"/>
      <c r="AL91" s="34">
        <f t="shared" si="47"/>
        <v>0</v>
      </c>
      <c r="AM91" s="4"/>
      <c r="AN91" s="4"/>
      <c r="AO91" s="4"/>
      <c r="AP91" s="4"/>
      <c r="AQ91" s="4"/>
      <c r="AR91" s="4"/>
      <c r="AS91" s="4"/>
    </row>
    <row r="92" spans="1:45" ht="14.25" customHeight="1" x14ac:dyDescent="0.25">
      <c r="A92" s="1"/>
      <c r="B92" s="50" t="str">
        <f t="shared" ref="B92:B95" si="48">"Feed from " &amp; S61 &amp; " Favonius"</f>
        <v>Feed from Chiori Favonius</v>
      </c>
      <c r="C92" s="50"/>
      <c r="D92" s="50"/>
      <c r="E92" s="52">
        <f t="shared" ref="E92:E95" si="49">IF(SUM($AC92:$AL92)&gt;0,IF(AND($S69=E$7,E23=0),1-SUM($AC92:$AL92),AC92) + N("Advanced mode field time"),
IF($Z69,E83,IF($AA69=E$7,$AB69,IF($S69=E$7,1-$AB69,0)))) + N("Basic mode field time")</f>
        <v>1</v>
      </c>
      <c r="F92" s="52"/>
      <c r="G92" s="52"/>
      <c r="H92" s="52">
        <f t="shared" ref="H92:H95" si="50">IF(SUM($AC92:$AL92)&gt;0,IF(AND($S69=H$7,H23=0),1-SUM($AC92:$AL92),AF92) + N("Advanced mode field time"),
IF($Z69,H83,IF($AA69=H$7,$AB69,IF($S69=H$7,1-$AB69,0)))) + N("Basic mode field time")</f>
        <v>0</v>
      </c>
      <c r="I92" s="52"/>
      <c r="J92" s="52"/>
      <c r="K92" s="52">
        <f t="shared" ref="K92:K95" si="51">IF(SUM($AC92:$AL92)&gt;0,IF(AND($S69=K$7,K23=0),1-SUM($AC92:$AL92),AI92) + N("Advanced mode field time"),
IF($Z69,K83,IF($AA69=K$7,$AB69,IF($S69=K$7,1-$AB69,0)))) + N("Basic mode field time")</f>
        <v>0</v>
      </c>
      <c r="L92" s="52"/>
      <c r="M92" s="52"/>
      <c r="N92" s="52">
        <f t="shared" ref="N92:N95" si="52">IF(SUM($AC92:$AL92)&gt;0,IF(AND($S69=N$7,N23=0),1-SUM($AC92:$AL92),AL92) + N("Advanced mode field time"),
IF($Z69,N83,IF($AA69=N$7,$AB69,IF($S69=N$7,1-$AB69,0)))) + N("Basic mode field time")</f>
        <v>0</v>
      </c>
      <c r="O92" s="50"/>
      <c r="P92" s="50"/>
      <c r="Q92" s="55"/>
      <c r="R92" s="21"/>
      <c r="S92" s="53"/>
      <c r="T92" s="53"/>
      <c r="U92" s="53"/>
      <c r="V92" s="53"/>
      <c r="W92" s="53"/>
      <c r="X92" s="53"/>
      <c r="Y92" s="66"/>
      <c r="Z92" s="66"/>
      <c r="AA92" s="66"/>
      <c r="AB92" s="53"/>
      <c r="AC92" s="52">
        <f t="shared" ref="AC92:AC95" si="53">AK61</f>
        <v>0</v>
      </c>
      <c r="AD92" s="52"/>
      <c r="AE92" s="52"/>
      <c r="AF92" s="52">
        <f t="shared" ref="AF92:AF95" si="54">AL61</f>
        <v>0</v>
      </c>
      <c r="AG92" s="52"/>
      <c r="AH92" s="52"/>
      <c r="AI92" s="52">
        <f t="shared" ref="AI92:AI95" si="55">AM61</f>
        <v>0</v>
      </c>
      <c r="AJ92" s="52"/>
      <c r="AK92" s="52"/>
      <c r="AL92" s="52">
        <f t="shared" ref="AL92:AL95" si="56">AN61</f>
        <v>0</v>
      </c>
      <c r="AM92" s="53"/>
      <c r="AN92" s="53"/>
      <c r="AO92" s="4"/>
      <c r="AP92" s="4"/>
      <c r="AQ92" s="4"/>
      <c r="AR92" s="4"/>
      <c r="AS92" s="4"/>
    </row>
    <row r="93" spans="1:45" ht="14.25" customHeight="1" x14ac:dyDescent="0.25">
      <c r="A93" s="1"/>
      <c r="B93" s="7" t="str">
        <f t="shared" si="48"/>
        <v>Feed from Xiao Favonius</v>
      </c>
      <c r="C93" s="7"/>
      <c r="D93" s="7"/>
      <c r="E93" s="34">
        <f t="shared" si="49"/>
        <v>0</v>
      </c>
      <c r="F93" s="34"/>
      <c r="G93" s="34"/>
      <c r="H93" s="34">
        <f t="shared" si="50"/>
        <v>0.5</v>
      </c>
      <c r="I93" s="34"/>
      <c r="J93" s="34"/>
      <c r="K93" s="34">
        <f t="shared" si="51"/>
        <v>0</v>
      </c>
      <c r="L93" s="34"/>
      <c r="M93" s="34"/>
      <c r="N93" s="34">
        <f t="shared" si="52"/>
        <v>0</v>
      </c>
      <c r="O93" s="7"/>
      <c r="P93" s="7"/>
      <c r="Q93" s="21"/>
      <c r="R93" s="55"/>
      <c r="S93" s="4"/>
      <c r="T93" s="4"/>
      <c r="U93" s="4"/>
      <c r="V93" s="4"/>
      <c r="W93" s="4"/>
      <c r="X93" s="4"/>
      <c r="Y93" s="32"/>
      <c r="Z93" s="32"/>
      <c r="AA93" s="32"/>
      <c r="AB93" s="4"/>
      <c r="AC93" s="34">
        <f t="shared" si="53"/>
        <v>0</v>
      </c>
      <c r="AD93" s="34"/>
      <c r="AE93" s="34"/>
      <c r="AF93" s="34">
        <f t="shared" si="54"/>
        <v>0</v>
      </c>
      <c r="AG93" s="34"/>
      <c r="AH93" s="34"/>
      <c r="AI93" s="34">
        <f t="shared" si="55"/>
        <v>0</v>
      </c>
      <c r="AJ93" s="34"/>
      <c r="AK93" s="34"/>
      <c r="AL93" s="34">
        <f t="shared" si="56"/>
        <v>0</v>
      </c>
      <c r="AM93" s="4"/>
      <c r="AN93" s="4"/>
      <c r="AO93" s="4"/>
      <c r="AP93" s="4"/>
      <c r="AQ93" s="4"/>
      <c r="AR93" s="4"/>
      <c r="AS93" s="4"/>
    </row>
    <row r="94" spans="1:45" ht="14.25" customHeight="1" x14ac:dyDescent="0.25">
      <c r="A94" s="1"/>
      <c r="B94" s="7" t="str">
        <f t="shared" si="48"/>
        <v>Feed from Zhongli Favonius</v>
      </c>
      <c r="C94" s="7"/>
      <c r="D94" s="7"/>
      <c r="E94" s="34">
        <f t="shared" si="49"/>
        <v>0</v>
      </c>
      <c r="F94" s="34"/>
      <c r="G94" s="34"/>
      <c r="H94" s="34">
        <f t="shared" si="50"/>
        <v>0</v>
      </c>
      <c r="I94" s="34"/>
      <c r="J94" s="34"/>
      <c r="K94" s="34">
        <f t="shared" si="51"/>
        <v>1</v>
      </c>
      <c r="L94" s="34"/>
      <c r="M94" s="34"/>
      <c r="N94" s="34">
        <f t="shared" si="52"/>
        <v>0</v>
      </c>
      <c r="O94" s="7"/>
      <c r="P94" s="7"/>
      <c r="Q94" s="21"/>
      <c r="R94" s="21"/>
      <c r="S94" s="4"/>
      <c r="T94" s="4"/>
      <c r="U94" s="4"/>
      <c r="V94" s="4"/>
      <c r="W94" s="4"/>
      <c r="X94" s="4"/>
      <c r="Y94" s="32"/>
      <c r="Z94" s="32"/>
      <c r="AA94" s="32"/>
      <c r="AB94" s="4"/>
      <c r="AC94" s="34">
        <f t="shared" si="53"/>
        <v>0</v>
      </c>
      <c r="AD94" s="34"/>
      <c r="AE94" s="34"/>
      <c r="AF94" s="34">
        <f t="shared" si="54"/>
        <v>0</v>
      </c>
      <c r="AG94" s="34"/>
      <c r="AH94" s="34"/>
      <c r="AI94" s="34">
        <f t="shared" si="55"/>
        <v>0</v>
      </c>
      <c r="AJ94" s="34"/>
      <c r="AK94" s="34"/>
      <c r="AL94" s="34">
        <f t="shared" si="56"/>
        <v>0</v>
      </c>
      <c r="AM94" s="4"/>
      <c r="AN94" s="4"/>
      <c r="AO94" s="4"/>
      <c r="AP94" s="4"/>
      <c r="AQ94" s="4"/>
      <c r="AR94" s="4"/>
      <c r="AS94" s="4"/>
    </row>
    <row r="95" spans="1:45" ht="14.25" customHeight="1" x14ac:dyDescent="0.25">
      <c r="A95" s="1"/>
      <c r="B95" s="57" t="str">
        <f t="shared" si="48"/>
        <v>Feed from Kazuha Favonius</v>
      </c>
      <c r="C95" s="57"/>
      <c r="D95" s="57"/>
      <c r="E95" s="59">
        <f t="shared" si="49"/>
        <v>0</v>
      </c>
      <c r="F95" s="59"/>
      <c r="G95" s="59"/>
      <c r="H95" s="59">
        <f t="shared" si="50"/>
        <v>1</v>
      </c>
      <c r="I95" s="59"/>
      <c r="J95" s="59"/>
      <c r="K95" s="59">
        <f t="shared" si="51"/>
        <v>0</v>
      </c>
      <c r="L95" s="59"/>
      <c r="M95" s="59"/>
      <c r="N95" s="59">
        <f t="shared" si="52"/>
        <v>0</v>
      </c>
      <c r="O95" s="57"/>
      <c r="P95" s="57"/>
      <c r="Q95" s="61"/>
      <c r="R95" s="21"/>
      <c r="S95" s="60"/>
      <c r="T95" s="60"/>
      <c r="U95" s="60"/>
      <c r="V95" s="60"/>
      <c r="W95" s="60"/>
      <c r="X95" s="60"/>
      <c r="Y95" s="67"/>
      <c r="Z95" s="67"/>
      <c r="AA95" s="67"/>
      <c r="AB95" s="60"/>
      <c r="AC95" s="59">
        <f t="shared" si="53"/>
        <v>0</v>
      </c>
      <c r="AD95" s="59"/>
      <c r="AE95" s="59"/>
      <c r="AF95" s="59">
        <f t="shared" si="54"/>
        <v>0</v>
      </c>
      <c r="AG95" s="59"/>
      <c r="AH95" s="59"/>
      <c r="AI95" s="59">
        <f t="shared" si="55"/>
        <v>0</v>
      </c>
      <c r="AJ95" s="59"/>
      <c r="AK95" s="59"/>
      <c r="AL95" s="59">
        <f t="shared" si="56"/>
        <v>0</v>
      </c>
      <c r="AM95" s="60"/>
      <c r="AN95" s="60"/>
      <c r="AO95" s="4"/>
      <c r="AP95" s="4"/>
      <c r="AQ95" s="4"/>
      <c r="AR95" s="4"/>
      <c r="AS95" s="4"/>
    </row>
    <row r="96" spans="1:45" ht="14.25" customHeight="1" x14ac:dyDescent="0.25">
      <c r="A96" s="1"/>
      <c r="B96" s="7" t="str">
        <f t="shared" ref="B96:B99" si="57">"Particles from " &amp; S61 &amp; " primary skill"</f>
        <v>Particles from Chiori primary skill</v>
      </c>
      <c r="C96" s="7"/>
      <c r="D96" s="7"/>
      <c r="E96" s="32">
        <f t="shared" ref="E96:E107" si="58">$V61 * E$74 * IF($U61 = "Clear", NoElement, IF($U61=E$36, RightElement, WrongElement)) * (E84*OnField + (1-E84)*OffField)</f>
        <v>10.771200000000004</v>
      </c>
      <c r="F96" s="32"/>
      <c r="G96" s="32"/>
      <c r="H96" s="32">
        <f t="shared" ref="H96:H107" si="59">$V61 * H$74 * IF($U61 = "Clear", NoElement, IF($U61=H$36, RightElement, WrongElement)) * (H84*OnField + (1-H84)*OffField)</f>
        <v>3.0518400000000008</v>
      </c>
      <c r="I96" s="32"/>
      <c r="J96" s="32"/>
      <c r="K96" s="32">
        <f t="shared" ref="K96:K107" si="60">$V61 * K$74 * IF($U61 = "Clear", NoElement, IF($U61=K$36, RightElement, WrongElement)) * (K84*OnField + (1-K84)*OffField)</f>
        <v>9.155520000000001</v>
      </c>
      <c r="L96" s="32"/>
      <c r="M96" s="32"/>
      <c r="N96" s="32">
        <f t="shared" ref="N96:N107" si="61">$V61 * N$74 * IF($U61 = "Clear", NoElement, IF($U61=N$36, RightElement, WrongElement)) * (N84*OnField + (1-N84)*OffField)</f>
        <v>2.8723200000000011</v>
      </c>
      <c r="O96" s="7"/>
      <c r="P96" s="7"/>
      <c r="Q96" s="21"/>
      <c r="R96" s="61"/>
      <c r="S96" s="4"/>
      <c r="T96" s="4"/>
      <c r="U96" s="4"/>
      <c r="V96" s="4"/>
      <c r="W96" s="4"/>
      <c r="X96" s="4"/>
      <c r="Y96" s="32"/>
      <c r="Z96" s="32"/>
      <c r="AA96" s="32"/>
      <c r="AB96" s="4"/>
      <c r="AC96" s="34"/>
      <c r="AD96" s="34"/>
      <c r="AE96" s="34"/>
      <c r="AF96" s="34"/>
      <c r="AG96" s="34"/>
      <c r="AH96" s="34"/>
      <c r="AI96" s="34"/>
      <c r="AJ96" s="34"/>
      <c r="AK96" s="34"/>
      <c r="AL96" s="34"/>
      <c r="AM96" s="4"/>
      <c r="AN96" s="4"/>
      <c r="AO96" s="4"/>
      <c r="AP96" s="4"/>
      <c r="AQ96" s="4"/>
      <c r="AR96" s="4"/>
      <c r="AS96" s="4"/>
    </row>
    <row r="97" spans="1:45" ht="14.25" customHeight="1" x14ac:dyDescent="0.25">
      <c r="A97" s="1"/>
      <c r="B97" s="7" t="str">
        <f t="shared" si="57"/>
        <v>Particles from Xiao primary skill</v>
      </c>
      <c r="C97" s="7"/>
      <c r="D97" s="7"/>
      <c r="E97" s="32">
        <f t="shared" si="58"/>
        <v>3.5999999999999996</v>
      </c>
      <c r="F97" s="32"/>
      <c r="G97" s="32"/>
      <c r="H97" s="32">
        <f t="shared" si="59"/>
        <v>14.4</v>
      </c>
      <c r="I97" s="32"/>
      <c r="J97" s="32"/>
      <c r="K97" s="32">
        <f t="shared" si="60"/>
        <v>3.5999999999999996</v>
      </c>
      <c r="L97" s="32"/>
      <c r="M97" s="32"/>
      <c r="N97" s="32">
        <f t="shared" si="61"/>
        <v>10.799999999999999</v>
      </c>
      <c r="O97" s="7"/>
      <c r="P97" s="7"/>
      <c r="Q97" s="21"/>
      <c r="R97" s="21"/>
      <c r="S97" s="4"/>
      <c r="T97" s="4"/>
      <c r="U97" s="4"/>
      <c r="V97" s="4"/>
      <c r="W97" s="4"/>
      <c r="X97" s="4"/>
      <c r="Y97" s="32"/>
      <c r="Z97" s="32"/>
      <c r="AA97" s="32"/>
      <c r="AB97" s="4"/>
      <c r="AC97" s="34"/>
      <c r="AD97" s="34"/>
      <c r="AE97" s="34"/>
      <c r="AF97" s="34"/>
      <c r="AG97" s="34"/>
      <c r="AH97" s="34"/>
      <c r="AI97" s="34"/>
      <c r="AJ97" s="34"/>
      <c r="AK97" s="34"/>
      <c r="AL97" s="34"/>
      <c r="AM97" s="4"/>
      <c r="AN97" s="4"/>
      <c r="AO97" s="4"/>
      <c r="AP97" s="4"/>
      <c r="AQ97" s="4"/>
      <c r="AR97" s="4"/>
      <c r="AS97" s="4"/>
    </row>
    <row r="98" spans="1:45" ht="14.25" customHeight="1" x14ac:dyDescent="0.25">
      <c r="A98" s="1"/>
      <c r="B98" s="7" t="str">
        <f t="shared" si="57"/>
        <v>Particles from Zhongli primary skill</v>
      </c>
      <c r="C98" s="7"/>
      <c r="D98" s="7"/>
      <c r="E98" s="32">
        <f t="shared" si="58"/>
        <v>6</v>
      </c>
      <c r="F98" s="32"/>
      <c r="G98" s="32"/>
      <c r="H98" s="32">
        <f t="shared" si="59"/>
        <v>1.6999999999999997</v>
      </c>
      <c r="I98" s="32"/>
      <c r="J98" s="32"/>
      <c r="K98" s="32">
        <f t="shared" si="60"/>
        <v>5.0999999999999996</v>
      </c>
      <c r="L98" s="32"/>
      <c r="M98" s="32"/>
      <c r="N98" s="32">
        <f t="shared" si="61"/>
        <v>1.6</v>
      </c>
      <c r="O98" s="7"/>
      <c r="P98" s="7"/>
      <c r="Q98" s="21"/>
      <c r="R98" s="21"/>
      <c r="S98" s="4"/>
      <c r="T98" s="4"/>
      <c r="U98" s="4"/>
      <c r="V98" s="4"/>
      <c r="W98" s="4"/>
      <c r="X98" s="4"/>
      <c r="Y98" s="32"/>
      <c r="Z98" s="32"/>
      <c r="AA98" s="32"/>
      <c r="AB98" s="4"/>
      <c r="AC98" s="34"/>
      <c r="AD98" s="34"/>
      <c r="AE98" s="34"/>
      <c r="AF98" s="34"/>
      <c r="AG98" s="34"/>
      <c r="AH98" s="34"/>
      <c r="AI98" s="34"/>
      <c r="AJ98" s="34"/>
      <c r="AK98" s="34"/>
      <c r="AL98" s="34"/>
      <c r="AM98" s="4"/>
      <c r="AN98" s="4"/>
      <c r="AO98" s="4"/>
      <c r="AP98" s="4"/>
      <c r="AQ98" s="4"/>
      <c r="AR98" s="4"/>
      <c r="AS98" s="4"/>
    </row>
    <row r="99" spans="1:45" ht="14.25" customHeight="1" x14ac:dyDescent="0.25">
      <c r="A99" s="1"/>
      <c r="B99" s="57" t="str">
        <f t="shared" si="57"/>
        <v>Particles from Kazuha primary skill</v>
      </c>
      <c r="C99" s="57"/>
      <c r="D99" s="57"/>
      <c r="E99" s="67">
        <f t="shared" si="58"/>
        <v>2.4</v>
      </c>
      <c r="F99" s="67"/>
      <c r="G99" s="67"/>
      <c r="H99" s="67">
        <f t="shared" si="59"/>
        <v>12</v>
      </c>
      <c r="I99" s="67"/>
      <c r="J99" s="67"/>
      <c r="K99" s="67">
        <f t="shared" si="60"/>
        <v>2.4</v>
      </c>
      <c r="L99" s="67"/>
      <c r="M99" s="67"/>
      <c r="N99" s="67">
        <f t="shared" si="61"/>
        <v>7.1999999999999993</v>
      </c>
      <c r="O99" s="57"/>
      <c r="P99" s="57"/>
      <c r="Q99" s="61"/>
      <c r="R99" s="21"/>
      <c r="S99" s="60"/>
      <c r="T99" s="60"/>
      <c r="U99" s="60"/>
      <c r="V99" s="60"/>
      <c r="W99" s="60"/>
      <c r="X99" s="60"/>
      <c r="Y99" s="67"/>
      <c r="Z99" s="67"/>
      <c r="AA99" s="67"/>
      <c r="AB99" s="60"/>
      <c r="AC99" s="59"/>
      <c r="AD99" s="59"/>
      <c r="AE99" s="59"/>
      <c r="AF99" s="59"/>
      <c r="AG99" s="59"/>
      <c r="AH99" s="59"/>
      <c r="AI99" s="59"/>
      <c r="AJ99" s="59"/>
      <c r="AK99" s="59"/>
      <c r="AL99" s="59"/>
      <c r="AM99" s="60"/>
      <c r="AN99" s="60"/>
      <c r="AO99" s="4"/>
      <c r="AP99" s="4"/>
      <c r="AQ99" s="4"/>
      <c r="AR99" s="4"/>
      <c r="AS99" s="4"/>
    </row>
    <row r="100" spans="1:45" ht="14.25" customHeight="1" x14ac:dyDescent="0.25">
      <c r="A100" s="1"/>
      <c r="B100" s="7" t="str">
        <f t="shared" ref="B100:B103" si="62">"Particles from " &amp; S65 &amp; " secondary skill"</f>
        <v>Particles from Chiori secondary skill</v>
      </c>
      <c r="C100" s="7"/>
      <c r="D100" s="7"/>
      <c r="E100" s="32">
        <f t="shared" si="58"/>
        <v>1.9008000000000003</v>
      </c>
      <c r="F100" s="32"/>
      <c r="G100" s="32"/>
      <c r="H100" s="32">
        <f t="shared" si="59"/>
        <v>0.53855999999999993</v>
      </c>
      <c r="I100" s="32"/>
      <c r="J100" s="32"/>
      <c r="K100" s="32">
        <f t="shared" si="60"/>
        <v>1.61568</v>
      </c>
      <c r="L100" s="32"/>
      <c r="M100" s="32"/>
      <c r="N100" s="32">
        <f t="shared" si="61"/>
        <v>0.50688</v>
      </c>
      <c r="O100" s="7"/>
      <c r="P100" s="7"/>
      <c r="Q100" s="21"/>
      <c r="R100" s="61"/>
      <c r="S100" s="4"/>
      <c r="T100" s="4"/>
      <c r="U100" s="4"/>
      <c r="V100" s="4"/>
      <c r="W100" s="4"/>
      <c r="X100" s="4"/>
      <c r="Y100" s="32"/>
      <c r="Z100" s="32"/>
      <c r="AA100" s="32"/>
      <c r="AB100" s="4"/>
      <c r="AC100" s="34"/>
      <c r="AD100" s="34"/>
      <c r="AE100" s="34"/>
      <c r="AF100" s="34"/>
      <c r="AG100" s="34"/>
      <c r="AH100" s="34"/>
      <c r="AI100" s="34"/>
      <c r="AJ100" s="34"/>
      <c r="AK100" s="34"/>
      <c r="AL100" s="34"/>
      <c r="AM100" s="4"/>
      <c r="AN100" s="4"/>
      <c r="AO100" s="4"/>
      <c r="AP100" s="4"/>
      <c r="AQ100" s="4"/>
      <c r="AR100" s="4"/>
      <c r="AS100" s="4"/>
    </row>
    <row r="101" spans="1:45" ht="14.25" customHeight="1" x14ac:dyDescent="0.25">
      <c r="A101" s="1"/>
      <c r="B101" s="7" t="str">
        <f t="shared" si="62"/>
        <v>Particles from Xiao secondary skill</v>
      </c>
      <c r="C101" s="7"/>
      <c r="D101" s="7"/>
      <c r="E101" s="32">
        <f t="shared" si="58"/>
        <v>0</v>
      </c>
      <c r="F101" s="32"/>
      <c r="G101" s="32"/>
      <c r="H101" s="32">
        <f t="shared" si="59"/>
        <v>0</v>
      </c>
      <c r="I101" s="32"/>
      <c r="J101" s="32"/>
      <c r="K101" s="32">
        <f t="shared" si="60"/>
        <v>0</v>
      </c>
      <c r="L101" s="32"/>
      <c r="M101" s="32"/>
      <c r="N101" s="32">
        <f t="shared" si="61"/>
        <v>0</v>
      </c>
      <c r="O101" s="7"/>
      <c r="P101" s="7"/>
      <c r="Q101" s="21"/>
      <c r="R101" s="21"/>
      <c r="S101" s="4"/>
      <c r="T101" s="4"/>
      <c r="U101" s="4"/>
      <c r="V101" s="4"/>
      <c r="W101" s="4"/>
      <c r="X101" s="4"/>
      <c r="Y101" s="32"/>
      <c r="Z101" s="32"/>
      <c r="AA101" s="32"/>
      <c r="AB101" s="4"/>
      <c r="AC101" s="34"/>
      <c r="AD101" s="34"/>
      <c r="AE101" s="34"/>
      <c r="AF101" s="34"/>
      <c r="AG101" s="34"/>
      <c r="AH101" s="34"/>
      <c r="AI101" s="34"/>
      <c r="AJ101" s="34"/>
      <c r="AK101" s="34"/>
      <c r="AL101" s="34"/>
      <c r="AM101" s="4"/>
      <c r="AN101" s="4"/>
      <c r="AO101" s="4"/>
      <c r="AP101" s="4"/>
      <c r="AQ101" s="4"/>
      <c r="AR101" s="4"/>
      <c r="AS101" s="4"/>
    </row>
    <row r="102" spans="1:45" ht="14.25" customHeight="1" x14ac:dyDescent="0.25">
      <c r="A102" s="1"/>
      <c r="B102" s="7" t="str">
        <f t="shared" si="62"/>
        <v>Particles from Zhongli secondary skill</v>
      </c>
      <c r="C102" s="7"/>
      <c r="D102" s="7"/>
      <c r="E102" s="32">
        <f t="shared" si="58"/>
        <v>0</v>
      </c>
      <c r="F102" s="32"/>
      <c r="G102" s="32"/>
      <c r="H102" s="32">
        <f t="shared" si="59"/>
        <v>0</v>
      </c>
      <c r="I102" s="32"/>
      <c r="J102" s="32"/>
      <c r="K102" s="32">
        <f t="shared" si="60"/>
        <v>0</v>
      </c>
      <c r="L102" s="32"/>
      <c r="M102" s="32"/>
      <c r="N102" s="32">
        <f t="shared" si="61"/>
        <v>0</v>
      </c>
      <c r="O102" s="7"/>
      <c r="P102" s="7"/>
      <c r="Q102" s="21"/>
      <c r="R102" s="21"/>
      <c r="S102" s="4"/>
      <c r="T102" s="4"/>
      <c r="U102" s="4"/>
      <c r="V102" s="4"/>
      <c r="W102" s="4"/>
      <c r="X102" s="4"/>
      <c r="Y102" s="32"/>
      <c r="Z102" s="32"/>
      <c r="AA102" s="32"/>
      <c r="AB102" s="4"/>
      <c r="AC102" s="34"/>
      <c r="AD102" s="34"/>
      <c r="AE102" s="34"/>
      <c r="AF102" s="34"/>
      <c r="AG102" s="34"/>
      <c r="AH102" s="34"/>
      <c r="AI102" s="34"/>
      <c r="AJ102" s="34"/>
      <c r="AK102" s="34"/>
      <c r="AL102" s="34"/>
      <c r="AM102" s="4"/>
      <c r="AN102" s="4"/>
      <c r="AO102" s="4"/>
      <c r="AP102" s="4"/>
      <c r="AQ102" s="4"/>
      <c r="AR102" s="4"/>
      <c r="AS102" s="4"/>
    </row>
    <row r="103" spans="1:45" ht="14.25" customHeight="1" x14ac:dyDescent="0.25">
      <c r="A103" s="1"/>
      <c r="B103" s="57" t="str">
        <f t="shared" si="62"/>
        <v>Particles from Kazuha secondary skill</v>
      </c>
      <c r="C103" s="57"/>
      <c r="D103" s="57"/>
      <c r="E103" s="67">
        <f t="shared" si="58"/>
        <v>1.7999999999999998</v>
      </c>
      <c r="F103" s="67"/>
      <c r="G103" s="67"/>
      <c r="H103" s="67">
        <f t="shared" si="59"/>
        <v>9</v>
      </c>
      <c r="I103" s="67"/>
      <c r="J103" s="67"/>
      <c r="K103" s="67">
        <f t="shared" si="60"/>
        <v>1.7999999999999998</v>
      </c>
      <c r="L103" s="67"/>
      <c r="M103" s="67"/>
      <c r="N103" s="67">
        <f t="shared" si="61"/>
        <v>5.3999999999999995</v>
      </c>
      <c r="O103" s="57"/>
      <c r="P103" s="57"/>
      <c r="Q103" s="61"/>
      <c r="R103" s="21"/>
      <c r="S103" s="60"/>
      <c r="T103" s="60"/>
      <c r="U103" s="60"/>
      <c r="V103" s="60"/>
      <c r="W103" s="60"/>
      <c r="X103" s="60"/>
      <c r="Y103" s="67"/>
      <c r="Z103" s="67"/>
      <c r="AA103" s="67"/>
      <c r="AB103" s="60"/>
      <c r="AC103" s="59"/>
      <c r="AD103" s="59"/>
      <c r="AE103" s="59"/>
      <c r="AF103" s="59"/>
      <c r="AG103" s="59"/>
      <c r="AH103" s="59"/>
      <c r="AI103" s="59"/>
      <c r="AJ103" s="59"/>
      <c r="AK103" s="59"/>
      <c r="AL103" s="59"/>
      <c r="AM103" s="60"/>
      <c r="AN103" s="60"/>
      <c r="AO103" s="4"/>
      <c r="AP103" s="4"/>
      <c r="AQ103" s="4"/>
      <c r="AR103" s="4"/>
      <c r="AS103" s="4"/>
    </row>
    <row r="104" spans="1:45" ht="14.25" customHeight="1" x14ac:dyDescent="0.25">
      <c r="A104" s="1"/>
      <c r="B104" s="7" t="str">
        <f t="shared" ref="B104:B107" si="63">"Particles from " &amp; S69 &amp; " Favonius"</f>
        <v>Particles from Chiori Favonius</v>
      </c>
      <c r="C104" s="7"/>
      <c r="D104" s="7"/>
      <c r="E104" s="32">
        <f t="shared" si="58"/>
        <v>0</v>
      </c>
      <c r="F104" s="32"/>
      <c r="G104" s="32"/>
      <c r="H104" s="32">
        <f t="shared" si="59"/>
        <v>0</v>
      </c>
      <c r="I104" s="32"/>
      <c r="J104" s="32"/>
      <c r="K104" s="32">
        <f t="shared" si="60"/>
        <v>0</v>
      </c>
      <c r="L104" s="32"/>
      <c r="M104" s="32"/>
      <c r="N104" s="32">
        <f t="shared" si="61"/>
        <v>0</v>
      </c>
      <c r="O104" s="7"/>
      <c r="P104" s="7"/>
      <c r="Q104" s="21"/>
      <c r="R104" s="61"/>
      <c r="S104" s="4"/>
      <c r="T104" s="4"/>
      <c r="U104" s="4"/>
      <c r="V104" s="4"/>
      <c r="W104" s="4"/>
      <c r="X104" s="4"/>
      <c r="Y104" s="32"/>
      <c r="Z104" s="32"/>
      <c r="AA104" s="32"/>
      <c r="AB104" s="4"/>
      <c r="AC104" s="34"/>
      <c r="AD104" s="34"/>
      <c r="AE104" s="34"/>
      <c r="AF104" s="34"/>
      <c r="AG104" s="34"/>
      <c r="AH104" s="34"/>
      <c r="AI104" s="34"/>
      <c r="AJ104" s="34"/>
      <c r="AK104" s="34"/>
      <c r="AL104" s="34"/>
      <c r="AM104" s="4"/>
      <c r="AN104" s="4"/>
      <c r="AO104" s="4"/>
      <c r="AP104" s="4"/>
      <c r="AQ104" s="4"/>
      <c r="AR104" s="4"/>
      <c r="AS104" s="4"/>
    </row>
    <row r="105" spans="1:45" ht="14.25" customHeight="1" x14ac:dyDescent="0.25">
      <c r="A105" s="1"/>
      <c r="B105" s="7" t="str">
        <f t="shared" si="63"/>
        <v>Particles from Xiao Favonius</v>
      </c>
      <c r="C105" s="7"/>
      <c r="D105" s="7"/>
      <c r="E105" s="32">
        <f t="shared" si="58"/>
        <v>0</v>
      </c>
      <c r="F105" s="32"/>
      <c r="G105" s="32"/>
      <c r="H105" s="32">
        <f t="shared" si="59"/>
        <v>0</v>
      </c>
      <c r="I105" s="32"/>
      <c r="J105" s="32"/>
      <c r="K105" s="32">
        <f t="shared" si="60"/>
        <v>0</v>
      </c>
      <c r="L105" s="32"/>
      <c r="M105" s="32"/>
      <c r="N105" s="32">
        <f t="shared" si="61"/>
        <v>0</v>
      </c>
      <c r="O105" s="7"/>
      <c r="P105" s="7"/>
      <c r="Q105" s="21"/>
      <c r="R105" s="21"/>
      <c r="S105" s="4"/>
      <c r="T105" s="4"/>
      <c r="U105" s="4"/>
      <c r="V105" s="4"/>
      <c r="W105" s="4"/>
      <c r="X105" s="4"/>
      <c r="Y105" s="32"/>
      <c r="Z105" s="32"/>
      <c r="AA105" s="32"/>
      <c r="AB105" s="4"/>
      <c r="AC105" s="34"/>
      <c r="AD105" s="34"/>
      <c r="AE105" s="34"/>
      <c r="AF105" s="34"/>
      <c r="AG105" s="34"/>
      <c r="AH105" s="34"/>
      <c r="AI105" s="34"/>
      <c r="AJ105" s="34"/>
      <c r="AK105" s="34"/>
      <c r="AL105" s="34"/>
      <c r="AM105" s="4"/>
      <c r="AN105" s="4"/>
      <c r="AO105" s="4"/>
      <c r="AP105" s="4"/>
      <c r="AQ105" s="4"/>
      <c r="AR105" s="4"/>
      <c r="AS105" s="4"/>
    </row>
    <row r="106" spans="1:45" ht="14.25" customHeight="1" x14ac:dyDescent="0.25">
      <c r="A106" s="1"/>
      <c r="B106" s="7" t="str">
        <f t="shared" si="63"/>
        <v>Particles from Zhongli Favonius</v>
      </c>
      <c r="C106" s="7"/>
      <c r="D106" s="7"/>
      <c r="E106" s="32">
        <f t="shared" si="58"/>
        <v>3.5999999999999996</v>
      </c>
      <c r="F106" s="32"/>
      <c r="G106" s="32"/>
      <c r="H106" s="32">
        <f t="shared" si="59"/>
        <v>3.5999999999999996</v>
      </c>
      <c r="I106" s="32"/>
      <c r="J106" s="32"/>
      <c r="K106" s="32">
        <f t="shared" si="60"/>
        <v>6</v>
      </c>
      <c r="L106" s="32"/>
      <c r="M106" s="32"/>
      <c r="N106" s="32">
        <f t="shared" si="61"/>
        <v>3.5999999999999996</v>
      </c>
      <c r="O106" s="7"/>
      <c r="P106" s="7"/>
      <c r="Q106" s="21"/>
      <c r="R106" s="21"/>
      <c r="S106" s="4"/>
      <c r="T106" s="4"/>
      <c r="U106" s="4"/>
      <c r="V106" s="4"/>
      <c r="W106" s="4"/>
      <c r="X106" s="4"/>
      <c r="Y106" s="32"/>
      <c r="Z106" s="32"/>
      <c r="AA106" s="32"/>
      <c r="AB106" s="4"/>
      <c r="AC106" s="34"/>
      <c r="AD106" s="34"/>
      <c r="AE106" s="34"/>
      <c r="AF106" s="34"/>
      <c r="AG106" s="34"/>
      <c r="AH106" s="34"/>
      <c r="AI106" s="34"/>
      <c r="AJ106" s="34"/>
      <c r="AK106" s="34"/>
      <c r="AL106" s="34"/>
      <c r="AM106" s="4"/>
      <c r="AN106" s="4"/>
      <c r="AO106" s="4"/>
      <c r="AP106" s="4"/>
      <c r="AQ106" s="4"/>
      <c r="AR106" s="4"/>
      <c r="AS106" s="4"/>
    </row>
    <row r="107" spans="1:45" ht="14.25" customHeight="1" x14ac:dyDescent="0.25">
      <c r="A107" s="1"/>
      <c r="B107" s="57" t="str">
        <f t="shared" si="63"/>
        <v>Particles from Kazuha Favonius</v>
      </c>
      <c r="C107" s="57"/>
      <c r="D107" s="57"/>
      <c r="E107" s="67">
        <f t="shared" si="58"/>
        <v>0</v>
      </c>
      <c r="F107" s="67"/>
      <c r="G107" s="67"/>
      <c r="H107" s="67">
        <f t="shared" si="59"/>
        <v>0</v>
      </c>
      <c r="I107" s="67"/>
      <c r="J107" s="67"/>
      <c r="K107" s="67">
        <f t="shared" si="60"/>
        <v>0</v>
      </c>
      <c r="L107" s="67"/>
      <c r="M107" s="67"/>
      <c r="N107" s="67">
        <f t="shared" si="61"/>
        <v>0</v>
      </c>
      <c r="O107" s="57"/>
      <c r="P107" s="57"/>
      <c r="Q107" s="61"/>
      <c r="R107" s="21"/>
      <c r="S107" s="60"/>
      <c r="T107" s="60"/>
      <c r="U107" s="60"/>
      <c r="V107" s="60"/>
      <c r="W107" s="60"/>
      <c r="X107" s="60"/>
      <c r="Y107" s="67"/>
      <c r="Z107" s="67"/>
      <c r="AA107" s="67"/>
      <c r="AB107" s="60"/>
      <c r="AC107" s="59"/>
      <c r="AD107" s="59"/>
      <c r="AE107" s="59"/>
      <c r="AF107" s="59"/>
      <c r="AG107" s="59"/>
      <c r="AH107" s="59"/>
      <c r="AI107" s="59"/>
      <c r="AJ107" s="59"/>
      <c r="AK107" s="59"/>
      <c r="AL107" s="59"/>
      <c r="AM107" s="60"/>
      <c r="AN107" s="60"/>
      <c r="AO107" s="4"/>
      <c r="AP107" s="4"/>
      <c r="AQ107" s="4"/>
      <c r="AR107" s="4"/>
      <c r="AS107" s="4"/>
    </row>
    <row r="108" spans="1:45" ht="14.25" customHeight="1" x14ac:dyDescent="0.25">
      <c r="A108" s="1"/>
      <c r="B108" s="7" t="s">
        <v>100</v>
      </c>
      <c r="C108" s="7"/>
      <c r="D108" s="7"/>
      <c r="E108" s="18"/>
      <c r="F108" s="18"/>
      <c r="G108" s="18"/>
      <c r="H108" s="18"/>
      <c r="I108" s="18"/>
      <c r="J108" s="18"/>
      <c r="K108" s="18"/>
      <c r="L108" s="18"/>
      <c r="M108" s="18"/>
      <c r="N108" s="18"/>
      <c r="O108" s="18"/>
      <c r="P108" s="1"/>
      <c r="Q108" s="21"/>
      <c r="R108" s="61"/>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row>
    <row r="109" spans="1:45" ht="14.25" customHeight="1" x14ac:dyDescent="0.25">
      <c r="A109" s="1"/>
      <c r="B109" s="7" t="s">
        <v>101</v>
      </c>
      <c r="C109" s="7"/>
      <c r="D109" s="7"/>
      <c r="E109" s="18" t="str">
        <f t="array" ref="E109">INDEX(Data!$C$2:$C$106,MATCH('Energy Recharge Calculator'!E$7,Data!$A$2:$A$106,0))</f>
        <v>Press</v>
      </c>
      <c r="F109" s="18"/>
      <c r="G109" s="18"/>
      <c r="H109" s="18" t="str">
        <f t="array" ref="H109">INDEX(Data!$C$2:$C$106,MATCH('Energy Recharge Calculator'!H$7,Data!$A$2:$A$106,0))</f>
        <v>Press</v>
      </c>
      <c r="I109" s="18"/>
      <c r="J109" s="18"/>
      <c r="K109" s="18" t="str">
        <f t="array" ref="K109">INDEX(Data!$C$2:$C$106,MATCH('Energy Recharge Calculator'!K$7,Data!$A$2:$A$106,0))</f>
        <v>Press</v>
      </c>
      <c r="L109" s="18"/>
      <c r="M109" s="18"/>
      <c r="N109" s="18" t="str">
        <f t="array" ref="N109">INDEX(Data!$C$2:$C$106,MATCH('Energy Recharge Calculator'!N$7,Data!$A$2:$A$106,0))</f>
        <v>Press</v>
      </c>
      <c r="O109" s="18"/>
      <c r="P109" s="1"/>
      <c r="Q109" s="21"/>
      <c r="R109" s="21"/>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row>
    <row r="110" spans="1:45" ht="14.25" customHeight="1" x14ac:dyDescent="0.25">
      <c r="A110" s="1"/>
      <c r="B110" s="7" t="s">
        <v>102</v>
      </c>
      <c r="C110" s="7"/>
      <c r="D110" s="7"/>
      <c r="E110" s="18" t="str">
        <f t="array" ref="E110">INDEX(Data!$D$2:$D$106,MATCH('Energy Recharge Calculator'!E$7,Data!$A$2:$A$106,0))</f>
        <v>Hold</v>
      </c>
      <c r="F110" s="18"/>
      <c r="G110" s="18"/>
      <c r="H110" s="18" t="str">
        <f t="array" ref="H110">INDEX(Data!$D$2:$D$106,MATCH('Energy Recharge Calculator'!H$7,Data!$A$2:$A$106,0))</f>
        <v/>
      </c>
      <c r="I110" s="18"/>
      <c r="J110" s="18"/>
      <c r="K110" s="18" t="str">
        <f t="array" ref="K110">INDEX(Data!$D$2:$D$106,MATCH('Energy Recharge Calculator'!K$7,Data!$A$2:$A$106,0))</f>
        <v>Hold</v>
      </c>
      <c r="L110" s="18"/>
      <c r="M110" s="18"/>
      <c r="N110" s="18" t="str">
        <f t="array" ref="N110">INDEX(Data!$D$2:$D$106,MATCH('Energy Recharge Calculator'!N$7,Data!$A$2:$A$106,0))</f>
        <v>Hold</v>
      </c>
      <c r="O110" s="18"/>
      <c r="P110" s="1"/>
      <c r="Q110" s="21"/>
      <c r="R110" s="21"/>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row>
    <row r="111" spans="1:45" ht="14.25" customHeight="1" x14ac:dyDescent="0.25">
      <c r="A111" s="1"/>
      <c r="B111" s="7" t="s">
        <v>103</v>
      </c>
      <c r="C111" s="7"/>
      <c r="D111" s="7"/>
      <c r="E111" s="18">
        <f t="array" ref="E111">INDEX(Data!$E$2:$E$106,MATCH('Energy Recharge Calculator'!E$7,Data!$A$2:$A$106,0))</f>
        <v>0</v>
      </c>
      <c r="F111" s="18"/>
      <c r="G111" s="18"/>
      <c r="H111" s="18" t="str">
        <f t="array" ref="H111">INDEX(Data!$E$2:$E$106,MATCH('Energy Recharge Calculator'!H$7,Data!$A$2:$A$106,0))</f>
        <v/>
      </c>
      <c r="I111" s="18"/>
      <c r="J111" s="18"/>
      <c r="K111" s="18" t="str">
        <f t="array" ref="K111">INDEX(Data!$E$2:$E$106,MATCH('Energy Recharge Calculator'!K$7,Data!$A$2:$A$106,0))</f>
        <v>Miss pillar</v>
      </c>
      <c r="L111" s="18"/>
      <c r="M111" s="18"/>
      <c r="N111" s="18" t="str">
        <f t="array" ref="N111">INDEX(Data!$E$2:$E$106,MATCH('Energy Recharge Calculator'!N$7,Data!$A$2:$A$106,0))</f>
        <v/>
      </c>
      <c r="O111" s="18"/>
      <c r="P111" s="1"/>
      <c r="Q111" s="21"/>
      <c r="R111" s="21"/>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row>
    <row r="112" spans="1:45" ht="14.25" customHeight="1" x14ac:dyDescent="0.25">
      <c r="A112" s="1"/>
      <c r="B112" s="7" t="s">
        <v>37</v>
      </c>
      <c r="C112" s="7"/>
      <c r="D112" s="7"/>
      <c r="E112" s="34">
        <f>IF(ISBLANK(E27),1,E27)</f>
        <v>1</v>
      </c>
      <c r="F112" s="34"/>
      <c r="G112" s="4"/>
      <c r="H112" s="34">
        <f>IF(ISBLANK(H27),1,H27)</f>
        <v>0.5</v>
      </c>
      <c r="I112" s="34"/>
      <c r="J112" s="4"/>
      <c r="K112" s="34">
        <f>IF(ISBLANK(K27),1,K27)</f>
        <v>1</v>
      </c>
      <c r="L112" s="34"/>
      <c r="M112" s="4"/>
      <c r="N112" s="34">
        <f>IF(ISBLANK(N27),1,N27)</f>
        <v>1</v>
      </c>
      <c r="O112" s="34"/>
      <c r="P112" s="1"/>
      <c r="Q112" s="21"/>
      <c r="R112" s="21"/>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row>
    <row r="113" spans="1:45" ht="14.25" customHeight="1" x14ac:dyDescent="0.25">
      <c r="A113" s="1"/>
      <c r="B113" s="4"/>
      <c r="C113" s="4"/>
      <c r="D113" s="4"/>
      <c r="E113" s="4"/>
      <c r="F113" s="4"/>
      <c r="G113" s="1"/>
      <c r="H113" s="4"/>
      <c r="I113" s="4"/>
      <c r="J113" s="1"/>
      <c r="K113" s="4"/>
      <c r="L113" s="4"/>
      <c r="M113" s="1"/>
      <c r="N113" s="4"/>
      <c r="O113" s="4"/>
      <c r="P113" s="4"/>
      <c r="Q113" s="19"/>
      <c r="R113" s="21"/>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row>
    <row r="114" spans="1:45" ht="14.25" customHeight="1" x14ac:dyDescent="0.25">
      <c r="G114" s="68"/>
      <c r="J114" s="68"/>
      <c r="M114" s="68"/>
    </row>
    <row r="115" spans="1:45" ht="14.25" customHeight="1" x14ac:dyDescent="0.5">
      <c r="B115" s="168"/>
      <c r="C115" s="152"/>
      <c r="D115" s="152"/>
      <c r="E115" s="152"/>
      <c r="F115" s="152"/>
      <c r="G115" s="152"/>
      <c r="H115" s="152"/>
      <c r="I115" s="152"/>
      <c r="J115" s="152"/>
      <c r="K115" s="152"/>
      <c r="L115" s="152"/>
      <c r="M115" s="152"/>
      <c r="N115" s="134"/>
      <c r="O115" s="69"/>
    </row>
    <row r="116" spans="1:45" ht="14.25" customHeight="1" x14ac:dyDescent="0.25">
      <c r="G116" s="68"/>
      <c r="J116" s="68"/>
      <c r="M116" s="68"/>
    </row>
    <row r="117" spans="1:45" ht="14.25" customHeight="1" x14ac:dyDescent="0.25">
      <c r="B117" s="169" t="s">
        <v>104</v>
      </c>
      <c r="C117" s="170"/>
      <c r="D117" s="170"/>
      <c r="E117" s="171"/>
      <c r="G117" s="68"/>
      <c r="J117" s="68"/>
      <c r="M117" s="68"/>
    </row>
    <row r="118" spans="1:45" ht="14.25" customHeight="1" x14ac:dyDescent="0.25">
      <c r="B118" s="169" t="s">
        <v>105</v>
      </c>
      <c r="C118" s="170"/>
      <c r="D118" s="170"/>
      <c r="E118" s="171"/>
      <c r="F118" s="70"/>
      <c r="H118" s="172" t="s">
        <v>106</v>
      </c>
      <c r="I118" s="154"/>
      <c r="J118" s="154"/>
      <c r="K118" s="154"/>
    </row>
    <row r="119" spans="1:45" ht="14.25" customHeight="1" x14ac:dyDescent="0.25">
      <c r="B119" s="169" t="s">
        <v>107</v>
      </c>
      <c r="C119" s="170"/>
      <c r="D119" s="170"/>
      <c r="E119" s="171"/>
      <c r="F119" s="70"/>
      <c r="H119" s="71"/>
      <c r="I119" s="71"/>
      <c r="J119" s="71"/>
      <c r="K119" s="71"/>
    </row>
    <row r="120" spans="1:45" ht="14.25" customHeight="1" x14ac:dyDescent="0.25">
      <c r="B120" s="174" t="s">
        <v>108</v>
      </c>
      <c r="C120" s="170"/>
      <c r="D120" s="170"/>
      <c r="E120" s="171"/>
      <c r="F120" s="70"/>
      <c r="H120" s="71"/>
      <c r="I120" s="71"/>
      <c r="J120" s="71"/>
      <c r="K120" s="71"/>
    </row>
    <row r="121" spans="1:45" ht="14.25" customHeight="1" x14ac:dyDescent="0.25">
      <c r="B121" s="175" t="s">
        <v>109</v>
      </c>
      <c r="C121" s="170"/>
      <c r="D121" s="170"/>
      <c r="E121" s="171"/>
      <c r="F121" s="72"/>
      <c r="H121" s="68" t="s">
        <v>110</v>
      </c>
      <c r="I121" s="68"/>
      <c r="J121" s="68"/>
      <c r="K121" s="68">
        <v>10</v>
      </c>
    </row>
    <row r="122" spans="1:45" ht="14.25" customHeight="1" x14ac:dyDescent="0.25">
      <c r="B122" s="73" t="s">
        <v>111</v>
      </c>
      <c r="C122" s="176" t="s">
        <v>112</v>
      </c>
      <c r="D122" s="170"/>
      <c r="E122" s="171"/>
      <c r="F122" s="74"/>
      <c r="H122" s="68" t="s">
        <v>113</v>
      </c>
      <c r="I122" s="68"/>
      <c r="J122" s="68"/>
      <c r="K122" s="75">
        <v>2.2000000000000002</v>
      </c>
    </row>
    <row r="123" spans="1:45" ht="14.25" customHeight="1" x14ac:dyDescent="0.25">
      <c r="B123" s="73" t="s">
        <v>114</v>
      </c>
      <c r="C123" s="176" t="str">
        <f ca="1">IFERROR(__xludf.DUMMYFUNCTION("(ARRAY_CONSTRAIN(ARRAYFORMULA(IMPORTRANGE(""https://docs.google.com/spreadsheets/d/1-vkmgp5n0bI9pvhUg110Aza3Emb2puLWdeoCgrxDlu4"", ""Energy Recharge Calculator!AR1"")), 1, 1))"),"1.62.0")</f>
        <v>1.62.0</v>
      </c>
      <c r="D123" s="170"/>
      <c r="E123" s="171"/>
      <c r="F123" s="74"/>
      <c r="H123" s="68" t="s">
        <v>115</v>
      </c>
      <c r="I123" s="68"/>
      <c r="J123" s="68"/>
      <c r="K123" s="76">
        <f>(1.5+0.1*MIN(10,K121)) * (1+0.6*(K122-100%)) * 5</f>
        <v>21.500000000000004</v>
      </c>
    </row>
    <row r="124" spans="1:45" ht="15" customHeight="1" x14ac:dyDescent="0.25">
      <c r="B124" s="77" t="s">
        <v>116</v>
      </c>
      <c r="C124" s="177" t="s">
        <v>117</v>
      </c>
      <c r="D124" s="170"/>
      <c r="E124" s="171"/>
      <c r="F124" s="78"/>
    </row>
    <row r="125" spans="1:45" ht="14.25" customHeight="1" x14ac:dyDescent="0.25"/>
    <row r="126" spans="1:45" ht="14.25" customHeight="1" x14ac:dyDescent="0.25">
      <c r="B126" s="79" t="s">
        <v>118</v>
      </c>
      <c r="C126" s="80" t="s">
        <v>119</v>
      </c>
      <c r="D126" s="80"/>
      <c r="E126" s="80" t="s">
        <v>120</v>
      </c>
      <c r="F126" s="80"/>
      <c r="G126" s="80"/>
      <c r="H126" s="80" t="s">
        <v>121</v>
      </c>
      <c r="I126" s="80"/>
      <c r="J126" s="80"/>
      <c r="K126" s="80" t="s">
        <v>122</v>
      </c>
      <c r="L126" s="80"/>
      <c r="M126" s="80"/>
      <c r="N126" s="80" t="s">
        <v>123</v>
      </c>
      <c r="O126" s="80"/>
      <c r="P126" s="32"/>
    </row>
    <row r="127" spans="1:45" ht="14.25" customHeight="1" x14ac:dyDescent="0.25">
      <c r="B127" s="80" t="s">
        <v>124</v>
      </c>
      <c r="C127" s="81" t="s">
        <v>125</v>
      </c>
      <c r="D127" s="81"/>
      <c r="E127" s="81" t="s">
        <v>126</v>
      </c>
      <c r="F127" s="81"/>
      <c r="G127" s="81"/>
      <c r="H127" s="81" t="s">
        <v>127</v>
      </c>
      <c r="I127" s="81"/>
      <c r="J127" s="81"/>
      <c r="K127" s="81" t="s">
        <v>128</v>
      </c>
      <c r="L127" s="81"/>
      <c r="M127" s="81"/>
      <c r="N127" s="81" t="s">
        <v>129</v>
      </c>
      <c r="O127" s="81"/>
      <c r="P127" s="32"/>
    </row>
    <row r="128" spans="1:45" ht="14.25" customHeight="1" x14ac:dyDescent="0.25">
      <c r="B128" s="80" t="s">
        <v>130</v>
      </c>
      <c r="C128" s="81" t="s">
        <v>131</v>
      </c>
      <c r="D128" s="81"/>
      <c r="E128" s="81" t="s">
        <v>132</v>
      </c>
      <c r="F128" s="81"/>
      <c r="G128" s="81"/>
      <c r="H128" s="81" t="s">
        <v>133</v>
      </c>
      <c r="I128" s="81"/>
      <c r="J128" s="81"/>
      <c r="K128" s="81" t="s">
        <v>134</v>
      </c>
      <c r="L128" s="81"/>
      <c r="M128" s="81"/>
      <c r="N128" s="81" t="s">
        <v>135</v>
      </c>
      <c r="O128" s="81"/>
      <c r="P128" s="32"/>
    </row>
    <row r="129" spans="2:18" ht="14.25" customHeight="1" x14ac:dyDescent="0.25">
      <c r="B129" s="80" t="s">
        <v>136</v>
      </c>
      <c r="C129" s="81" t="s">
        <v>131</v>
      </c>
      <c r="D129" s="81"/>
      <c r="E129" s="81" t="s">
        <v>132</v>
      </c>
      <c r="F129" s="81"/>
      <c r="G129" s="81"/>
      <c r="H129" s="81" t="s">
        <v>133</v>
      </c>
      <c r="I129" s="81"/>
      <c r="J129" s="81"/>
      <c r="K129" s="81" t="s">
        <v>134</v>
      </c>
      <c r="L129" s="81"/>
      <c r="M129" s="81"/>
      <c r="N129" s="81" t="s">
        <v>135</v>
      </c>
      <c r="O129" s="81"/>
      <c r="P129" s="32"/>
    </row>
    <row r="130" spans="2:18" ht="14.25" customHeight="1" x14ac:dyDescent="0.25">
      <c r="B130" s="80" t="s">
        <v>137</v>
      </c>
      <c r="C130" s="81">
        <v>12</v>
      </c>
      <c r="D130" s="81"/>
      <c r="E130" s="81">
        <v>13.5</v>
      </c>
      <c r="F130" s="81"/>
      <c r="G130" s="81"/>
      <c r="H130" s="81">
        <v>15</v>
      </c>
      <c r="I130" s="81"/>
      <c r="J130" s="81"/>
      <c r="K130" s="81">
        <v>16.5</v>
      </c>
      <c r="L130" s="81"/>
      <c r="M130" s="81"/>
      <c r="N130" s="81">
        <v>18</v>
      </c>
      <c r="O130" s="81"/>
      <c r="P130" s="32"/>
      <c r="R130" s="11" t="s">
        <v>138</v>
      </c>
    </row>
    <row r="131" spans="2:18" ht="14.25" customHeight="1" x14ac:dyDescent="0.25">
      <c r="B131" s="80" t="s">
        <v>139</v>
      </c>
      <c r="C131" s="81" t="s">
        <v>140</v>
      </c>
      <c r="D131" s="81"/>
      <c r="E131" s="81" t="s">
        <v>140</v>
      </c>
      <c r="F131" s="81"/>
      <c r="G131" s="81"/>
      <c r="H131" s="81" t="s">
        <v>140</v>
      </c>
      <c r="I131" s="81"/>
      <c r="J131" s="81"/>
      <c r="K131" s="81" t="s">
        <v>140</v>
      </c>
      <c r="L131" s="81"/>
      <c r="M131" s="81"/>
      <c r="N131" s="81" t="s">
        <v>140</v>
      </c>
      <c r="O131" s="81"/>
      <c r="P131" s="32"/>
    </row>
    <row r="132" spans="2:18" ht="14.25" customHeight="1" x14ac:dyDescent="0.25">
      <c r="B132" s="80" t="s">
        <v>141</v>
      </c>
      <c r="C132" s="173" t="s">
        <v>142</v>
      </c>
      <c r="D132" s="152"/>
      <c r="E132" s="152"/>
      <c r="F132" s="152"/>
      <c r="G132" s="152"/>
      <c r="H132" s="152"/>
      <c r="I132" s="152"/>
      <c r="J132" s="152"/>
      <c r="K132" s="152"/>
      <c r="L132" s="152"/>
      <c r="M132" s="152"/>
      <c r="N132" s="134"/>
      <c r="O132" s="81"/>
      <c r="P132" s="32"/>
    </row>
    <row r="133" spans="2:18" ht="14.25" customHeight="1" x14ac:dyDescent="0.25">
      <c r="B133" s="80" t="s">
        <v>143</v>
      </c>
      <c r="C133" s="82" t="s">
        <v>144</v>
      </c>
      <c r="D133" s="81"/>
      <c r="E133" s="81"/>
      <c r="F133" s="81"/>
      <c r="G133" s="81"/>
      <c r="H133" s="81"/>
      <c r="I133" s="81"/>
      <c r="J133" s="81"/>
      <c r="K133" s="81"/>
      <c r="L133" s="81"/>
      <c r="M133" s="81"/>
      <c r="N133" s="81"/>
      <c r="O133" s="81"/>
      <c r="P133" s="32"/>
    </row>
    <row r="134" spans="2:18" ht="14.25" customHeight="1" x14ac:dyDescent="0.25">
      <c r="B134" s="80" t="s">
        <v>145</v>
      </c>
      <c r="C134" s="173" t="s">
        <v>146</v>
      </c>
      <c r="D134" s="152"/>
      <c r="E134" s="152"/>
      <c r="F134" s="152"/>
      <c r="G134" s="152"/>
      <c r="H134" s="152"/>
      <c r="I134" s="152"/>
      <c r="J134" s="152"/>
      <c r="K134" s="152"/>
      <c r="L134" s="152"/>
      <c r="M134" s="152"/>
      <c r="N134" s="134"/>
      <c r="O134" s="81"/>
      <c r="P134" s="32"/>
    </row>
    <row r="135" spans="2:18" ht="14.25" customHeight="1" x14ac:dyDescent="0.25">
      <c r="B135" s="80" t="s">
        <v>147</v>
      </c>
      <c r="C135" s="173" t="s">
        <v>148</v>
      </c>
      <c r="D135" s="152"/>
      <c r="E135" s="152"/>
      <c r="F135" s="152"/>
      <c r="G135" s="152"/>
      <c r="H135" s="152"/>
      <c r="I135" s="152"/>
      <c r="J135" s="152"/>
      <c r="K135" s="152"/>
      <c r="L135" s="152"/>
      <c r="M135" s="152"/>
      <c r="N135" s="134"/>
      <c r="O135" s="81"/>
      <c r="P135" s="32"/>
    </row>
    <row r="136" spans="2:18" ht="14.25" customHeight="1" x14ac:dyDescent="0.25">
      <c r="B136" s="80" t="s">
        <v>149</v>
      </c>
      <c r="C136" s="173" t="s">
        <v>150</v>
      </c>
      <c r="D136" s="152"/>
      <c r="E136" s="152"/>
      <c r="F136" s="152"/>
      <c r="G136" s="152"/>
      <c r="H136" s="152"/>
      <c r="I136" s="152"/>
      <c r="J136" s="152"/>
      <c r="K136" s="152"/>
      <c r="L136" s="152"/>
      <c r="M136" s="152"/>
      <c r="N136" s="134"/>
      <c r="O136" s="81"/>
      <c r="P136" s="32"/>
    </row>
    <row r="137" spans="2:18" ht="14.25" customHeight="1" x14ac:dyDescent="0.25">
      <c r="B137" s="80" t="s">
        <v>151</v>
      </c>
      <c r="C137" s="83" t="s">
        <v>152</v>
      </c>
      <c r="D137" s="80"/>
      <c r="E137" s="80"/>
      <c r="F137" s="80"/>
      <c r="G137" s="80"/>
      <c r="H137" s="80"/>
      <c r="I137" s="80"/>
      <c r="J137" s="80"/>
      <c r="K137" s="80"/>
      <c r="L137" s="80"/>
      <c r="M137" s="80"/>
      <c r="N137" s="80"/>
      <c r="O137" s="80"/>
      <c r="P137" s="80"/>
    </row>
    <row r="138" spans="2:18" ht="14.25" customHeight="1" x14ac:dyDescent="0.25">
      <c r="B138" s="84"/>
      <c r="C138" s="84"/>
      <c r="D138" s="84"/>
      <c r="E138" s="84"/>
      <c r="F138" s="84"/>
      <c r="G138" s="85"/>
      <c r="H138" s="84"/>
      <c r="I138" s="84"/>
      <c r="J138" s="85"/>
      <c r="K138" s="84"/>
      <c r="L138" s="84"/>
      <c r="M138" s="85"/>
      <c r="N138" s="84"/>
      <c r="O138" s="84"/>
    </row>
    <row r="139" spans="2:18" ht="14.25" customHeight="1" x14ac:dyDescent="0.25">
      <c r="G139" s="68"/>
      <c r="J139" s="68"/>
      <c r="M139" s="68"/>
    </row>
    <row r="140" spans="2:18" ht="14.25" customHeight="1" x14ac:dyDescent="0.25">
      <c r="G140" s="68"/>
      <c r="J140" s="68"/>
      <c r="M140" s="68"/>
    </row>
    <row r="141" spans="2:18" ht="14.25" customHeight="1" x14ac:dyDescent="0.25">
      <c r="G141" s="68"/>
      <c r="J141" s="68"/>
      <c r="M141" s="68"/>
    </row>
    <row r="142" spans="2:18" ht="14.25" customHeight="1" x14ac:dyDescent="0.25">
      <c r="G142" s="68"/>
      <c r="J142" s="68"/>
      <c r="M142" s="68"/>
    </row>
    <row r="143" spans="2:18" ht="14.25" customHeight="1" x14ac:dyDescent="0.25">
      <c r="G143" s="68"/>
      <c r="J143" s="68"/>
      <c r="M143" s="68"/>
    </row>
    <row r="144" spans="2:18" ht="14.25" customHeight="1" x14ac:dyDescent="0.25">
      <c r="G144" s="68"/>
      <c r="J144" s="68"/>
      <c r="M144" s="68"/>
    </row>
    <row r="145" spans="7:13" ht="14.25" customHeight="1" x14ac:dyDescent="0.25">
      <c r="G145" s="68"/>
      <c r="J145" s="68"/>
      <c r="M145" s="68"/>
    </row>
    <row r="146" spans="7:13" ht="14.25" customHeight="1" x14ac:dyDescent="0.25">
      <c r="G146" s="68"/>
      <c r="J146" s="68"/>
      <c r="M146" s="68"/>
    </row>
    <row r="147" spans="7:13" ht="14.25" customHeight="1" x14ac:dyDescent="0.25">
      <c r="G147" s="68"/>
      <c r="J147" s="68"/>
      <c r="M147" s="68"/>
    </row>
    <row r="148" spans="7:13" ht="14.25" customHeight="1" x14ac:dyDescent="0.25">
      <c r="G148" s="68"/>
      <c r="J148" s="68"/>
      <c r="M148" s="68"/>
    </row>
    <row r="149" spans="7:13" ht="14.25" customHeight="1" x14ac:dyDescent="0.25">
      <c r="G149" s="68"/>
      <c r="J149" s="68"/>
      <c r="M149" s="68"/>
    </row>
    <row r="150" spans="7:13" ht="14.25" customHeight="1" x14ac:dyDescent="0.25">
      <c r="G150" s="68"/>
      <c r="J150" s="68"/>
      <c r="M150" s="68"/>
    </row>
    <row r="151" spans="7:13" ht="14.25" customHeight="1" x14ac:dyDescent="0.25">
      <c r="G151" s="68"/>
      <c r="J151" s="68"/>
      <c r="M151" s="68"/>
    </row>
    <row r="152" spans="7:13" ht="14.25" customHeight="1" x14ac:dyDescent="0.25">
      <c r="G152" s="68"/>
      <c r="J152" s="68"/>
      <c r="M152" s="68"/>
    </row>
    <row r="153" spans="7:13" ht="14.25" customHeight="1" x14ac:dyDescent="0.25">
      <c r="G153" s="68"/>
      <c r="J153" s="68"/>
      <c r="M153" s="68"/>
    </row>
    <row r="154" spans="7:13" ht="14.25" customHeight="1" x14ac:dyDescent="0.25">
      <c r="G154" s="68"/>
      <c r="J154" s="68"/>
      <c r="M154" s="68"/>
    </row>
    <row r="155" spans="7:13" ht="14.25" customHeight="1" x14ac:dyDescent="0.25">
      <c r="G155" s="68"/>
      <c r="J155" s="68"/>
      <c r="M155" s="68"/>
    </row>
    <row r="156" spans="7:13" ht="14.25" customHeight="1" x14ac:dyDescent="0.25">
      <c r="G156" s="68"/>
      <c r="J156" s="68"/>
      <c r="M156" s="68"/>
    </row>
    <row r="157" spans="7:13" ht="14.25" customHeight="1" x14ac:dyDescent="0.25">
      <c r="G157" s="68"/>
      <c r="J157" s="68"/>
      <c r="M157" s="68"/>
    </row>
    <row r="158" spans="7:13" ht="14.25" customHeight="1" x14ac:dyDescent="0.25">
      <c r="G158" s="68"/>
      <c r="J158" s="68"/>
      <c r="M158" s="68"/>
    </row>
    <row r="159" spans="7:13" ht="14.25" customHeight="1" x14ac:dyDescent="0.25">
      <c r="G159" s="68"/>
      <c r="J159" s="68"/>
      <c r="M159" s="68"/>
    </row>
    <row r="160" spans="7:13" ht="14.25" customHeight="1" x14ac:dyDescent="0.25">
      <c r="G160" s="68"/>
      <c r="J160" s="68"/>
      <c r="M160" s="68"/>
    </row>
    <row r="161" spans="7:13" ht="14.25" customHeight="1" x14ac:dyDescent="0.25">
      <c r="G161" s="68"/>
      <c r="J161" s="68"/>
      <c r="M161" s="68"/>
    </row>
    <row r="162" spans="7:13" ht="14.25" customHeight="1" x14ac:dyDescent="0.25">
      <c r="G162" s="68"/>
      <c r="J162" s="68"/>
      <c r="M162" s="68"/>
    </row>
    <row r="163" spans="7:13" ht="14.25" customHeight="1" x14ac:dyDescent="0.25">
      <c r="G163" s="68"/>
      <c r="J163" s="68"/>
      <c r="M163" s="68"/>
    </row>
    <row r="164" spans="7:13" ht="14.25" customHeight="1" x14ac:dyDescent="0.25">
      <c r="G164" s="68"/>
      <c r="J164" s="68"/>
      <c r="M164" s="68"/>
    </row>
    <row r="165" spans="7:13" ht="14.25" customHeight="1" x14ac:dyDescent="0.25">
      <c r="G165" s="68"/>
      <c r="J165" s="68"/>
      <c r="M165" s="68"/>
    </row>
    <row r="166" spans="7:13" ht="14.25" customHeight="1" x14ac:dyDescent="0.25">
      <c r="G166" s="68"/>
      <c r="J166" s="68"/>
      <c r="M166" s="68"/>
    </row>
    <row r="167" spans="7:13" ht="14.25" customHeight="1" x14ac:dyDescent="0.25">
      <c r="G167" s="68"/>
      <c r="J167" s="68"/>
      <c r="M167" s="68"/>
    </row>
    <row r="168" spans="7:13" ht="14.25" customHeight="1" x14ac:dyDescent="0.25">
      <c r="G168" s="68"/>
      <c r="J168" s="68"/>
      <c r="M168" s="68"/>
    </row>
    <row r="169" spans="7:13" ht="14.25" customHeight="1" x14ac:dyDescent="0.25">
      <c r="G169" s="68"/>
      <c r="J169" s="68"/>
      <c r="M169" s="68"/>
    </row>
    <row r="170" spans="7:13" ht="14.25" customHeight="1" x14ac:dyDescent="0.25">
      <c r="G170" s="68"/>
      <c r="J170" s="68"/>
      <c r="M170" s="68"/>
    </row>
    <row r="171" spans="7:13" ht="14.25" customHeight="1" x14ac:dyDescent="0.25">
      <c r="G171" s="68"/>
      <c r="J171" s="68"/>
      <c r="M171" s="68"/>
    </row>
    <row r="172" spans="7:13" ht="14.25" customHeight="1" x14ac:dyDescent="0.25">
      <c r="G172" s="68"/>
      <c r="J172" s="68"/>
      <c r="M172" s="68"/>
    </row>
    <row r="173" spans="7:13" ht="14.25" customHeight="1" x14ac:dyDescent="0.25">
      <c r="G173" s="68"/>
      <c r="J173" s="68"/>
      <c r="M173" s="68"/>
    </row>
    <row r="174" spans="7:13" ht="14.25" customHeight="1" x14ac:dyDescent="0.25">
      <c r="G174" s="68"/>
      <c r="J174" s="68"/>
      <c r="M174" s="68"/>
    </row>
    <row r="175" spans="7:13" ht="14.25" customHeight="1" x14ac:dyDescent="0.25">
      <c r="G175" s="68"/>
      <c r="J175" s="68"/>
      <c r="M175" s="68"/>
    </row>
    <row r="176" spans="7:13" ht="14.25" customHeight="1" x14ac:dyDescent="0.25">
      <c r="G176" s="68"/>
      <c r="J176" s="68"/>
      <c r="M176" s="68"/>
    </row>
    <row r="177" spans="7:13" ht="14.25" customHeight="1" x14ac:dyDescent="0.25">
      <c r="G177" s="68"/>
      <c r="J177" s="68"/>
      <c r="M177" s="68"/>
    </row>
    <row r="178" spans="7:13" ht="14.25" customHeight="1" x14ac:dyDescent="0.25">
      <c r="G178" s="68"/>
      <c r="J178" s="68"/>
      <c r="M178" s="68"/>
    </row>
    <row r="179" spans="7:13" ht="14.25" customHeight="1" x14ac:dyDescent="0.25">
      <c r="G179" s="68"/>
      <c r="J179" s="68"/>
      <c r="M179" s="68"/>
    </row>
    <row r="180" spans="7:13" ht="14.25" customHeight="1" x14ac:dyDescent="0.25">
      <c r="G180" s="68"/>
      <c r="J180" s="68"/>
      <c r="M180" s="68"/>
    </row>
    <row r="181" spans="7:13" ht="14.25" customHeight="1" x14ac:dyDescent="0.25">
      <c r="G181" s="68"/>
      <c r="J181" s="68"/>
      <c r="M181" s="68"/>
    </row>
    <row r="182" spans="7:13" ht="14.25" customHeight="1" x14ac:dyDescent="0.25">
      <c r="G182" s="68"/>
      <c r="J182" s="68"/>
      <c r="M182" s="68"/>
    </row>
    <row r="183" spans="7:13" ht="14.25" customHeight="1" x14ac:dyDescent="0.25">
      <c r="G183" s="68"/>
      <c r="J183" s="68"/>
      <c r="M183" s="68"/>
    </row>
    <row r="184" spans="7:13" ht="14.25" customHeight="1" x14ac:dyDescent="0.25">
      <c r="G184" s="68"/>
      <c r="J184" s="68"/>
      <c r="M184" s="68"/>
    </row>
    <row r="185" spans="7:13" ht="14.25" customHeight="1" x14ac:dyDescent="0.25">
      <c r="G185" s="68"/>
      <c r="J185" s="68"/>
      <c r="M185" s="68"/>
    </row>
    <row r="186" spans="7:13" ht="14.25" customHeight="1" x14ac:dyDescent="0.25">
      <c r="G186" s="68"/>
      <c r="J186" s="68"/>
      <c r="M186" s="68"/>
    </row>
    <row r="187" spans="7:13" ht="14.25" customHeight="1" x14ac:dyDescent="0.25">
      <c r="G187" s="68"/>
      <c r="J187" s="68"/>
      <c r="M187" s="68"/>
    </row>
    <row r="188" spans="7:13" ht="14.25" customHeight="1" x14ac:dyDescent="0.25">
      <c r="G188" s="68"/>
      <c r="J188" s="68"/>
      <c r="M188" s="68"/>
    </row>
    <row r="189" spans="7:13" ht="14.25" customHeight="1" x14ac:dyDescent="0.25">
      <c r="G189" s="68"/>
      <c r="J189" s="68"/>
      <c r="M189" s="68"/>
    </row>
    <row r="190" spans="7:13" ht="14.25" customHeight="1" x14ac:dyDescent="0.25">
      <c r="G190" s="68"/>
      <c r="J190" s="68"/>
      <c r="M190" s="68"/>
    </row>
    <row r="191" spans="7:13" ht="14.25" customHeight="1" x14ac:dyDescent="0.25">
      <c r="G191" s="68"/>
      <c r="J191" s="68"/>
      <c r="M191" s="68"/>
    </row>
    <row r="192" spans="7:13" ht="14.25" customHeight="1" x14ac:dyDescent="0.25">
      <c r="G192" s="68"/>
      <c r="J192" s="68"/>
      <c r="M192" s="68"/>
    </row>
    <row r="193" spans="7:13" ht="14.25" customHeight="1" x14ac:dyDescent="0.25">
      <c r="G193" s="68"/>
      <c r="J193" s="68"/>
      <c r="M193" s="68"/>
    </row>
    <row r="194" spans="7:13" ht="14.25" customHeight="1" x14ac:dyDescent="0.25">
      <c r="G194" s="68"/>
      <c r="J194" s="68"/>
      <c r="M194" s="68"/>
    </row>
    <row r="195" spans="7:13" ht="14.25" customHeight="1" x14ac:dyDescent="0.25">
      <c r="G195" s="68"/>
      <c r="J195" s="68"/>
      <c r="M195" s="68"/>
    </row>
    <row r="196" spans="7:13" ht="14.25" customHeight="1" x14ac:dyDescent="0.25">
      <c r="G196" s="68"/>
      <c r="J196" s="68"/>
      <c r="M196" s="68"/>
    </row>
    <row r="197" spans="7:13" ht="14.25" customHeight="1" x14ac:dyDescent="0.25">
      <c r="G197" s="68"/>
      <c r="J197" s="68"/>
      <c r="M197" s="68"/>
    </row>
    <row r="198" spans="7:13" ht="14.25" customHeight="1" x14ac:dyDescent="0.25">
      <c r="G198" s="68"/>
      <c r="J198" s="68"/>
      <c r="M198" s="68"/>
    </row>
    <row r="199" spans="7:13" ht="14.25" customHeight="1" x14ac:dyDescent="0.25">
      <c r="G199" s="68"/>
      <c r="J199" s="68"/>
      <c r="M199" s="68"/>
    </row>
    <row r="200" spans="7:13" ht="14.25" customHeight="1" x14ac:dyDescent="0.25">
      <c r="G200" s="68"/>
      <c r="J200" s="68"/>
      <c r="M200" s="68"/>
    </row>
    <row r="201" spans="7:13" ht="14.25" customHeight="1" x14ac:dyDescent="0.25">
      <c r="G201" s="68"/>
      <c r="J201" s="68"/>
      <c r="M201" s="68"/>
    </row>
    <row r="202" spans="7:13" ht="14.25" customHeight="1" x14ac:dyDescent="0.25">
      <c r="G202" s="68"/>
      <c r="J202" s="68"/>
      <c r="M202" s="68"/>
    </row>
    <row r="203" spans="7:13" ht="14.25" customHeight="1" x14ac:dyDescent="0.25">
      <c r="G203" s="68"/>
      <c r="J203" s="68"/>
      <c r="M203" s="68"/>
    </row>
    <row r="204" spans="7:13" ht="14.25" customHeight="1" x14ac:dyDescent="0.25">
      <c r="G204" s="68"/>
      <c r="J204" s="68"/>
      <c r="M204" s="68"/>
    </row>
    <row r="205" spans="7:13" ht="14.25" customHeight="1" x14ac:dyDescent="0.25">
      <c r="G205" s="68"/>
      <c r="J205" s="68"/>
      <c r="M205" s="68"/>
    </row>
    <row r="206" spans="7:13" ht="14.25" customHeight="1" x14ac:dyDescent="0.25">
      <c r="G206" s="68"/>
      <c r="J206" s="68"/>
      <c r="M206" s="68"/>
    </row>
    <row r="207" spans="7:13" ht="14.25" customHeight="1" x14ac:dyDescent="0.25">
      <c r="G207" s="68"/>
      <c r="J207" s="68"/>
      <c r="M207" s="68"/>
    </row>
    <row r="208" spans="7:13" ht="14.25" customHeight="1" x14ac:dyDescent="0.25">
      <c r="G208" s="68"/>
      <c r="J208" s="68"/>
      <c r="M208" s="68"/>
    </row>
    <row r="209" spans="7:13" ht="14.25" customHeight="1" x14ac:dyDescent="0.25">
      <c r="G209" s="68"/>
      <c r="J209" s="68"/>
      <c r="M209" s="68"/>
    </row>
    <row r="210" spans="7:13" ht="14.25" customHeight="1" x14ac:dyDescent="0.25">
      <c r="G210" s="68"/>
      <c r="J210" s="68"/>
      <c r="M210" s="68"/>
    </row>
    <row r="211" spans="7:13" ht="14.25" customHeight="1" x14ac:dyDescent="0.25">
      <c r="G211" s="68"/>
      <c r="J211" s="68"/>
      <c r="M211" s="68"/>
    </row>
    <row r="212" spans="7:13" ht="14.25" customHeight="1" x14ac:dyDescent="0.25">
      <c r="G212" s="68"/>
      <c r="J212" s="68"/>
      <c r="M212" s="68"/>
    </row>
    <row r="213" spans="7:13" ht="14.25" customHeight="1" x14ac:dyDescent="0.25">
      <c r="G213" s="68"/>
      <c r="J213" s="68"/>
      <c r="M213" s="68"/>
    </row>
    <row r="214" spans="7:13" ht="14.25" customHeight="1" x14ac:dyDescent="0.25">
      <c r="G214" s="68"/>
      <c r="J214" s="68"/>
      <c r="M214" s="68"/>
    </row>
    <row r="215" spans="7:13" ht="14.25" customHeight="1" x14ac:dyDescent="0.25">
      <c r="G215" s="68"/>
      <c r="J215" s="68"/>
      <c r="M215" s="68"/>
    </row>
    <row r="216" spans="7:13" ht="14.25" customHeight="1" x14ac:dyDescent="0.25">
      <c r="G216" s="68"/>
      <c r="J216" s="68"/>
      <c r="M216" s="68"/>
    </row>
    <row r="217" spans="7:13" ht="14.25" customHeight="1" x14ac:dyDescent="0.25">
      <c r="G217" s="68"/>
      <c r="J217" s="68"/>
      <c r="M217" s="68"/>
    </row>
    <row r="218" spans="7:13" ht="14.25" customHeight="1" x14ac:dyDescent="0.25">
      <c r="G218" s="68"/>
      <c r="J218" s="68"/>
      <c r="M218" s="68"/>
    </row>
    <row r="219" spans="7:13" ht="14.25" customHeight="1" x14ac:dyDescent="0.25">
      <c r="G219" s="68"/>
      <c r="J219" s="68"/>
      <c r="M219" s="68"/>
    </row>
    <row r="220" spans="7:13" ht="14.25" customHeight="1" x14ac:dyDescent="0.25">
      <c r="G220" s="68"/>
      <c r="J220" s="68"/>
      <c r="M220" s="68"/>
    </row>
    <row r="221" spans="7:13" ht="14.25" customHeight="1" x14ac:dyDescent="0.25">
      <c r="G221" s="68"/>
      <c r="J221" s="68"/>
      <c r="M221" s="68"/>
    </row>
    <row r="222" spans="7:13" ht="14.25" customHeight="1" x14ac:dyDescent="0.25">
      <c r="G222" s="68"/>
      <c r="J222" s="68"/>
      <c r="M222" s="68"/>
    </row>
    <row r="223" spans="7:13" ht="14.25" customHeight="1" x14ac:dyDescent="0.25">
      <c r="G223" s="68"/>
      <c r="J223" s="68"/>
      <c r="M223" s="68"/>
    </row>
    <row r="224" spans="7:13" ht="14.25" customHeight="1" x14ac:dyDescent="0.25">
      <c r="G224" s="68"/>
      <c r="J224" s="68"/>
      <c r="M224" s="68"/>
    </row>
    <row r="225" spans="7:13" ht="14.25" customHeight="1" x14ac:dyDescent="0.25">
      <c r="G225" s="68"/>
      <c r="J225" s="68"/>
      <c r="M225" s="68"/>
    </row>
    <row r="226" spans="7:13" ht="14.25" customHeight="1" x14ac:dyDescent="0.25">
      <c r="G226" s="68"/>
      <c r="J226" s="68"/>
      <c r="M226" s="68"/>
    </row>
    <row r="227" spans="7:13" ht="14.25" customHeight="1" x14ac:dyDescent="0.25">
      <c r="G227" s="68"/>
      <c r="J227" s="68"/>
      <c r="M227" s="68"/>
    </row>
    <row r="228" spans="7:13" ht="14.25" customHeight="1" x14ac:dyDescent="0.25">
      <c r="G228" s="68"/>
      <c r="J228" s="68"/>
      <c r="M228" s="68"/>
    </row>
    <row r="229" spans="7:13" ht="14.25" customHeight="1" x14ac:dyDescent="0.25">
      <c r="G229" s="68"/>
      <c r="J229" s="68"/>
      <c r="M229" s="68"/>
    </row>
    <row r="230" spans="7:13" ht="14.25" customHeight="1" x14ac:dyDescent="0.25">
      <c r="G230" s="68"/>
      <c r="J230" s="68"/>
      <c r="M230" s="68"/>
    </row>
    <row r="231" spans="7:13" ht="14.25" customHeight="1" x14ac:dyDescent="0.25">
      <c r="G231" s="68"/>
      <c r="J231" s="68"/>
      <c r="M231" s="68"/>
    </row>
    <row r="232" spans="7:13" ht="14.25" customHeight="1" x14ac:dyDescent="0.25">
      <c r="G232" s="68"/>
      <c r="J232" s="68"/>
      <c r="M232" s="68"/>
    </row>
    <row r="233" spans="7:13" ht="14.25" customHeight="1" x14ac:dyDescent="0.25">
      <c r="G233" s="68"/>
      <c r="J233" s="68"/>
      <c r="M233" s="68"/>
    </row>
    <row r="234" spans="7:13" ht="14.25" customHeight="1" x14ac:dyDescent="0.25">
      <c r="G234" s="68"/>
      <c r="J234" s="68"/>
      <c r="M234" s="68"/>
    </row>
    <row r="235" spans="7:13" ht="14.25" customHeight="1" x14ac:dyDescent="0.25">
      <c r="G235" s="68"/>
      <c r="J235" s="68"/>
      <c r="M235" s="68"/>
    </row>
    <row r="236" spans="7:13" ht="14.25" customHeight="1" x14ac:dyDescent="0.25">
      <c r="G236" s="68"/>
      <c r="J236" s="68"/>
      <c r="M236" s="68"/>
    </row>
    <row r="237" spans="7:13" ht="14.25" customHeight="1" x14ac:dyDescent="0.25">
      <c r="G237" s="68"/>
      <c r="J237" s="68"/>
      <c r="M237" s="68"/>
    </row>
    <row r="238" spans="7:13" ht="14.25" customHeight="1" x14ac:dyDescent="0.25">
      <c r="G238" s="68"/>
      <c r="J238" s="68"/>
      <c r="M238" s="68"/>
    </row>
    <row r="239" spans="7:13" ht="14.25" customHeight="1" x14ac:dyDescent="0.25">
      <c r="G239" s="68"/>
      <c r="J239" s="68"/>
      <c r="M239" s="68"/>
    </row>
    <row r="240" spans="7:13" ht="14.25" customHeight="1" x14ac:dyDescent="0.25">
      <c r="G240" s="68"/>
      <c r="J240" s="68"/>
      <c r="M240" s="68"/>
    </row>
    <row r="241" spans="7:13" ht="14.25" customHeight="1" x14ac:dyDescent="0.25">
      <c r="G241" s="68"/>
      <c r="J241" s="68"/>
      <c r="M241" s="68"/>
    </row>
    <row r="242" spans="7:13" ht="14.25" customHeight="1" x14ac:dyDescent="0.25">
      <c r="G242" s="68"/>
      <c r="J242" s="68"/>
      <c r="M242" s="68"/>
    </row>
    <row r="243" spans="7:13" ht="14.25" customHeight="1" x14ac:dyDescent="0.25">
      <c r="G243" s="68"/>
      <c r="J243" s="68"/>
      <c r="M243" s="68"/>
    </row>
    <row r="244" spans="7:13" ht="14.25" customHeight="1" x14ac:dyDescent="0.25">
      <c r="G244" s="68"/>
      <c r="J244" s="68"/>
      <c r="M244" s="68"/>
    </row>
    <row r="245" spans="7:13" ht="14.25" customHeight="1" x14ac:dyDescent="0.25">
      <c r="G245" s="68"/>
      <c r="J245" s="68"/>
      <c r="M245" s="68"/>
    </row>
    <row r="246" spans="7:13" ht="14.25" customHeight="1" x14ac:dyDescent="0.25">
      <c r="G246" s="68"/>
      <c r="J246" s="68"/>
      <c r="M246" s="68"/>
    </row>
    <row r="247" spans="7:13" ht="14.25" customHeight="1" x14ac:dyDescent="0.25">
      <c r="G247" s="68"/>
      <c r="J247" s="68"/>
      <c r="M247" s="68"/>
    </row>
    <row r="248" spans="7:13" ht="14.25" customHeight="1" x14ac:dyDescent="0.25">
      <c r="G248" s="68"/>
      <c r="J248" s="68"/>
      <c r="M248" s="68"/>
    </row>
    <row r="249" spans="7:13" ht="14.25" customHeight="1" x14ac:dyDescent="0.25">
      <c r="G249" s="68"/>
      <c r="J249" s="68"/>
      <c r="M249" s="68"/>
    </row>
    <row r="250" spans="7:13" ht="14.25" customHeight="1" x14ac:dyDescent="0.25">
      <c r="G250" s="68"/>
      <c r="J250" s="68"/>
      <c r="M250" s="68"/>
    </row>
    <row r="251" spans="7:13" ht="14.25" customHeight="1" x14ac:dyDescent="0.25">
      <c r="G251" s="68"/>
      <c r="J251" s="68"/>
      <c r="M251" s="68"/>
    </row>
    <row r="252" spans="7:13" ht="14.25" customHeight="1" x14ac:dyDescent="0.25">
      <c r="G252" s="68"/>
      <c r="J252" s="68"/>
      <c r="M252" s="68"/>
    </row>
    <row r="253" spans="7:13" ht="14.25" customHeight="1" x14ac:dyDescent="0.25">
      <c r="G253" s="68"/>
      <c r="J253" s="68"/>
      <c r="M253" s="68"/>
    </row>
    <row r="254" spans="7:13" ht="14.25" customHeight="1" x14ac:dyDescent="0.25">
      <c r="G254" s="68"/>
      <c r="J254" s="68"/>
      <c r="M254" s="68"/>
    </row>
    <row r="255" spans="7:13" ht="14.25" customHeight="1" x14ac:dyDescent="0.25">
      <c r="G255" s="68"/>
      <c r="J255" s="68"/>
      <c r="M255" s="68"/>
    </row>
    <row r="256" spans="7:13" ht="14.25" customHeight="1" x14ac:dyDescent="0.25">
      <c r="G256" s="68"/>
      <c r="J256" s="68"/>
      <c r="M256" s="68"/>
    </row>
    <row r="257" spans="7:13" ht="14.25" customHeight="1" x14ac:dyDescent="0.25">
      <c r="G257" s="68"/>
      <c r="J257" s="68"/>
      <c r="M257" s="68"/>
    </row>
    <row r="258" spans="7:13" ht="14.25" customHeight="1" x14ac:dyDescent="0.25">
      <c r="G258" s="68"/>
      <c r="J258" s="68"/>
      <c r="M258" s="68"/>
    </row>
    <row r="259" spans="7:13" ht="14.25" customHeight="1" x14ac:dyDescent="0.25">
      <c r="G259" s="68"/>
      <c r="J259" s="68"/>
      <c r="M259" s="68"/>
    </row>
    <row r="260" spans="7:13" ht="14.25" customHeight="1" x14ac:dyDescent="0.25">
      <c r="G260" s="68"/>
      <c r="J260" s="68"/>
      <c r="M260" s="68"/>
    </row>
    <row r="261" spans="7:13" ht="14.25" customHeight="1" x14ac:dyDescent="0.25">
      <c r="G261" s="68"/>
      <c r="J261" s="68"/>
      <c r="M261" s="68"/>
    </row>
    <row r="262" spans="7:13" ht="14.25" customHeight="1" x14ac:dyDescent="0.25">
      <c r="G262" s="68"/>
      <c r="J262" s="68"/>
      <c r="M262" s="68"/>
    </row>
    <row r="263" spans="7:13" ht="14.25" customHeight="1" x14ac:dyDescent="0.25">
      <c r="G263" s="68"/>
      <c r="J263" s="68"/>
      <c r="M263" s="68"/>
    </row>
    <row r="264" spans="7:13" ht="14.25" customHeight="1" x14ac:dyDescent="0.25">
      <c r="G264" s="68"/>
      <c r="J264" s="68"/>
      <c r="M264" s="68"/>
    </row>
    <row r="265" spans="7:13" ht="14.25" customHeight="1" x14ac:dyDescent="0.25">
      <c r="G265" s="68"/>
      <c r="J265" s="68"/>
      <c r="M265" s="68"/>
    </row>
    <row r="266" spans="7:13" ht="14.25" customHeight="1" x14ac:dyDescent="0.25">
      <c r="G266" s="68"/>
      <c r="J266" s="68"/>
      <c r="M266" s="68"/>
    </row>
    <row r="267" spans="7:13" ht="14.25" customHeight="1" x14ac:dyDescent="0.25">
      <c r="G267" s="68"/>
      <c r="J267" s="68"/>
      <c r="M267" s="68"/>
    </row>
    <row r="268" spans="7:13" ht="14.25" customHeight="1" x14ac:dyDescent="0.25">
      <c r="G268" s="68"/>
      <c r="J268" s="68"/>
      <c r="M268" s="68"/>
    </row>
    <row r="269" spans="7:13" ht="14.25" customHeight="1" x14ac:dyDescent="0.25">
      <c r="G269" s="68"/>
      <c r="J269" s="68"/>
      <c r="M269" s="68"/>
    </row>
    <row r="270" spans="7:13" ht="14.25" customHeight="1" x14ac:dyDescent="0.25">
      <c r="G270" s="68"/>
      <c r="J270" s="68"/>
      <c r="M270" s="68"/>
    </row>
    <row r="271" spans="7:13" ht="14.25" customHeight="1" x14ac:dyDescent="0.25">
      <c r="G271" s="68"/>
      <c r="J271" s="68"/>
      <c r="M271" s="68"/>
    </row>
    <row r="272" spans="7:13" ht="14.25" customHeight="1" x14ac:dyDescent="0.25">
      <c r="G272" s="68"/>
      <c r="J272" s="68"/>
      <c r="M272" s="68"/>
    </row>
    <row r="273" spans="7:13" ht="14.25" customHeight="1" x14ac:dyDescent="0.25">
      <c r="G273" s="68"/>
      <c r="J273" s="68"/>
      <c r="M273" s="68"/>
    </row>
    <row r="274" spans="7:13" ht="14.25" customHeight="1" x14ac:dyDescent="0.25">
      <c r="G274" s="68"/>
      <c r="J274" s="68"/>
      <c r="M274" s="68"/>
    </row>
    <row r="275" spans="7:13" ht="14.25" customHeight="1" x14ac:dyDescent="0.25">
      <c r="G275" s="68"/>
      <c r="J275" s="68"/>
      <c r="M275" s="68"/>
    </row>
    <row r="276" spans="7:13" ht="14.25" customHeight="1" x14ac:dyDescent="0.25">
      <c r="G276" s="68"/>
      <c r="J276" s="68"/>
      <c r="M276" s="68"/>
    </row>
    <row r="277" spans="7:13" ht="14.25" customHeight="1" x14ac:dyDescent="0.25">
      <c r="G277" s="68"/>
      <c r="J277" s="68"/>
      <c r="M277" s="68"/>
    </row>
    <row r="278" spans="7:13" ht="14.25" customHeight="1" x14ac:dyDescent="0.25">
      <c r="G278" s="68"/>
      <c r="J278" s="68"/>
      <c r="M278" s="68"/>
    </row>
    <row r="279" spans="7:13" ht="14.25" customHeight="1" x14ac:dyDescent="0.25">
      <c r="G279" s="68"/>
      <c r="J279" s="68"/>
      <c r="M279" s="68"/>
    </row>
    <row r="280" spans="7:13" ht="14.25" customHeight="1" x14ac:dyDescent="0.25">
      <c r="G280" s="68"/>
      <c r="J280" s="68"/>
      <c r="M280" s="68"/>
    </row>
    <row r="281" spans="7:13" ht="14.25" customHeight="1" x14ac:dyDescent="0.25">
      <c r="G281" s="68"/>
      <c r="J281" s="68"/>
      <c r="M281" s="68"/>
    </row>
    <row r="282" spans="7:13" ht="14.25" customHeight="1" x14ac:dyDescent="0.25">
      <c r="G282" s="68"/>
      <c r="J282" s="68"/>
      <c r="M282" s="68"/>
    </row>
    <row r="283" spans="7:13" ht="14.25" customHeight="1" x14ac:dyDescent="0.25">
      <c r="G283" s="68"/>
      <c r="J283" s="68"/>
      <c r="M283" s="68"/>
    </row>
    <row r="284" spans="7:13" ht="14.25" customHeight="1" x14ac:dyDescent="0.25">
      <c r="G284" s="68"/>
      <c r="J284" s="68"/>
      <c r="M284" s="68"/>
    </row>
    <row r="285" spans="7:13" ht="14.25" customHeight="1" x14ac:dyDescent="0.25">
      <c r="G285" s="68"/>
      <c r="J285" s="68"/>
      <c r="M285" s="68"/>
    </row>
    <row r="286" spans="7:13" ht="14.25" customHeight="1" x14ac:dyDescent="0.25">
      <c r="G286" s="68"/>
      <c r="J286" s="68"/>
      <c r="M286" s="68"/>
    </row>
    <row r="287" spans="7:13" ht="14.25" customHeight="1" x14ac:dyDescent="0.25">
      <c r="G287" s="68"/>
      <c r="J287" s="68"/>
      <c r="M287" s="68"/>
    </row>
    <row r="288" spans="7:13" ht="14.25" customHeight="1" x14ac:dyDescent="0.25">
      <c r="G288" s="68"/>
      <c r="J288" s="68"/>
      <c r="M288" s="68"/>
    </row>
    <row r="289" spans="7:13" ht="14.25" customHeight="1" x14ac:dyDescent="0.25">
      <c r="G289" s="68"/>
      <c r="J289" s="68"/>
      <c r="M289" s="68"/>
    </row>
    <row r="290" spans="7:13" ht="14.25" customHeight="1" x14ac:dyDescent="0.25">
      <c r="G290" s="68"/>
      <c r="J290" s="68"/>
      <c r="M290" s="68"/>
    </row>
    <row r="291" spans="7:13" ht="14.25" customHeight="1" x14ac:dyDescent="0.25">
      <c r="G291" s="68"/>
      <c r="J291" s="68"/>
      <c r="M291" s="68"/>
    </row>
    <row r="292" spans="7:13" ht="14.25" customHeight="1" x14ac:dyDescent="0.25">
      <c r="G292" s="68"/>
      <c r="J292" s="68"/>
      <c r="M292" s="68"/>
    </row>
    <row r="293" spans="7:13" ht="14.25" customHeight="1" x14ac:dyDescent="0.25">
      <c r="G293" s="68"/>
      <c r="J293" s="68"/>
      <c r="M293" s="68"/>
    </row>
    <row r="294" spans="7:13" ht="14.25" customHeight="1" x14ac:dyDescent="0.25">
      <c r="G294" s="68"/>
      <c r="J294" s="68"/>
      <c r="M294" s="68"/>
    </row>
    <row r="295" spans="7:13" ht="14.25" customHeight="1" x14ac:dyDescent="0.25">
      <c r="G295" s="68"/>
      <c r="J295" s="68"/>
      <c r="M295" s="68"/>
    </row>
    <row r="296" spans="7:13" ht="14.25" customHeight="1" x14ac:dyDescent="0.25">
      <c r="G296" s="68"/>
      <c r="J296" s="68"/>
      <c r="M296" s="68"/>
    </row>
    <row r="297" spans="7:13" ht="14.25" customHeight="1" x14ac:dyDescent="0.25">
      <c r="G297" s="68"/>
      <c r="J297" s="68"/>
      <c r="M297" s="68"/>
    </row>
    <row r="298" spans="7:13" ht="14.25" customHeight="1" x14ac:dyDescent="0.25">
      <c r="G298" s="68"/>
      <c r="J298" s="68"/>
      <c r="M298" s="68"/>
    </row>
    <row r="299" spans="7:13" ht="14.25" customHeight="1" x14ac:dyDescent="0.25">
      <c r="G299" s="68"/>
      <c r="J299" s="68"/>
      <c r="M299" s="68"/>
    </row>
    <row r="300" spans="7:13" ht="14.25" customHeight="1" x14ac:dyDescent="0.25">
      <c r="G300" s="68"/>
      <c r="J300" s="68"/>
      <c r="M300" s="68"/>
    </row>
    <row r="301" spans="7:13" ht="14.25" customHeight="1" x14ac:dyDescent="0.25">
      <c r="G301" s="68"/>
      <c r="J301" s="68"/>
      <c r="M301" s="68"/>
    </row>
    <row r="302" spans="7:13" ht="14.25" customHeight="1" x14ac:dyDescent="0.25">
      <c r="G302" s="68"/>
      <c r="J302" s="68"/>
      <c r="M302" s="68"/>
    </row>
    <row r="303" spans="7:13" ht="14.25" customHeight="1" x14ac:dyDescent="0.25">
      <c r="G303" s="68"/>
      <c r="J303" s="68"/>
      <c r="M303" s="68"/>
    </row>
    <row r="304" spans="7:13" ht="14.25" customHeight="1" x14ac:dyDescent="0.25">
      <c r="G304" s="68"/>
      <c r="J304" s="68"/>
      <c r="M304" s="68"/>
    </row>
    <row r="305" spans="7:13" ht="14.25" customHeight="1" x14ac:dyDescent="0.25">
      <c r="G305" s="68"/>
      <c r="J305" s="68"/>
      <c r="M305" s="68"/>
    </row>
    <row r="306" spans="7:13" ht="14.25" customHeight="1" x14ac:dyDescent="0.25">
      <c r="G306" s="68"/>
      <c r="J306" s="68"/>
      <c r="M306" s="68"/>
    </row>
    <row r="307" spans="7:13" ht="14.25" customHeight="1" x14ac:dyDescent="0.25">
      <c r="G307" s="68"/>
      <c r="J307" s="68"/>
      <c r="M307" s="68"/>
    </row>
    <row r="308" spans="7:13" ht="14.25" customHeight="1" x14ac:dyDescent="0.25">
      <c r="G308" s="68"/>
      <c r="J308" s="68"/>
      <c r="M308" s="68"/>
    </row>
    <row r="309" spans="7:13" ht="14.25" customHeight="1" x14ac:dyDescent="0.25">
      <c r="G309" s="68"/>
      <c r="J309" s="68"/>
      <c r="M309" s="68"/>
    </row>
    <row r="310" spans="7:13" ht="14.25" customHeight="1" x14ac:dyDescent="0.25">
      <c r="G310" s="68"/>
      <c r="J310" s="68"/>
      <c r="M310" s="68"/>
    </row>
    <row r="311" spans="7:13" ht="14.25" customHeight="1" x14ac:dyDescent="0.25">
      <c r="G311" s="68"/>
      <c r="J311" s="68"/>
      <c r="M311" s="68"/>
    </row>
    <row r="312" spans="7:13" ht="14.25" customHeight="1" x14ac:dyDescent="0.25">
      <c r="G312" s="68"/>
      <c r="J312" s="68"/>
      <c r="M312" s="68"/>
    </row>
    <row r="313" spans="7:13" ht="14.25" customHeight="1" x14ac:dyDescent="0.25">
      <c r="G313" s="68"/>
      <c r="J313" s="68"/>
      <c r="M313" s="68"/>
    </row>
    <row r="314" spans="7:13" ht="14.25" customHeight="1" x14ac:dyDescent="0.25">
      <c r="G314" s="68"/>
      <c r="J314" s="68"/>
      <c r="M314" s="68"/>
    </row>
    <row r="315" spans="7:13" ht="14.25" customHeight="1" x14ac:dyDescent="0.25">
      <c r="G315" s="68"/>
      <c r="J315" s="68"/>
      <c r="M315" s="68"/>
    </row>
    <row r="316" spans="7:13" ht="14.25" customHeight="1" x14ac:dyDescent="0.25">
      <c r="G316" s="68"/>
      <c r="J316" s="68"/>
      <c r="M316" s="68"/>
    </row>
    <row r="317" spans="7:13" ht="14.25" customHeight="1" x14ac:dyDescent="0.25">
      <c r="G317" s="68"/>
      <c r="J317" s="68"/>
      <c r="M317" s="68"/>
    </row>
    <row r="318" spans="7:13" ht="14.25" customHeight="1" x14ac:dyDescent="0.25">
      <c r="G318" s="68"/>
      <c r="J318" s="68"/>
      <c r="M318" s="68"/>
    </row>
    <row r="319" spans="7:13" ht="14.25" customHeight="1" x14ac:dyDescent="0.25">
      <c r="G319" s="68"/>
      <c r="J319" s="68"/>
      <c r="M319" s="68"/>
    </row>
    <row r="320" spans="7:13" ht="14.25" customHeight="1" x14ac:dyDescent="0.25">
      <c r="G320" s="68"/>
      <c r="J320" s="68"/>
      <c r="M320" s="68"/>
    </row>
    <row r="321" spans="7:13" ht="14.25" customHeight="1" x14ac:dyDescent="0.25">
      <c r="G321" s="68"/>
      <c r="J321" s="68"/>
      <c r="M321" s="68"/>
    </row>
    <row r="322" spans="7:13" ht="14.25" customHeight="1" x14ac:dyDescent="0.25">
      <c r="G322" s="68"/>
      <c r="J322" s="68"/>
      <c r="M322" s="68"/>
    </row>
    <row r="323" spans="7:13" ht="14.25" customHeight="1" x14ac:dyDescent="0.25">
      <c r="G323" s="68"/>
      <c r="J323" s="68"/>
      <c r="M323" s="68"/>
    </row>
    <row r="324" spans="7:13" ht="14.25" customHeight="1" x14ac:dyDescent="0.25">
      <c r="G324" s="68"/>
      <c r="J324" s="68"/>
      <c r="M324" s="68"/>
    </row>
    <row r="325" spans="7:13" ht="14.25" customHeight="1" x14ac:dyDescent="0.25">
      <c r="G325" s="68"/>
      <c r="J325" s="68"/>
      <c r="M325" s="68"/>
    </row>
    <row r="326" spans="7:13" ht="14.25" customHeight="1" x14ac:dyDescent="0.25">
      <c r="G326" s="68"/>
      <c r="J326" s="68"/>
      <c r="M326" s="68"/>
    </row>
    <row r="327" spans="7:13" ht="14.25" customHeight="1" x14ac:dyDescent="0.25">
      <c r="G327" s="68"/>
      <c r="J327" s="68"/>
      <c r="M327" s="68"/>
    </row>
    <row r="328" spans="7:13" ht="14.25" customHeight="1" x14ac:dyDescent="0.25">
      <c r="G328" s="68"/>
      <c r="J328" s="68"/>
      <c r="M328" s="68"/>
    </row>
    <row r="329" spans="7:13" ht="14.25" customHeight="1" x14ac:dyDescent="0.25">
      <c r="G329" s="68"/>
      <c r="J329" s="68"/>
      <c r="M329" s="68"/>
    </row>
    <row r="330" spans="7:13" ht="14.25" customHeight="1" x14ac:dyDescent="0.25">
      <c r="G330" s="68"/>
      <c r="J330" s="68"/>
      <c r="M330" s="68"/>
    </row>
    <row r="331" spans="7:13" ht="14.25" customHeight="1" x14ac:dyDescent="0.25">
      <c r="G331" s="68"/>
      <c r="J331" s="68"/>
      <c r="M331" s="68"/>
    </row>
    <row r="332" spans="7:13" ht="14.25" customHeight="1" x14ac:dyDescent="0.25">
      <c r="G332" s="68"/>
      <c r="J332" s="68"/>
      <c r="M332" s="68"/>
    </row>
    <row r="333" spans="7:13" ht="14.25" customHeight="1" x14ac:dyDescent="0.25">
      <c r="G333" s="68"/>
      <c r="J333" s="68"/>
      <c r="M333" s="68"/>
    </row>
    <row r="334" spans="7:13" ht="14.25" customHeight="1" x14ac:dyDescent="0.25">
      <c r="G334" s="68"/>
      <c r="J334" s="68"/>
      <c r="M334" s="68"/>
    </row>
    <row r="335" spans="7:13" ht="14.25" customHeight="1" x14ac:dyDescent="0.25">
      <c r="G335" s="68"/>
      <c r="J335" s="68"/>
      <c r="M335" s="68"/>
    </row>
    <row r="336" spans="7:13" ht="14.25" customHeight="1" x14ac:dyDescent="0.25">
      <c r="G336" s="68"/>
      <c r="J336" s="68"/>
      <c r="M336" s="68"/>
    </row>
    <row r="337" spans="7:13" ht="14.25" customHeight="1" x14ac:dyDescent="0.25">
      <c r="G337" s="68"/>
      <c r="J337" s="68"/>
      <c r="M337" s="68"/>
    </row>
    <row r="338" spans="7:13" ht="14.25" customHeight="1" x14ac:dyDescent="0.25">
      <c r="G338" s="68"/>
      <c r="J338" s="68"/>
      <c r="M338" s="68"/>
    </row>
    <row r="339" spans="7:13" ht="14.25" customHeight="1" x14ac:dyDescent="0.25">
      <c r="G339" s="68"/>
      <c r="J339" s="68"/>
      <c r="M339" s="68"/>
    </row>
    <row r="340" spans="7:13" ht="14.25" customHeight="1" x14ac:dyDescent="0.25">
      <c r="G340" s="68"/>
      <c r="J340" s="68"/>
      <c r="M340" s="68"/>
    </row>
    <row r="341" spans="7:13" ht="14.25" customHeight="1" x14ac:dyDescent="0.25">
      <c r="G341" s="68"/>
      <c r="J341" s="68"/>
      <c r="M341" s="68"/>
    </row>
    <row r="342" spans="7:13" ht="14.25" customHeight="1" x14ac:dyDescent="0.25">
      <c r="G342" s="68"/>
      <c r="J342" s="68"/>
      <c r="M342" s="68"/>
    </row>
    <row r="343" spans="7:13" ht="14.25" customHeight="1" x14ac:dyDescent="0.25">
      <c r="G343" s="68"/>
      <c r="J343" s="68"/>
      <c r="M343" s="68"/>
    </row>
    <row r="344" spans="7:13" ht="14.25" customHeight="1" x14ac:dyDescent="0.25">
      <c r="G344" s="68"/>
      <c r="J344" s="68"/>
      <c r="M344" s="68"/>
    </row>
    <row r="345" spans="7:13" ht="14.25" customHeight="1" x14ac:dyDescent="0.25">
      <c r="G345" s="68"/>
      <c r="J345" s="68"/>
      <c r="M345" s="68"/>
    </row>
    <row r="346" spans="7:13" ht="14.25" customHeight="1" x14ac:dyDescent="0.25">
      <c r="G346" s="68"/>
      <c r="J346" s="68"/>
      <c r="M346" s="68"/>
    </row>
    <row r="347" spans="7:13" ht="14.25" customHeight="1" x14ac:dyDescent="0.25">
      <c r="G347" s="68"/>
      <c r="J347" s="68"/>
      <c r="M347" s="68"/>
    </row>
    <row r="348" spans="7:13" ht="14.25" customHeight="1" x14ac:dyDescent="0.25">
      <c r="G348" s="68"/>
      <c r="J348" s="68"/>
      <c r="M348" s="68"/>
    </row>
    <row r="349" spans="7:13" ht="14.25" customHeight="1" x14ac:dyDescent="0.25">
      <c r="G349" s="68"/>
      <c r="J349" s="68"/>
      <c r="M349" s="68"/>
    </row>
    <row r="350" spans="7:13" ht="14.25" customHeight="1" x14ac:dyDescent="0.25">
      <c r="G350" s="68"/>
      <c r="J350" s="68"/>
      <c r="M350" s="68"/>
    </row>
    <row r="351" spans="7:13" ht="14.25" customHeight="1" x14ac:dyDescent="0.25">
      <c r="G351" s="68"/>
      <c r="J351" s="68"/>
      <c r="M351" s="68"/>
    </row>
    <row r="352" spans="7:13" ht="14.25" customHeight="1" x14ac:dyDescent="0.25">
      <c r="G352" s="68"/>
      <c r="J352" s="68"/>
      <c r="M352" s="68"/>
    </row>
    <row r="353" spans="7:13" ht="14.25" customHeight="1" x14ac:dyDescent="0.25">
      <c r="G353" s="68"/>
      <c r="J353" s="68"/>
      <c r="M353" s="68"/>
    </row>
    <row r="354" spans="7:13" ht="14.25" customHeight="1" x14ac:dyDescent="0.25">
      <c r="G354" s="68"/>
      <c r="J354" s="68"/>
      <c r="M354" s="68"/>
    </row>
    <row r="355" spans="7:13" ht="14.25" customHeight="1" x14ac:dyDescent="0.25">
      <c r="G355" s="68"/>
      <c r="J355" s="68"/>
      <c r="M355" s="68"/>
    </row>
    <row r="356" spans="7:13" ht="14.25" customHeight="1" x14ac:dyDescent="0.25">
      <c r="G356" s="68"/>
      <c r="J356" s="68"/>
      <c r="M356" s="68"/>
    </row>
    <row r="357" spans="7:13" ht="14.25" customHeight="1" x14ac:dyDescent="0.25">
      <c r="G357" s="68"/>
      <c r="J357" s="68"/>
      <c r="M357" s="68"/>
    </row>
    <row r="358" spans="7:13" ht="14.25" customHeight="1" x14ac:dyDescent="0.25">
      <c r="G358" s="68"/>
      <c r="J358" s="68"/>
      <c r="M358" s="68"/>
    </row>
    <row r="359" spans="7:13" ht="14.25" customHeight="1" x14ac:dyDescent="0.25">
      <c r="G359" s="68"/>
      <c r="J359" s="68"/>
      <c r="M359" s="68"/>
    </row>
    <row r="360" spans="7:13" ht="14.25" customHeight="1" x14ac:dyDescent="0.25">
      <c r="G360" s="68"/>
      <c r="J360" s="68"/>
      <c r="M360" s="68"/>
    </row>
    <row r="361" spans="7:13" ht="14.25" customHeight="1" x14ac:dyDescent="0.25">
      <c r="G361" s="68"/>
      <c r="J361" s="68"/>
      <c r="M361" s="68"/>
    </row>
    <row r="362" spans="7:13" ht="14.25" customHeight="1" x14ac:dyDescent="0.25">
      <c r="G362" s="68"/>
      <c r="J362" s="68"/>
      <c r="M362" s="68"/>
    </row>
    <row r="363" spans="7:13" ht="14.25" customHeight="1" x14ac:dyDescent="0.25">
      <c r="G363" s="68"/>
      <c r="J363" s="68"/>
      <c r="M363" s="68"/>
    </row>
    <row r="364" spans="7:13" ht="14.25" customHeight="1" x14ac:dyDescent="0.25">
      <c r="G364" s="68"/>
      <c r="J364" s="68"/>
      <c r="M364" s="68"/>
    </row>
    <row r="365" spans="7:13" ht="14.25" customHeight="1" x14ac:dyDescent="0.25">
      <c r="G365" s="68"/>
      <c r="J365" s="68"/>
      <c r="M365" s="68"/>
    </row>
    <row r="366" spans="7:13" ht="14.25" customHeight="1" x14ac:dyDescent="0.25">
      <c r="G366" s="68"/>
      <c r="J366" s="68"/>
      <c r="M366" s="68"/>
    </row>
    <row r="367" spans="7:13" ht="14.25" customHeight="1" x14ac:dyDescent="0.25">
      <c r="G367" s="68"/>
      <c r="J367" s="68"/>
      <c r="M367" s="68"/>
    </row>
    <row r="368" spans="7:13" ht="14.25" customHeight="1" x14ac:dyDescent="0.25">
      <c r="G368" s="68"/>
      <c r="J368" s="68"/>
      <c r="M368" s="68"/>
    </row>
    <row r="369" spans="7:13" ht="14.25" customHeight="1" x14ac:dyDescent="0.25">
      <c r="G369" s="68"/>
      <c r="J369" s="68"/>
      <c r="M369" s="68"/>
    </row>
    <row r="370" spans="7:13" ht="14.25" customHeight="1" x14ac:dyDescent="0.25">
      <c r="G370" s="68"/>
      <c r="J370" s="68"/>
      <c r="M370" s="68"/>
    </row>
    <row r="371" spans="7:13" ht="14.25" customHeight="1" x14ac:dyDescent="0.25">
      <c r="G371" s="68"/>
      <c r="J371" s="68"/>
      <c r="M371" s="68"/>
    </row>
    <row r="372" spans="7:13" ht="14.25" customHeight="1" x14ac:dyDescent="0.25">
      <c r="G372" s="68"/>
      <c r="J372" s="68"/>
      <c r="M372" s="68"/>
    </row>
    <row r="373" spans="7:13" ht="14.25" customHeight="1" x14ac:dyDescent="0.25">
      <c r="G373" s="68"/>
      <c r="J373" s="68"/>
      <c r="M373" s="68"/>
    </row>
    <row r="374" spans="7:13" ht="14.25" customHeight="1" x14ac:dyDescent="0.25">
      <c r="G374" s="68"/>
      <c r="J374" s="68"/>
      <c r="M374" s="68"/>
    </row>
    <row r="375" spans="7:13" ht="14.25" customHeight="1" x14ac:dyDescent="0.25">
      <c r="G375" s="68"/>
      <c r="J375" s="68"/>
      <c r="M375" s="68"/>
    </row>
    <row r="376" spans="7:13" ht="14.25" customHeight="1" x14ac:dyDescent="0.25">
      <c r="G376" s="68"/>
      <c r="J376" s="68"/>
      <c r="M376" s="68"/>
    </row>
    <row r="377" spans="7:13" ht="14.25" customHeight="1" x14ac:dyDescent="0.25">
      <c r="G377" s="68"/>
      <c r="J377" s="68"/>
      <c r="M377" s="68"/>
    </row>
    <row r="378" spans="7:13" ht="14.25" customHeight="1" x14ac:dyDescent="0.25">
      <c r="G378" s="68"/>
      <c r="J378" s="68"/>
      <c r="M378" s="68"/>
    </row>
    <row r="379" spans="7:13" ht="14.25" customHeight="1" x14ac:dyDescent="0.25">
      <c r="G379" s="68"/>
      <c r="J379" s="68"/>
      <c r="M379" s="68"/>
    </row>
    <row r="380" spans="7:13" ht="14.25" customHeight="1" x14ac:dyDescent="0.25">
      <c r="G380" s="68"/>
      <c r="J380" s="68"/>
      <c r="M380" s="68"/>
    </row>
    <row r="381" spans="7:13" ht="14.25" customHeight="1" x14ac:dyDescent="0.25">
      <c r="G381" s="68"/>
      <c r="J381" s="68"/>
      <c r="M381" s="68"/>
    </row>
    <row r="382" spans="7:13" ht="14.25" customHeight="1" x14ac:dyDescent="0.25">
      <c r="G382" s="68"/>
      <c r="J382" s="68"/>
      <c r="M382" s="68"/>
    </row>
    <row r="383" spans="7:13" ht="14.25" customHeight="1" x14ac:dyDescent="0.25">
      <c r="G383" s="68"/>
      <c r="J383" s="68"/>
      <c r="M383" s="68"/>
    </row>
    <row r="384" spans="7:13" ht="14.25" customHeight="1" x14ac:dyDescent="0.25">
      <c r="G384" s="68"/>
      <c r="J384" s="68"/>
      <c r="M384" s="68"/>
    </row>
    <row r="385" spans="7:13" ht="14.25" customHeight="1" x14ac:dyDescent="0.25">
      <c r="G385" s="68"/>
      <c r="J385" s="68"/>
      <c r="M385" s="68"/>
    </row>
    <row r="386" spans="7:13" ht="14.25" customHeight="1" x14ac:dyDescent="0.25">
      <c r="G386" s="68"/>
      <c r="J386" s="68"/>
      <c r="M386" s="68"/>
    </row>
    <row r="387" spans="7:13" ht="14.25" customHeight="1" x14ac:dyDescent="0.25">
      <c r="G387" s="68"/>
      <c r="J387" s="68"/>
      <c r="M387" s="68"/>
    </row>
    <row r="388" spans="7:13" ht="14.25" customHeight="1" x14ac:dyDescent="0.25">
      <c r="G388" s="68"/>
      <c r="J388" s="68"/>
      <c r="M388" s="68"/>
    </row>
    <row r="389" spans="7:13" ht="14.25" customHeight="1" x14ac:dyDescent="0.25">
      <c r="G389" s="68"/>
      <c r="J389" s="68"/>
      <c r="M389" s="68"/>
    </row>
    <row r="390" spans="7:13" ht="14.25" customHeight="1" x14ac:dyDescent="0.25">
      <c r="G390" s="68"/>
      <c r="J390" s="68"/>
      <c r="M390" s="68"/>
    </row>
    <row r="391" spans="7:13" ht="14.25" customHeight="1" x14ac:dyDescent="0.25">
      <c r="G391" s="68"/>
      <c r="J391" s="68"/>
      <c r="M391" s="68"/>
    </row>
    <row r="392" spans="7:13" ht="14.25" customHeight="1" x14ac:dyDescent="0.25">
      <c r="G392" s="68"/>
      <c r="J392" s="68"/>
      <c r="M392" s="68"/>
    </row>
    <row r="393" spans="7:13" ht="14.25" customHeight="1" x14ac:dyDescent="0.25">
      <c r="G393" s="68"/>
      <c r="J393" s="68"/>
      <c r="M393" s="68"/>
    </row>
    <row r="394" spans="7:13" ht="14.25" customHeight="1" x14ac:dyDescent="0.25">
      <c r="G394" s="68"/>
      <c r="J394" s="68"/>
      <c r="M394" s="68"/>
    </row>
    <row r="395" spans="7:13" ht="14.25" customHeight="1" x14ac:dyDescent="0.25">
      <c r="G395" s="68"/>
      <c r="J395" s="68"/>
      <c r="M395" s="68"/>
    </row>
    <row r="396" spans="7:13" ht="14.25" customHeight="1" x14ac:dyDescent="0.25">
      <c r="G396" s="68"/>
      <c r="J396" s="68"/>
      <c r="M396" s="68"/>
    </row>
    <row r="397" spans="7:13" ht="14.25" customHeight="1" x14ac:dyDescent="0.25">
      <c r="G397" s="68"/>
      <c r="J397" s="68"/>
      <c r="M397" s="68"/>
    </row>
    <row r="398" spans="7:13" ht="14.25" customHeight="1" x14ac:dyDescent="0.25">
      <c r="G398" s="68"/>
      <c r="J398" s="68"/>
      <c r="M398" s="68"/>
    </row>
    <row r="399" spans="7:13" ht="14.25" customHeight="1" x14ac:dyDescent="0.25">
      <c r="G399" s="68"/>
      <c r="J399" s="68"/>
      <c r="M399" s="68"/>
    </row>
    <row r="400" spans="7:13" ht="14.25" customHeight="1" x14ac:dyDescent="0.25">
      <c r="G400" s="68"/>
      <c r="J400" s="68"/>
      <c r="M400" s="68"/>
    </row>
    <row r="401" spans="7:13" ht="14.25" customHeight="1" x14ac:dyDescent="0.25">
      <c r="G401" s="68"/>
      <c r="J401" s="68"/>
      <c r="M401" s="68"/>
    </row>
    <row r="402" spans="7:13" ht="14.25" customHeight="1" x14ac:dyDescent="0.25">
      <c r="G402" s="68"/>
      <c r="J402" s="68"/>
      <c r="M402" s="68"/>
    </row>
    <row r="403" spans="7:13" ht="14.25" customHeight="1" x14ac:dyDescent="0.25">
      <c r="G403" s="68"/>
      <c r="J403" s="68"/>
      <c r="M403" s="68"/>
    </row>
    <row r="404" spans="7:13" ht="14.25" customHeight="1" x14ac:dyDescent="0.25">
      <c r="G404" s="68"/>
      <c r="J404" s="68"/>
      <c r="M404" s="68"/>
    </row>
    <row r="405" spans="7:13" ht="14.25" customHeight="1" x14ac:dyDescent="0.25">
      <c r="G405" s="68"/>
      <c r="J405" s="68"/>
      <c r="M405" s="68"/>
    </row>
    <row r="406" spans="7:13" ht="14.25" customHeight="1" x14ac:dyDescent="0.25">
      <c r="G406" s="68"/>
      <c r="J406" s="68"/>
      <c r="M406" s="68"/>
    </row>
    <row r="407" spans="7:13" ht="14.25" customHeight="1" x14ac:dyDescent="0.25">
      <c r="G407" s="68"/>
      <c r="J407" s="68"/>
      <c r="M407" s="68"/>
    </row>
    <row r="408" spans="7:13" ht="14.25" customHeight="1" x14ac:dyDescent="0.25">
      <c r="G408" s="68"/>
      <c r="J408" s="68"/>
      <c r="M408" s="68"/>
    </row>
    <row r="409" spans="7:13" ht="14.25" customHeight="1" x14ac:dyDescent="0.25">
      <c r="G409" s="68"/>
      <c r="J409" s="68"/>
      <c r="M409" s="68"/>
    </row>
    <row r="410" spans="7:13" ht="14.25" customHeight="1" x14ac:dyDescent="0.25">
      <c r="G410" s="68"/>
      <c r="J410" s="68"/>
      <c r="M410" s="68"/>
    </row>
    <row r="411" spans="7:13" ht="14.25" customHeight="1" x14ac:dyDescent="0.25">
      <c r="G411" s="68"/>
      <c r="J411" s="68"/>
      <c r="M411" s="68"/>
    </row>
    <row r="412" spans="7:13" ht="14.25" customHeight="1" x14ac:dyDescent="0.25">
      <c r="G412" s="68"/>
      <c r="J412" s="68"/>
      <c r="M412" s="68"/>
    </row>
    <row r="413" spans="7:13" ht="14.25" customHeight="1" x14ac:dyDescent="0.25">
      <c r="G413" s="68"/>
      <c r="J413" s="68"/>
      <c r="M413" s="68"/>
    </row>
    <row r="414" spans="7:13" ht="14.25" customHeight="1" x14ac:dyDescent="0.25">
      <c r="G414" s="68"/>
      <c r="J414" s="68"/>
      <c r="M414" s="68"/>
    </row>
    <row r="415" spans="7:13" ht="14.25" customHeight="1" x14ac:dyDescent="0.25">
      <c r="G415" s="68"/>
      <c r="J415" s="68"/>
      <c r="M415" s="68"/>
    </row>
    <row r="416" spans="7:13" ht="14.25" customHeight="1" x14ac:dyDescent="0.25">
      <c r="G416" s="68"/>
      <c r="J416" s="68"/>
      <c r="M416" s="68"/>
    </row>
    <row r="417" spans="7:13" ht="14.25" customHeight="1" x14ac:dyDescent="0.25">
      <c r="G417" s="68"/>
      <c r="J417" s="68"/>
      <c r="M417" s="68"/>
    </row>
    <row r="418" spans="7:13" ht="14.25" customHeight="1" x14ac:dyDescent="0.25">
      <c r="G418" s="68"/>
      <c r="J418" s="68"/>
      <c r="M418" s="68"/>
    </row>
    <row r="419" spans="7:13" ht="14.25" customHeight="1" x14ac:dyDescent="0.25">
      <c r="G419" s="68"/>
      <c r="J419" s="68"/>
      <c r="M419" s="68"/>
    </row>
    <row r="420" spans="7:13" ht="14.25" customHeight="1" x14ac:dyDescent="0.25">
      <c r="G420" s="68"/>
      <c r="J420" s="68"/>
      <c r="M420" s="68"/>
    </row>
    <row r="421" spans="7:13" ht="14.25" customHeight="1" x14ac:dyDescent="0.25">
      <c r="G421" s="68"/>
      <c r="J421" s="68"/>
      <c r="M421" s="68"/>
    </row>
    <row r="422" spans="7:13" ht="14.25" customHeight="1" x14ac:dyDescent="0.25">
      <c r="G422" s="68"/>
      <c r="J422" s="68"/>
      <c r="M422" s="68"/>
    </row>
    <row r="423" spans="7:13" ht="14.25" customHeight="1" x14ac:dyDescent="0.25">
      <c r="G423" s="68"/>
      <c r="J423" s="68"/>
      <c r="M423" s="68"/>
    </row>
    <row r="424" spans="7:13" ht="14.25" customHeight="1" x14ac:dyDescent="0.25">
      <c r="G424" s="68"/>
      <c r="J424" s="68"/>
      <c r="M424" s="68"/>
    </row>
    <row r="425" spans="7:13" ht="14.25" customHeight="1" x14ac:dyDescent="0.25">
      <c r="G425" s="68"/>
      <c r="J425" s="68"/>
      <c r="M425" s="68"/>
    </row>
    <row r="426" spans="7:13" ht="14.25" customHeight="1" x14ac:dyDescent="0.25">
      <c r="G426" s="68"/>
      <c r="J426" s="68"/>
      <c r="M426" s="68"/>
    </row>
    <row r="427" spans="7:13" ht="14.25" customHeight="1" x14ac:dyDescent="0.25">
      <c r="G427" s="68"/>
      <c r="J427" s="68"/>
      <c r="M427" s="68"/>
    </row>
    <row r="428" spans="7:13" ht="14.25" customHeight="1" x14ac:dyDescent="0.25">
      <c r="G428" s="68"/>
      <c r="J428" s="68"/>
      <c r="M428" s="68"/>
    </row>
    <row r="429" spans="7:13" ht="14.25" customHeight="1" x14ac:dyDescent="0.25">
      <c r="G429" s="68"/>
      <c r="J429" s="68"/>
      <c r="M429" s="68"/>
    </row>
    <row r="430" spans="7:13" ht="14.25" customHeight="1" x14ac:dyDescent="0.25">
      <c r="G430" s="68"/>
      <c r="J430" s="68"/>
      <c r="M430" s="68"/>
    </row>
    <row r="431" spans="7:13" ht="14.25" customHeight="1" x14ac:dyDescent="0.25">
      <c r="G431" s="68"/>
      <c r="J431" s="68"/>
      <c r="M431" s="68"/>
    </row>
    <row r="432" spans="7:13" ht="14.25" customHeight="1" x14ac:dyDescent="0.25">
      <c r="G432" s="68"/>
      <c r="J432" s="68"/>
      <c r="M432" s="68"/>
    </row>
    <row r="433" spans="7:13" ht="14.25" customHeight="1" x14ac:dyDescent="0.25">
      <c r="G433" s="68"/>
      <c r="J433" s="68"/>
      <c r="M433" s="68"/>
    </row>
    <row r="434" spans="7:13" ht="14.25" customHeight="1" x14ac:dyDescent="0.25">
      <c r="G434" s="68"/>
      <c r="J434" s="68"/>
      <c r="M434" s="68"/>
    </row>
    <row r="435" spans="7:13" ht="14.25" customHeight="1" x14ac:dyDescent="0.25">
      <c r="G435" s="68"/>
      <c r="J435" s="68"/>
      <c r="M435" s="68"/>
    </row>
    <row r="436" spans="7:13" ht="14.25" customHeight="1" x14ac:dyDescent="0.25">
      <c r="G436" s="68"/>
      <c r="J436" s="68"/>
      <c r="M436" s="68"/>
    </row>
    <row r="437" spans="7:13" ht="14.25" customHeight="1" x14ac:dyDescent="0.25">
      <c r="G437" s="68"/>
      <c r="J437" s="68"/>
      <c r="M437" s="68"/>
    </row>
    <row r="438" spans="7:13" ht="14.25" customHeight="1" x14ac:dyDescent="0.25">
      <c r="G438" s="68"/>
      <c r="J438" s="68"/>
      <c r="M438" s="68"/>
    </row>
    <row r="439" spans="7:13" ht="14.25" customHeight="1" x14ac:dyDescent="0.25">
      <c r="G439" s="68"/>
      <c r="J439" s="68"/>
      <c r="M439" s="68"/>
    </row>
    <row r="440" spans="7:13" ht="14.25" customHeight="1" x14ac:dyDescent="0.25">
      <c r="G440" s="68"/>
      <c r="J440" s="68"/>
      <c r="M440" s="68"/>
    </row>
    <row r="441" spans="7:13" ht="14.25" customHeight="1" x14ac:dyDescent="0.25">
      <c r="G441" s="68"/>
      <c r="J441" s="68"/>
      <c r="M441" s="68"/>
    </row>
    <row r="442" spans="7:13" ht="14.25" customHeight="1" x14ac:dyDescent="0.25">
      <c r="G442" s="68"/>
      <c r="J442" s="68"/>
      <c r="M442" s="68"/>
    </row>
    <row r="443" spans="7:13" ht="14.25" customHeight="1" x14ac:dyDescent="0.25">
      <c r="G443" s="68"/>
      <c r="J443" s="68"/>
      <c r="M443" s="68"/>
    </row>
    <row r="444" spans="7:13" ht="14.25" customHeight="1" x14ac:dyDescent="0.25">
      <c r="G444" s="68"/>
      <c r="J444" s="68"/>
      <c r="M444" s="68"/>
    </row>
    <row r="445" spans="7:13" ht="14.25" customHeight="1" x14ac:dyDescent="0.25">
      <c r="G445" s="68"/>
      <c r="J445" s="68"/>
      <c r="M445" s="68"/>
    </row>
    <row r="446" spans="7:13" ht="14.25" customHeight="1" x14ac:dyDescent="0.25">
      <c r="G446" s="68"/>
      <c r="J446" s="68"/>
      <c r="M446" s="68"/>
    </row>
    <row r="447" spans="7:13" ht="14.25" customHeight="1" x14ac:dyDescent="0.25">
      <c r="G447" s="68"/>
      <c r="J447" s="68"/>
      <c r="M447" s="68"/>
    </row>
    <row r="448" spans="7:13" ht="14.25" customHeight="1" x14ac:dyDescent="0.25">
      <c r="G448" s="68"/>
      <c r="J448" s="68"/>
      <c r="M448" s="68"/>
    </row>
    <row r="449" spans="7:13" ht="14.25" customHeight="1" x14ac:dyDescent="0.25">
      <c r="G449" s="68"/>
      <c r="J449" s="68"/>
      <c r="M449" s="68"/>
    </row>
    <row r="450" spans="7:13" ht="14.25" customHeight="1" x14ac:dyDescent="0.25">
      <c r="G450" s="68"/>
      <c r="J450" s="68"/>
      <c r="M450" s="68"/>
    </row>
    <row r="451" spans="7:13" ht="14.25" customHeight="1" x14ac:dyDescent="0.25">
      <c r="G451" s="68"/>
      <c r="J451" s="68"/>
      <c r="M451" s="68"/>
    </row>
    <row r="452" spans="7:13" ht="14.25" customHeight="1" x14ac:dyDescent="0.25">
      <c r="G452" s="68"/>
      <c r="J452" s="68"/>
      <c r="M452" s="68"/>
    </row>
    <row r="453" spans="7:13" ht="14.25" customHeight="1" x14ac:dyDescent="0.25">
      <c r="G453" s="68"/>
      <c r="J453" s="68"/>
      <c r="M453" s="68"/>
    </row>
    <row r="454" spans="7:13" ht="14.25" customHeight="1" x14ac:dyDescent="0.25">
      <c r="G454" s="68"/>
      <c r="J454" s="68"/>
      <c r="M454" s="68"/>
    </row>
    <row r="455" spans="7:13" ht="14.25" customHeight="1" x14ac:dyDescent="0.25">
      <c r="G455" s="68"/>
      <c r="J455" s="68"/>
      <c r="M455" s="68"/>
    </row>
    <row r="456" spans="7:13" ht="14.25" customHeight="1" x14ac:dyDescent="0.25">
      <c r="G456" s="68"/>
      <c r="J456" s="68"/>
      <c r="M456" s="68"/>
    </row>
    <row r="457" spans="7:13" ht="14.25" customHeight="1" x14ac:dyDescent="0.25">
      <c r="G457" s="68"/>
      <c r="J457" s="68"/>
      <c r="M457" s="68"/>
    </row>
    <row r="458" spans="7:13" ht="14.25" customHeight="1" x14ac:dyDescent="0.25">
      <c r="G458" s="68"/>
      <c r="J458" s="68"/>
      <c r="M458" s="68"/>
    </row>
    <row r="459" spans="7:13" ht="14.25" customHeight="1" x14ac:dyDescent="0.25">
      <c r="G459" s="68"/>
      <c r="J459" s="68"/>
      <c r="M459" s="68"/>
    </row>
    <row r="460" spans="7:13" ht="14.25" customHeight="1" x14ac:dyDescent="0.25">
      <c r="G460" s="68"/>
      <c r="J460" s="68"/>
      <c r="M460" s="68"/>
    </row>
    <row r="461" spans="7:13" ht="14.25" customHeight="1" x14ac:dyDescent="0.25">
      <c r="G461" s="68"/>
      <c r="J461" s="68"/>
      <c r="M461" s="68"/>
    </row>
    <row r="462" spans="7:13" ht="14.25" customHeight="1" x14ac:dyDescent="0.25">
      <c r="G462" s="68"/>
      <c r="J462" s="68"/>
      <c r="M462" s="68"/>
    </row>
    <row r="463" spans="7:13" ht="14.25" customHeight="1" x14ac:dyDescent="0.25">
      <c r="G463" s="68"/>
      <c r="J463" s="68"/>
      <c r="M463" s="68"/>
    </row>
    <row r="464" spans="7:13" ht="14.25" customHeight="1" x14ac:dyDescent="0.25">
      <c r="G464" s="68"/>
      <c r="J464" s="68"/>
      <c r="M464" s="68"/>
    </row>
    <row r="465" spans="7:13" ht="14.25" customHeight="1" x14ac:dyDescent="0.25">
      <c r="G465" s="68"/>
      <c r="J465" s="68"/>
      <c r="M465" s="68"/>
    </row>
    <row r="466" spans="7:13" ht="14.25" customHeight="1" x14ac:dyDescent="0.25">
      <c r="G466" s="68"/>
      <c r="J466" s="68"/>
      <c r="M466" s="68"/>
    </row>
    <row r="467" spans="7:13" ht="14.25" customHeight="1" x14ac:dyDescent="0.25">
      <c r="G467" s="68"/>
      <c r="J467" s="68"/>
      <c r="M467" s="68"/>
    </row>
    <row r="468" spans="7:13" ht="14.25" customHeight="1" x14ac:dyDescent="0.25">
      <c r="G468" s="68"/>
      <c r="J468" s="68"/>
      <c r="M468" s="68"/>
    </row>
    <row r="469" spans="7:13" ht="14.25" customHeight="1" x14ac:dyDescent="0.25">
      <c r="G469" s="68"/>
      <c r="J469" s="68"/>
      <c r="M469" s="68"/>
    </row>
    <row r="470" spans="7:13" ht="14.25" customHeight="1" x14ac:dyDescent="0.25">
      <c r="G470" s="68"/>
      <c r="J470" s="68"/>
      <c r="M470" s="68"/>
    </row>
    <row r="471" spans="7:13" ht="14.25" customHeight="1" x14ac:dyDescent="0.25">
      <c r="G471" s="68"/>
      <c r="J471" s="68"/>
      <c r="M471" s="68"/>
    </row>
    <row r="472" spans="7:13" ht="14.25" customHeight="1" x14ac:dyDescent="0.25">
      <c r="G472" s="68"/>
      <c r="J472" s="68"/>
      <c r="M472" s="68"/>
    </row>
    <row r="473" spans="7:13" ht="14.25" customHeight="1" x14ac:dyDescent="0.25">
      <c r="G473" s="68"/>
      <c r="J473" s="68"/>
      <c r="M473" s="68"/>
    </row>
    <row r="474" spans="7:13" ht="14.25" customHeight="1" x14ac:dyDescent="0.25">
      <c r="G474" s="68"/>
      <c r="J474" s="68"/>
      <c r="M474" s="68"/>
    </row>
    <row r="475" spans="7:13" ht="14.25" customHeight="1" x14ac:dyDescent="0.25">
      <c r="G475" s="68"/>
      <c r="J475" s="68"/>
      <c r="M475" s="68"/>
    </row>
    <row r="476" spans="7:13" ht="14.25" customHeight="1" x14ac:dyDescent="0.25">
      <c r="G476" s="68"/>
      <c r="J476" s="68"/>
      <c r="M476" s="68"/>
    </row>
    <row r="477" spans="7:13" ht="14.25" customHeight="1" x14ac:dyDescent="0.25">
      <c r="G477" s="68"/>
      <c r="J477" s="68"/>
      <c r="M477" s="68"/>
    </row>
    <row r="478" spans="7:13" ht="14.25" customHeight="1" x14ac:dyDescent="0.25">
      <c r="G478" s="68"/>
      <c r="J478" s="68"/>
      <c r="M478" s="68"/>
    </row>
    <row r="479" spans="7:13" ht="14.25" customHeight="1" x14ac:dyDescent="0.25">
      <c r="G479" s="68"/>
      <c r="J479" s="68"/>
      <c r="M479" s="68"/>
    </row>
    <row r="480" spans="7:13" ht="14.25" customHeight="1" x14ac:dyDescent="0.25">
      <c r="G480" s="68"/>
      <c r="J480" s="68"/>
      <c r="M480" s="68"/>
    </row>
    <row r="481" spans="7:13" ht="14.25" customHeight="1" x14ac:dyDescent="0.25">
      <c r="G481" s="68"/>
      <c r="J481" s="68"/>
      <c r="M481" s="68"/>
    </row>
    <row r="482" spans="7:13" ht="14.25" customHeight="1" x14ac:dyDescent="0.25">
      <c r="G482" s="68"/>
      <c r="J482" s="68"/>
      <c r="M482" s="68"/>
    </row>
    <row r="483" spans="7:13" ht="14.25" customHeight="1" x14ac:dyDescent="0.25">
      <c r="G483" s="68"/>
      <c r="J483" s="68"/>
      <c r="M483" s="68"/>
    </row>
    <row r="484" spans="7:13" ht="14.25" customHeight="1" x14ac:dyDescent="0.25">
      <c r="G484" s="68"/>
      <c r="J484" s="68"/>
      <c r="M484" s="68"/>
    </row>
    <row r="485" spans="7:13" ht="14.25" customHeight="1" x14ac:dyDescent="0.25">
      <c r="G485" s="68"/>
      <c r="J485" s="68"/>
      <c r="M485" s="68"/>
    </row>
    <row r="486" spans="7:13" ht="14.25" customHeight="1" x14ac:dyDescent="0.25">
      <c r="G486" s="68"/>
      <c r="J486" s="68"/>
      <c r="M486" s="68"/>
    </row>
    <row r="487" spans="7:13" ht="14.25" customHeight="1" x14ac:dyDescent="0.25">
      <c r="G487" s="68"/>
      <c r="J487" s="68"/>
      <c r="M487" s="68"/>
    </row>
    <row r="488" spans="7:13" ht="14.25" customHeight="1" x14ac:dyDescent="0.25">
      <c r="G488" s="68"/>
      <c r="J488" s="68"/>
      <c r="M488" s="68"/>
    </row>
    <row r="489" spans="7:13" ht="14.25" customHeight="1" x14ac:dyDescent="0.25">
      <c r="G489" s="68"/>
      <c r="J489" s="68"/>
      <c r="M489" s="68"/>
    </row>
    <row r="490" spans="7:13" ht="14.25" customHeight="1" x14ac:dyDescent="0.25">
      <c r="G490" s="68"/>
      <c r="J490" s="68"/>
      <c r="M490" s="68"/>
    </row>
    <row r="491" spans="7:13" ht="14.25" customHeight="1" x14ac:dyDescent="0.25">
      <c r="G491" s="68"/>
      <c r="J491" s="68"/>
      <c r="M491" s="68"/>
    </row>
    <row r="492" spans="7:13" ht="14.25" customHeight="1" x14ac:dyDescent="0.25">
      <c r="G492" s="68"/>
      <c r="J492" s="68"/>
      <c r="M492" s="68"/>
    </row>
    <row r="493" spans="7:13" ht="14.25" customHeight="1" x14ac:dyDescent="0.25">
      <c r="G493" s="68"/>
      <c r="J493" s="68"/>
      <c r="M493" s="68"/>
    </row>
    <row r="494" spans="7:13" ht="14.25" customHeight="1" x14ac:dyDescent="0.25">
      <c r="G494" s="68"/>
      <c r="J494" s="68"/>
      <c r="M494" s="68"/>
    </row>
    <row r="495" spans="7:13" ht="14.25" customHeight="1" x14ac:dyDescent="0.25">
      <c r="G495" s="68"/>
      <c r="J495" s="68"/>
      <c r="M495" s="68"/>
    </row>
    <row r="496" spans="7:13" ht="14.25" customHeight="1" x14ac:dyDescent="0.25">
      <c r="G496" s="68"/>
      <c r="J496" s="68"/>
      <c r="M496" s="68"/>
    </row>
    <row r="497" spans="7:13" ht="14.25" customHeight="1" x14ac:dyDescent="0.25">
      <c r="G497" s="68"/>
      <c r="J497" s="68"/>
      <c r="M497" s="68"/>
    </row>
    <row r="498" spans="7:13" ht="14.25" customHeight="1" x14ac:dyDescent="0.25">
      <c r="G498" s="68"/>
      <c r="J498" s="68"/>
      <c r="M498" s="68"/>
    </row>
    <row r="499" spans="7:13" ht="14.25" customHeight="1" x14ac:dyDescent="0.25">
      <c r="G499" s="68"/>
      <c r="J499" s="68"/>
      <c r="M499" s="68"/>
    </row>
    <row r="500" spans="7:13" ht="14.25" customHeight="1" x14ac:dyDescent="0.25">
      <c r="G500" s="68"/>
      <c r="J500" s="68"/>
      <c r="M500" s="68"/>
    </row>
    <row r="501" spans="7:13" ht="14.25" customHeight="1" x14ac:dyDescent="0.25">
      <c r="G501" s="68"/>
      <c r="J501" s="68"/>
      <c r="M501" s="68"/>
    </row>
    <row r="502" spans="7:13" ht="14.25" customHeight="1" x14ac:dyDescent="0.25">
      <c r="G502" s="68"/>
      <c r="J502" s="68"/>
      <c r="M502" s="68"/>
    </row>
    <row r="503" spans="7:13" ht="14.25" customHeight="1" x14ac:dyDescent="0.25">
      <c r="G503" s="68"/>
      <c r="J503" s="68"/>
      <c r="M503" s="68"/>
    </row>
    <row r="504" spans="7:13" ht="14.25" customHeight="1" x14ac:dyDescent="0.25">
      <c r="G504" s="68"/>
      <c r="J504" s="68"/>
      <c r="M504" s="68"/>
    </row>
    <row r="505" spans="7:13" ht="14.25" customHeight="1" x14ac:dyDescent="0.25">
      <c r="G505" s="68"/>
      <c r="J505" s="68"/>
      <c r="M505" s="68"/>
    </row>
    <row r="506" spans="7:13" ht="14.25" customHeight="1" x14ac:dyDescent="0.25">
      <c r="G506" s="68"/>
      <c r="J506" s="68"/>
      <c r="M506" s="68"/>
    </row>
    <row r="507" spans="7:13" ht="14.25" customHeight="1" x14ac:dyDescent="0.25">
      <c r="G507" s="68"/>
      <c r="J507" s="68"/>
      <c r="M507" s="68"/>
    </row>
    <row r="508" spans="7:13" ht="14.25" customHeight="1" x14ac:dyDescent="0.25">
      <c r="G508" s="68"/>
      <c r="J508" s="68"/>
      <c r="M508" s="68"/>
    </row>
    <row r="509" spans="7:13" ht="14.25" customHeight="1" x14ac:dyDescent="0.25">
      <c r="G509" s="68"/>
      <c r="J509" s="68"/>
      <c r="M509" s="68"/>
    </row>
    <row r="510" spans="7:13" ht="14.25" customHeight="1" x14ac:dyDescent="0.25">
      <c r="G510" s="68"/>
      <c r="J510" s="68"/>
      <c r="M510" s="68"/>
    </row>
    <row r="511" spans="7:13" ht="14.25" customHeight="1" x14ac:dyDescent="0.25">
      <c r="G511" s="68"/>
      <c r="J511" s="68"/>
      <c r="M511" s="68"/>
    </row>
    <row r="512" spans="7:13" ht="14.25" customHeight="1" x14ac:dyDescent="0.25">
      <c r="G512" s="68"/>
      <c r="J512" s="68"/>
      <c r="M512" s="68"/>
    </row>
    <row r="513" spans="7:13" ht="14.25" customHeight="1" x14ac:dyDescent="0.25">
      <c r="G513" s="68"/>
      <c r="J513" s="68"/>
      <c r="M513" s="68"/>
    </row>
    <row r="514" spans="7:13" ht="14.25" customHeight="1" x14ac:dyDescent="0.25">
      <c r="G514" s="68"/>
      <c r="J514" s="68"/>
      <c r="M514" s="68"/>
    </row>
    <row r="515" spans="7:13" ht="14.25" customHeight="1" x14ac:dyDescent="0.25">
      <c r="G515" s="68"/>
      <c r="J515" s="68"/>
      <c r="M515" s="68"/>
    </row>
    <row r="516" spans="7:13" ht="14.25" customHeight="1" x14ac:dyDescent="0.25">
      <c r="G516" s="68"/>
      <c r="J516" s="68"/>
      <c r="M516" s="68"/>
    </row>
    <row r="517" spans="7:13" ht="14.25" customHeight="1" x14ac:dyDescent="0.25">
      <c r="G517" s="68"/>
      <c r="J517" s="68"/>
      <c r="M517" s="68"/>
    </row>
    <row r="518" spans="7:13" ht="14.25" customHeight="1" x14ac:dyDescent="0.25">
      <c r="G518" s="68"/>
      <c r="J518" s="68"/>
      <c r="M518" s="68"/>
    </row>
    <row r="519" spans="7:13" ht="14.25" customHeight="1" x14ac:dyDescent="0.25">
      <c r="G519" s="68"/>
      <c r="J519" s="68"/>
      <c r="M519" s="68"/>
    </row>
    <row r="520" spans="7:13" ht="14.25" customHeight="1" x14ac:dyDescent="0.25">
      <c r="G520" s="68"/>
      <c r="J520" s="68"/>
      <c r="M520" s="68"/>
    </row>
    <row r="521" spans="7:13" ht="14.25" customHeight="1" x14ac:dyDescent="0.25">
      <c r="G521" s="68"/>
      <c r="J521" s="68"/>
      <c r="M521" s="68"/>
    </row>
    <row r="522" spans="7:13" ht="14.25" customHeight="1" x14ac:dyDescent="0.25">
      <c r="G522" s="68"/>
      <c r="J522" s="68"/>
      <c r="M522" s="68"/>
    </row>
    <row r="523" spans="7:13" ht="14.25" customHeight="1" x14ac:dyDescent="0.25">
      <c r="G523" s="68"/>
      <c r="J523" s="68"/>
      <c r="M523" s="68"/>
    </row>
    <row r="524" spans="7:13" ht="14.25" customHeight="1" x14ac:dyDescent="0.25">
      <c r="G524" s="68"/>
      <c r="J524" s="68"/>
      <c r="M524" s="68"/>
    </row>
    <row r="525" spans="7:13" ht="14.25" customHeight="1" x14ac:dyDescent="0.25">
      <c r="G525" s="68"/>
      <c r="J525" s="68"/>
      <c r="M525" s="68"/>
    </row>
    <row r="526" spans="7:13" ht="14.25" customHeight="1" x14ac:dyDescent="0.25">
      <c r="G526" s="68"/>
      <c r="J526" s="68"/>
      <c r="M526" s="68"/>
    </row>
    <row r="527" spans="7:13" ht="14.25" customHeight="1" x14ac:dyDescent="0.25">
      <c r="G527" s="68"/>
      <c r="J527" s="68"/>
      <c r="M527" s="68"/>
    </row>
    <row r="528" spans="7:13" ht="14.25" customHeight="1" x14ac:dyDescent="0.25">
      <c r="G528" s="68"/>
      <c r="J528" s="68"/>
      <c r="M528" s="68"/>
    </row>
    <row r="529" spans="7:13" ht="14.25" customHeight="1" x14ac:dyDescent="0.25">
      <c r="G529" s="68"/>
      <c r="J529" s="68"/>
      <c r="M529" s="68"/>
    </row>
    <row r="530" spans="7:13" ht="14.25" customHeight="1" x14ac:dyDescent="0.25">
      <c r="G530" s="68"/>
      <c r="J530" s="68"/>
      <c r="M530" s="68"/>
    </row>
    <row r="531" spans="7:13" ht="14.25" customHeight="1" x14ac:dyDescent="0.25">
      <c r="G531" s="68"/>
      <c r="J531" s="68"/>
      <c r="M531" s="68"/>
    </row>
    <row r="532" spans="7:13" ht="14.25" customHeight="1" x14ac:dyDescent="0.25">
      <c r="G532" s="68"/>
      <c r="J532" s="68"/>
      <c r="M532" s="68"/>
    </row>
    <row r="533" spans="7:13" ht="14.25" customHeight="1" x14ac:dyDescent="0.25">
      <c r="G533" s="68"/>
      <c r="J533" s="68"/>
      <c r="M533" s="68"/>
    </row>
    <row r="534" spans="7:13" ht="14.25" customHeight="1" x14ac:dyDescent="0.25">
      <c r="G534" s="68"/>
      <c r="J534" s="68"/>
      <c r="M534" s="68"/>
    </row>
    <row r="535" spans="7:13" ht="14.25" customHeight="1" x14ac:dyDescent="0.25">
      <c r="G535" s="68"/>
      <c r="J535" s="68"/>
      <c r="M535" s="68"/>
    </row>
    <row r="536" spans="7:13" ht="14.25" customHeight="1" x14ac:dyDescent="0.25">
      <c r="G536" s="68"/>
      <c r="J536" s="68"/>
      <c r="M536" s="68"/>
    </row>
    <row r="537" spans="7:13" ht="14.25" customHeight="1" x14ac:dyDescent="0.25">
      <c r="G537" s="68"/>
      <c r="J537" s="68"/>
      <c r="M537" s="68"/>
    </row>
    <row r="538" spans="7:13" ht="14.25" customHeight="1" x14ac:dyDescent="0.25">
      <c r="G538" s="68"/>
      <c r="J538" s="68"/>
      <c r="M538" s="68"/>
    </row>
    <row r="539" spans="7:13" ht="14.25" customHeight="1" x14ac:dyDescent="0.25">
      <c r="G539" s="68"/>
      <c r="J539" s="68"/>
      <c r="M539" s="68"/>
    </row>
    <row r="540" spans="7:13" ht="14.25" customHeight="1" x14ac:dyDescent="0.25">
      <c r="G540" s="68"/>
      <c r="J540" s="68"/>
      <c r="M540" s="68"/>
    </row>
    <row r="541" spans="7:13" ht="14.25" customHeight="1" x14ac:dyDescent="0.25">
      <c r="G541" s="68"/>
      <c r="J541" s="68"/>
      <c r="M541" s="68"/>
    </row>
    <row r="542" spans="7:13" ht="14.25" customHeight="1" x14ac:dyDescent="0.25">
      <c r="G542" s="68"/>
      <c r="J542" s="68"/>
      <c r="M542" s="68"/>
    </row>
    <row r="543" spans="7:13" ht="14.25" customHeight="1" x14ac:dyDescent="0.25">
      <c r="G543" s="68"/>
      <c r="J543" s="68"/>
      <c r="M543" s="68"/>
    </row>
    <row r="544" spans="7:13" ht="14.25" customHeight="1" x14ac:dyDescent="0.25">
      <c r="G544" s="68"/>
      <c r="J544" s="68"/>
      <c r="M544" s="68"/>
    </row>
    <row r="545" spans="7:13" ht="14.25" customHeight="1" x14ac:dyDescent="0.25">
      <c r="G545" s="68"/>
      <c r="J545" s="68"/>
      <c r="M545" s="68"/>
    </row>
    <row r="546" spans="7:13" ht="14.25" customHeight="1" x14ac:dyDescent="0.25">
      <c r="G546" s="68"/>
      <c r="J546" s="68"/>
      <c r="M546" s="68"/>
    </row>
    <row r="547" spans="7:13" ht="14.25" customHeight="1" x14ac:dyDescent="0.25">
      <c r="G547" s="68"/>
      <c r="J547" s="68"/>
      <c r="M547" s="68"/>
    </row>
    <row r="548" spans="7:13" ht="14.25" customHeight="1" x14ac:dyDescent="0.25">
      <c r="G548" s="68"/>
      <c r="J548" s="68"/>
      <c r="M548" s="68"/>
    </row>
    <row r="549" spans="7:13" ht="14.25" customHeight="1" x14ac:dyDescent="0.25">
      <c r="G549" s="68"/>
      <c r="J549" s="68"/>
      <c r="M549" s="68"/>
    </row>
    <row r="550" spans="7:13" ht="14.25" customHeight="1" x14ac:dyDescent="0.25">
      <c r="G550" s="68"/>
      <c r="J550" s="68"/>
      <c r="M550" s="68"/>
    </row>
    <row r="551" spans="7:13" ht="14.25" customHeight="1" x14ac:dyDescent="0.25">
      <c r="G551" s="68"/>
      <c r="J551" s="68"/>
      <c r="M551" s="68"/>
    </row>
    <row r="552" spans="7:13" ht="14.25" customHeight="1" x14ac:dyDescent="0.25">
      <c r="G552" s="68"/>
      <c r="J552" s="68"/>
      <c r="M552" s="68"/>
    </row>
    <row r="553" spans="7:13" ht="14.25" customHeight="1" x14ac:dyDescent="0.25">
      <c r="G553" s="68"/>
      <c r="J553" s="68"/>
      <c r="M553" s="68"/>
    </row>
    <row r="554" spans="7:13" ht="14.25" customHeight="1" x14ac:dyDescent="0.25">
      <c r="G554" s="68"/>
      <c r="J554" s="68"/>
      <c r="M554" s="68"/>
    </row>
    <row r="555" spans="7:13" ht="14.25" customHeight="1" x14ac:dyDescent="0.25">
      <c r="G555" s="68"/>
      <c r="J555" s="68"/>
      <c r="M555" s="68"/>
    </row>
    <row r="556" spans="7:13" ht="14.25" customHeight="1" x14ac:dyDescent="0.25">
      <c r="G556" s="68"/>
      <c r="J556" s="68"/>
      <c r="M556" s="68"/>
    </row>
    <row r="557" spans="7:13" ht="14.25" customHeight="1" x14ac:dyDescent="0.25">
      <c r="G557" s="68"/>
      <c r="J557" s="68"/>
      <c r="M557" s="68"/>
    </row>
    <row r="558" spans="7:13" ht="14.25" customHeight="1" x14ac:dyDescent="0.25">
      <c r="G558" s="68"/>
      <c r="J558" s="68"/>
      <c r="M558" s="68"/>
    </row>
    <row r="559" spans="7:13" ht="14.25" customHeight="1" x14ac:dyDescent="0.25">
      <c r="G559" s="68"/>
      <c r="J559" s="68"/>
      <c r="M559" s="68"/>
    </row>
    <row r="560" spans="7:13" ht="14.25" customHeight="1" x14ac:dyDescent="0.25">
      <c r="G560" s="68"/>
      <c r="J560" s="68"/>
      <c r="M560" s="68"/>
    </row>
    <row r="561" spans="7:13" ht="14.25" customHeight="1" x14ac:dyDescent="0.25">
      <c r="G561" s="68"/>
      <c r="J561" s="68"/>
      <c r="M561" s="68"/>
    </row>
    <row r="562" spans="7:13" ht="14.25" customHeight="1" x14ac:dyDescent="0.25">
      <c r="G562" s="68"/>
      <c r="J562" s="68"/>
      <c r="M562" s="68"/>
    </row>
    <row r="563" spans="7:13" ht="14.25" customHeight="1" x14ac:dyDescent="0.25">
      <c r="G563" s="68"/>
      <c r="J563" s="68"/>
      <c r="M563" s="68"/>
    </row>
    <row r="564" spans="7:13" ht="14.25" customHeight="1" x14ac:dyDescent="0.25">
      <c r="G564" s="68"/>
      <c r="J564" s="68"/>
      <c r="M564" s="68"/>
    </row>
    <row r="565" spans="7:13" ht="14.25" customHeight="1" x14ac:dyDescent="0.25">
      <c r="G565" s="68"/>
      <c r="J565" s="68"/>
      <c r="M565" s="68"/>
    </row>
    <row r="566" spans="7:13" ht="14.25" customHeight="1" x14ac:dyDescent="0.25">
      <c r="G566" s="68"/>
      <c r="J566" s="68"/>
      <c r="M566" s="68"/>
    </row>
    <row r="567" spans="7:13" ht="14.25" customHeight="1" x14ac:dyDescent="0.25">
      <c r="G567" s="68"/>
      <c r="J567" s="68"/>
      <c r="M567" s="68"/>
    </row>
    <row r="568" spans="7:13" ht="14.25" customHeight="1" x14ac:dyDescent="0.25">
      <c r="G568" s="68"/>
      <c r="J568" s="68"/>
      <c r="M568" s="68"/>
    </row>
    <row r="569" spans="7:13" ht="14.25" customHeight="1" x14ac:dyDescent="0.25">
      <c r="G569" s="68"/>
      <c r="J569" s="68"/>
      <c r="M569" s="68"/>
    </row>
    <row r="570" spans="7:13" ht="14.25" customHeight="1" x14ac:dyDescent="0.25">
      <c r="G570" s="68"/>
      <c r="J570" s="68"/>
      <c r="M570" s="68"/>
    </row>
    <row r="571" spans="7:13" ht="14.25" customHeight="1" x14ac:dyDescent="0.25">
      <c r="G571" s="68"/>
      <c r="J571" s="68"/>
      <c r="M571" s="68"/>
    </row>
    <row r="572" spans="7:13" ht="14.25" customHeight="1" x14ac:dyDescent="0.25">
      <c r="G572" s="68"/>
      <c r="J572" s="68"/>
      <c r="M572" s="68"/>
    </row>
    <row r="573" spans="7:13" ht="14.25" customHeight="1" x14ac:dyDescent="0.25">
      <c r="G573" s="68"/>
      <c r="J573" s="68"/>
      <c r="M573" s="68"/>
    </row>
    <row r="574" spans="7:13" ht="14.25" customHeight="1" x14ac:dyDescent="0.25">
      <c r="G574" s="68"/>
      <c r="J574" s="68"/>
      <c r="M574" s="68"/>
    </row>
    <row r="575" spans="7:13" ht="14.25" customHeight="1" x14ac:dyDescent="0.25">
      <c r="G575" s="68"/>
      <c r="J575" s="68"/>
      <c r="M575" s="68"/>
    </row>
    <row r="576" spans="7:13" ht="14.25" customHeight="1" x14ac:dyDescent="0.25">
      <c r="G576" s="68"/>
      <c r="J576" s="68"/>
      <c r="M576" s="68"/>
    </row>
    <row r="577" spans="7:13" ht="14.25" customHeight="1" x14ac:dyDescent="0.25">
      <c r="G577" s="68"/>
      <c r="J577" s="68"/>
      <c r="M577" s="68"/>
    </row>
    <row r="578" spans="7:13" ht="14.25" customHeight="1" x14ac:dyDescent="0.25">
      <c r="G578" s="68"/>
      <c r="J578" s="68"/>
      <c r="M578" s="68"/>
    </row>
    <row r="579" spans="7:13" ht="14.25" customHeight="1" x14ac:dyDescent="0.25">
      <c r="G579" s="68"/>
      <c r="J579" s="68"/>
      <c r="M579" s="68"/>
    </row>
    <row r="580" spans="7:13" ht="14.25" customHeight="1" x14ac:dyDescent="0.25">
      <c r="G580" s="68"/>
      <c r="J580" s="68"/>
      <c r="M580" s="68"/>
    </row>
    <row r="581" spans="7:13" ht="14.25" customHeight="1" x14ac:dyDescent="0.25">
      <c r="G581" s="68"/>
      <c r="J581" s="68"/>
      <c r="M581" s="68"/>
    </row>
    <row r="582" spans="7:13" ht="14.25" customHeight="1" x14ac:dyDescent="0.25">
      <c r="G582" s="68"/>
      <c r="J582" s="68"/>
      <c r="M582" s="68"/>
    </row>
    <row r="583" spans="7:13" ht="14.25" customHeight="1" x14ac:dyDescent="0.25">
      <c r="G583" s="68"/>
      <c r="J583" s="68"/>
      <c r="M583" s="68"/>
    </row>
    <row r="584" spans="7:13" ht="14.25" customHeight="1" x14ac:dyDescent="0.25">
      <c r="G584" s="68"/>
      <c r="J584" s="68"/>
      <c r="M584" s="68"/>
    </row>
    <row r="585" spans="7:13" ht="14.25" customHeight="1" x14ac:dyDescent="0.25">
      <c r="G585" s="68"/>
      <c r="J585" s="68"/>
      <c r="M585" s="68"/>
    </row>
    <row r="586" spans="7:13" ht="14.25" customHeight="1" x14ac:dyDescent="0.25">
      <c r="G586" s="68"/>
      <c r="J586" s="68"/>
      <c r="M586" s="68"/>
    </row>
    <row r="587" spans="7:13" ht="14.25" customHeight="1" x14ac:dyDescent="0.25">
      <c r="G587" s="68"/>
      <c r="J587" s="68"/>
      <c r="M587" s="68"/>
    </row>
    <row r="588" spans="7:13" ht="14.25" customHeight="1" x14ac:dyDescent="0.25">
      <c r="G588" s="68"/>
      <c r="J588" s="68"/>
      <c r="M588" s="68"/>
    </row>
    <row r="589" spans="7:13" ht="14.25" customHeight="1" x14ac:dyDescent="0.25">
      <c r="G589" s="68"/>
      <c r="J589" s="68"/>
      <c r="M589" s="68"/>
    </row>
    <row r="590" spans="7:13" ht="14.25" customHeight="1" x14ac:dyDescent="0.25">
      <c r="G590" s="68"/>
      <c r="J590" s="68"/>
      <c r="M590" s="68"/>
    </row>
    <row r="591" spans="7:13" ht="14.25" customHeight="1" x14ac:dyDescent="0.25">
      <c r="G591" s="68"/>
      <c r="J591" s="68"/>
      <c r="M591" s="68"/>
    </row>
    <row r="592" spans="7:13" ht="14.25" customHeight="1" x14ac:dyDescent="0.25">
      <c r="G592" s="68"/>
      <c r="J592" s="68"/>
      <c r="M592" s="68"/>
    </row>
    <row r="593" spans="7:13" ht="14.25" customHeight="1" x14ac:dyDescent="0.25">
      <c r="G593" s="68"/>
      <c r="J593" s="68"/>
      <c r="M593" s="68"/>
    </row>
    <row r="594" spans="7:13" ht="14.25" customHeight="1" x14ac:dyDescent="0.25">
      <c r="G594" s="68"/>
      <c r="J594" s="68"/>
      <c r="M594" s="68"/>
    </row>
    <row r="595" spans="7:13" ht="14.25" customHeight="1" x14ac:dyDescent="0.25">
      <c r="G595" s="68"/>
      <c r="J595" s="68"/>
      <c r="M595" s="68"/>
    </row>
    <row r="596" spans="7:13" ht="14.25" customHeight="1" x14ac:dyDescent="0.25">
      <c r="G596" s="68"/>
      <c r="J596" s="68"/>
      <c r="M596" s="68"/>
    </row>
    <row r="597" spans="7:13" ht="14.25" customHeight="1" x14ac:dyDescent="0.25">
      <c r="G597" s="68"/>
      <c r="J597" s="68"/>
      <c r="M597" s="68"/>
    </row>
    <row r="598" spans="7:13" ht="14.25" customHeight="1" x14ac:dyDescent="0.25">
      <c r="G598" s="68"/>
      <c r="J598" s="68"/>
      <c r="M598" s="68"/>
    </row>
    <row r="599" spans="7:13" ht="14.25" customHeight="1" x14ac:dyDescent="0.25">
      <c r="G599" s="68"/>
      <c r="J599" s="68"/>
      <c r="M599" s="68"/>
    </row>
    <row r="600" spans="7:13" ht="14.25" customHeight="1" x14ac:dyDescent="0.25">
      <c r="G600" s="68"/>
      <c r="J600" s="68"/>
      <c r="M600" s="68"/>
    </row>
    <row r="601" spans="7:13" ht="14.25" customHeight="1" x14ac:dyDescent="0.25">
      <c r="G601" s="68"/>
      <c r="J601" s="68"/>
      <c r="M601" s="68"/>
    </row>
    <row r="602" spans="7:13" ht="14.25" customHeight="1" x14ac:dyDescent="0.25">
      <c r="G602" s="68"/>
      <c r="J602" s="68"/>
      <c r="M602" s="68"/>
    </row>
    <row r="603" spans="7:13" ht="14.25" customHeight="1" x14ac:dyDescent="0.25">
      <c r="G603" s="68"/>
      <c r="J603" s="68"/>
      <c r="M603" s="68"/>
    </row>
    <row r="604" spans="7:13" ht="14.25" customHeight="1" x14ac:dyDescent="0.25">
      <c r="G604" s="68"/>
      <c r="J604" s="68"/>
      <c r="M604" s="68"/>
    </row>
    <row r="605" spans="7:13" ht="14.25" customHeight="1" x14ac:dyDescent="0.25">
      <c r="G605" s="68"/>
      <c r="J605" s="68"/>
      <c r="M605" s="68"/>
    </row>
    <row r="606" spans="7:13" ht="14.25" customHeight="1" x14ac:dyDescent="0.25">
      <c r="G606" s="68"/>
      <c r="J606" s="68"/>
      <c r="M606" s="68"/>
    </row>
    <row r="607" spans="7:13" ht="14.25" customHeight="1" x14ac:dyDescent="0.25">
      <c r="G607" s="68"/>
      <c r="J607" s="68"/>
      <c r="M607" s="68"/>
    </row>
    <row r="608" spans="7:13" ht="14.25" customHeight="1" x14ac:dyDescent="0.25">
      <c r="G608" s="68"/>
      <c r="J608" s="68"/>
      <c r="M608" s="68"/>
    </row>
    <row r="609" spans="7:13" ht="14.25" customHeight="1" x14ac:dyDescent="0.25">
      <c r="G609" s="68"/>
      <c r="J609" s="68"/>
      <c r="M609" s="68"/>
    </row>
    <row r="610" spans="7:13" ht="14.25" customHeight="1" x14ac:dyDescent="0.25">
      <c r="G610" s="68"/>
      <c r="J610" s="68"/>
      <c r="M610" s="68"/>
    </row>
    <row r="611" spans="7:13" ht="14.25" customHeight="1" x14ac:dyDescent="0.25">
      <c r="G611" s="68"/>
      <c r="J611" s="68"/>
      <c r="M611" s="68"/>
    </row>
    <row r="612" spans="7:13" ht="14.25" customHeight="1" x14ac:dyDescent="0.25">
      <c r="G612" s="68"/>
      <c r="J612" s="68"/>
      <c r="M612" s="68"/>
    </row>
    <row r="613" spans="7:13" ht="14.25" customHeight="1" x14ac:dyDescent="0.25">
      <c r="G613" s="68"/>
      <c r="J613" s="68"/>
      <c r="M613" s="68"/>
    </row>
    <row r="614" spans="7:13" ht="14.25" customHeight="1" x14ac:dyDescent="0.25">
      <c r="G614" s="68"/>
      <c r="J614" s="68"/>
      <c r="M614" s="68"/>
    </row>
    <row r="615" spans="7:13" ht="14.25" customHeight="1" x14ac:dyDescent="0.25">
      <c r="G615" s="68"/>
      <c r="J615" s="68"/>
      <c r="M615" s="68"/>
    </row>
    <row r="616" spans="7:13" ht="14.25" customHeight="1" x14ac:dyDescent="0.25">
      <c r="G616" s="68"/>
      <c r="J616" s="68"/>
      <c r="M616" s="68"/>
    </row>
    <row r="617" spans="7:13" ht="14.25" customHeight="1" x14ac:dyDescent="0.25">
      <c r="G617" s="68"/>
      <c r="J617" s="68"/>
      <c r="M617" s="68"/>
    </row>
    <row r="618" spans="7:13" ht="14.25" customHeight="1" x14ac:dyDescent="0.25">
      <c r="G618" s="68"/>
      <c r="J618" s="68"/>
      <c r="M618" s="68"/>
    </row>
    <row r="619" spans="7:13" ht="14.25" customHeight="1" x14ac:dyDescent="0.25">
      <c r="G619" s="68"/>
      <c r="J619" s="68"/>
      <c r="M619" s="68"/>
    </row>
    <row r="620" spans="7:13" ht="14.25" customHeight="1" x14ac:dyDescent="0.25">
      <c r="G620" s="68"/>
      <c r="J620" s="68"/>
      <c r="M620" s="68"/>
    </row>
    <row r="621" spans="7:13" ht="14.25" customHeight="1" x14ac:dyDescent="0.25">
      <c r="G621" s="68"/>
      <c r="J621" s="68"/>
      <c r="M621" s="68"/>
    </row>
    <row r="622" spans="7:13" ht="14.25" customHeight="1" x14ac:dyDescent="0.25">
      <c r="G622" s="68"/>
      <c r="J622" s="68"/>
      <c r="M622" s="68"/>
    </row>
    <row r="623" spans="7:13" ht="14.25" customHeight="1" x14ac:dyDescent="0.25">
      <c r="G623" s="68"/>
      <c r="J623" s="68"/>
      <c r="M623" s="68"/>
    </row>
    <row r="624" spans="7:13" ht="14.25" customHeight="1" x14ac:dyDescent="0.25">
      <c r="G624" s="68"/>
      <c r="J624" s="68"/>
      <c r="M624" s="68"/>
    </row>
    <row r="625" spans="7:13" ht="14.25" customHeight="1" x14ac:dyDescent="0.25">
      <c r="G625" s="68"/>
      <c r="J625" s="68"/>
      <c r="M625" s="68"/>
    </row>
    <row r="626" spans="7:13" ht="14.25" customHeight="1" x14ac:dyDescent="0.25">
      <c r="G626" s="68"/>
      <c r="J626" s="68"/>
      <c r="M626" s="68"/>
    </row>
    <row r="627" spans="7:13" ht="14.25" customHeight="1" x14ac:dyDescent="0.25">
      <c r="G627" s="68"/>
      <c r="J627" s="68"/>
      <c r="M627" s="68"/>
    </row>
    <row r="628" spans="7:13" ht="14.25" customHeight="1" x14ac:dyDescent="0.25">
      <c r="G628" s="68"/>
      <c r="J628" s="68"/>
      <c r="M628" s="68"/>
    </row>
    <row r="629" spans="7:13" ht="14.25" customHeight="1" x14ac:dyDescent="0.25">
      <c r="G629" s="68"/>
      <c r="J629" s="68"/>
      <c r="M629" s="68"/>
    </row>
    <row r="630" spans="7:13" ht="14.25" customHeight="1" x14ac:dyDescent="0.25">
      <c r="G630" s="68"/>
      <c r="J630" s="68"/>
      <c r="M630" s="68"/>
    </row>
    <row r="631" spans="7:13" ht="14.25" customHeight="1" x14ac:dyDescent="0.25">
      <c r="G631" s="68"/>
      <c r="J631" s="68"/>
      <c r="M631" s="68"/>
    </row>
    <row r="632" spans="7:13" ht="14.25" customHeight="1" x14ac:dyDescent="0.25">
      <c r="G632" s="68"/>
      <c r="J632" s="68"/>
      <c r="M632" s="68"/>
    </row>
    <row r="633" spans="7:13" ht="14.25" customHeight="1" x14ac:dyDescent="0.25">
      <c r="G633" s="68"/>
      <c r="J633" s="68"/>
      <c r="M633" s="68"/>
    </row>
    <row r="634" spans="7:13" ht="14.25" customHeight="1" x14ac:dyDescent="0.25">
      <c r="G634" s="68"/>
      <c r="J634" s="68"/>
      <c r="M634" s="68"/>
    </row>
    <row r="635" spans="7:13" ht="14.25" customHeight="1" x14ac:dyDescent="0.25">
      <c r="G635" s="68"/>
      <c r="J635" s="68"/>
      <c r="M635" s="68"/>
    </row>
    <row r="636" spans="7:13" ht="14.25" customHeight="1" x14ac:dyDescent="0.25">
      <c r="G636" s="68"/>
      <c r="J636" s="68"/>
      <c r="M636" s="68"/>
    </row>
    <row r="637" spans="7:13" ht="14.25" customHeight="1" x14ac:dyDescent="0.25">
      <c r="G637" s="68"/>
      <c r="J637" s="68"/>
      <c r="M637" s="68"/>
    </row>
    <row r="638" spans="7:13" ht="14.25" customHeight="1" x14ac:dyDescent="0.25">
      <c r="G638" s="68"/>
      <c r="J638" s="68"/>
      <c r="M638" s="68"/>
    </row>
    <row r="639" spans="7:13" ht="14.25" customHeight="1" x14ac:dyDescent="0.25">
      <c r="G639" s="68"/>
      <c r="J639" s="68"/>
      <c r="M639" s="68"/>
    </row>
    <row r="640" spans="7:13" ht="14.25" customHeight="1" x14ac:dyDescent="0.25">
      <c r="G640" s="68"/>
      <c r="J640" s="68"/>
      <c r="M640" s="68"/>
    </row>
    <row r="641" spans="7:13" ht="14.25" customHeight="1" x14ac:dyDescent="0.25">
      <c r="G641" s="68"/>
      <c r="J641" s="68"/>
      <c r="M641" s="68"/>
    </row>
    <row r="642" spans="7:13" ht="14.25" customHeight="1" x14ac:dyDescent="0.25">
      <c r="G642" s="68"/>
      <c r="J642" s="68"/>
      <c r="M642" s="68"/>
    </row>
    <row r="643" spans="7:13" ht="14.25" customHeight="1" x14ac:dyDescent="0.25">
      <c r="G643" s="68"/>
      <c r="J643" s="68"/>
      <c r="M643" s="68"/>
    </row>
    <row r="644" spans="7:13" ht="14.25" customHeight="1" x14ac:dyDescent="0.25">
      <c r="G644" s="68"/>
      <c r="J644" s="68"/>
      <c r="M644" s="68"/>
    </row>
    <row r="645" spans="7:13" ht="14.25" customHeight="1" x14ac:dyDescent="0.25">
      <c r="G645" s="68"/>
      <c r="J645" s="68"/>
      <c r="M645" s="68"/>
    </row>
    <row r="646" spans="7:13" ht="14.25" customHeight="1" x14ac:dyDescent="0.25">
      <c r="G646" s="68"/>
      <c r="J646" s="68"/>
      <c r="M646" s="68"/>
    </row>
    <row r="647" spans="7:13" ht="14.25" customHeight="1" x14ac:dyDescent="0.25">
      <c r="G647" s="68"/>
      <c r="J647" s="68"/>
      <c r="M647" s="68"/>
    </row>
    <row r="648" spans="7:13" ht="14.25" customHeight="1" x14ac:dyDescent="0.25">
      <c r="G648" s="68"/>
      <c r="J648" s="68"/>
      <c r="M648" s="68"/>
    </row>
    <row r="649" spans="7:13" ht="14.25" customHeight="1" x14ac:dyDescent="0.25">
      <c r="G649" s="68"/>
      <c r="J649" s="68"/>
      <c r="M649" s="68"/>
    </row>
    <row r="650" spans="7:13" ht="14.25" customHeight="1" x14ac:dyDescent="0.25">
      <c r="G650" s="68"/>
      <c r="J650" s="68"/>
      <c r="M650" s="68"/>
    </row>
    <row r="651" spans="7:13" ht="14.25" customHeight="1" x14ac:dyDescent="0.25">
      <c r="G651" s="68"/>
      <c r="J651" s="68"/>
      <c r="M651" s="68"/>
    </row>
    <row r="652" spans="7:13" ht="14.25" customHeight="1" x14ac:dyDescent="0.25">
      <c r="G652" s="68"/>
      <c r="J652" s="68"/>
      <c r="M652" s="68"/>
    </row>
    <row r="653" spans="7:13" ht="14.25" customHeight="1" x14ac:dyDescent="0.25">
      <c r="G653" s="68"/>
      <c r="J653" s="68"/>
      <c r="M653" s="68"/>
    </row>
    <row r="654" spans="7:13" ht="14.25" customHeight="1" x14ac:dyDescent="0.25">
      <c r="G654" s="68"/>
      <c r="J654" s="68"/>
      <c r="M654" s="68"/>
    </row>
    <row r="655" spans="7:13" ht="14.25" customHeight="1" x14ac:dyDescent="0.25">
      <c r="G655" s="68"/>
      <c r="J655" s="68"/>
      <c r="M655" s="68"/>
    </row>
    <row r="656" spans="7:13" ht="14.25" customHeight="1" x14ac:dyDescent="0.25">
      <c r="G656" s="68"/>
      <c r="J656" s="68"/>
      <c r="M656" s="68"/>
    </row>
    <row r="657" spans="7:13" ht="14.25" customHeight="1" x14ac:dyDescent="0.25">
      <c r="G657" s="68"/>
      <c r="J657" s="68"/>
      <c r="M657" s="68"/>
    </row>
    <row r="658" spans="7:13" ht="14.25" customHeight="1" x14ac:dyDescent="0.25">
      <c r="G658" s="68"/>
      <c r="J658" s="68"/>
      <c r="M658" s="68"/>
    </row>
    <row r="659" spans="7:13" ht="14.25" customHeight="1" x14ac:dyDescent="0.25">
      <c r="G659" s="68"/>
      <c r="J659" s="68"/>
      <c r="M659" s="68"/>
    </row>
    <row r="660" spans="7:13" ht="14.25" customHeight="1" x14ac:dyDescent="0.25">
      <c r="G660" s="68"/>
      <c r="J660" s="68"/>
      <c r="M660" s="68"/>
    </row>
    <row r="661" spans="7:13" ht="14.25" customHeight="1" x14ac:dyDescent="0.25">
      <c r="G661" s="68"/>
      <c r="J661" s="68"/>
      <c r="M661" s="68"/>
    </row>
    <row r="662" spans="7:13" ht="14.25" customHeight="1" x14ac:dyDescent="0.25">
      <c r="G662" s="68"/>
      <c r="J662" s="68"/>
      <c r="M662" s="68"/>
    </row>
    <row r="663" spans="7:13" ht="14.25" customHeight="1" x14ac:dyDescent="0.25">
      <c r="G663" s="68"/>
      <c r="J663" s="68"/>
      <c r="M663" s="68"/>
    </row>
    <row r="664" spans="7:13" ht="14.25" customHeight="1" x14ac:dyDescent="0.25">
      <c r="G664" s="68"/>
      <c r="J664" s="68"/>
      <c r="M664" s="68"/>
    </row>
    <row r="665" spans="7:13" ht="14.25" customHeight="1" x14ac:dyDescent="0.25">
      <c r="G665" s="68"/>
      <c r="J665" s="68"/>
      <c r="M665" s="68"/>
    </row>
    <row r="666" spans="7:13" ht="14.25" customHeight="1" x14ac:dyDescent="0.25">
      <c r="G666" s="68"/>
      <c r="J666" s="68"/>
      <c r="M666" s="68"/>
    </row>
    <row r="667" spans="7:13" ht="14.25" customHeight="1" x14ac:dyDescent="0.25">
      <c r="G667" s="68"/>
      <c r="J667" s="68"/>
      <c r="M667" s="68"/>
    </row>
    <row r="668" spans="7:13" ht="14.25" customHeight="1" x14ac:dyDescent="0.25">
      <c r="G668" s="68"/>
      <c r="J668" s="68"/>
      <c r="M668" s="68"/>
    </row>
    <row r="669" spans="7:13" ht="14.25" customHeight="1" x14ac:dyDescent="0.25">
      <c r="G669" s="68"/>
      <c r="J669" s="68"/>
      <c r="M669" s="68"/>
    </row>
    <row r="670" spans="7:13" ht="14.25" customHeight="1" x14ac:dyDescent="0.25">
      <c r="G670" s="68"/>
      <c r="J670" s="68"/>
      <c r="M670" s="68"/>
    </row>
    <row r="671" spans="7:13" ht="14.25" customHeight="1" x14ac:dyDescent="0.25">
      <c r="G671" s="68"/>
      <c r="J671" s="68"/>
      <c r="M671" s="68"/>
    </row>
    <row r="672" spans="7:13" ht="14.25" customHeight="1" x14ac:dyDescent="0.25">
      <c r="G672" s="68"/>
      <c r="J672" s="68"/>
      <c r="M672" s="68"/>
    </row>
    <row r="673" spans="7:13" ht="14.25" customHeight="1" x14ac:dyDescent="0.25">
      <c r="G673" s="68"/>
      <c r="J673" s="68"/>
      <c r="M673" s="68"/>
    </row>
    <row r="674" spans="7:13" ht="14.25" customHeight="1" x14ac:dyDescent="0.25">
      <c r="G674" s="68"/>
      <c r="J674" s="68"/>
      <c r="M674" s="68"/>
    </row>
    <row r="675" spans="7:13" ht="14.25" customHeight="1" x14ac:dyDescent="0.25">
      <c r="G675" s="68"/>
      <c r="J675" s="68"/>
      <c r="M675" s="68"/>
    </row>
    <row r="676" spans="7:13" ht="14.25" customHeight="1" x14ac:dyDescent="0.25">
      <c r="G676" s="68"/>
      <c r="J676" s="68"/>
      <c r="M676" s="68"/>
    </row>
    <row r="677" spans="7:13" ht="14.25" customHeight="1" x14ac:dyDescent="0.25">
      <c r="G677" s="68"/>
      <c r="J677" s="68"/>
      <c r="M677" s="68"/>
    </row>
    <row r="678" spans="7:13" ht="14.25" customHeight="1" x14ac:dyDescent="0.25">
      <c r="G678" s="68"/>
      <c r="J678" s="68"/>
      <c r="M678" s="68"/>
    </row>
    <row r="679" spans="7:13" ht="14.25" customHeight="1" x14ac:dyDescent="0.25">
      <c r="G679" s="68"/>
      <c r="J679" s="68"/>
      <c r="M679" s="68"/>
    </row>
    <row r="680" spans="7:13" ht="14.25" customHeight="1" x14ac:dyDescent="0.25">
      <c r="G680" s="68"/>
      <c r="J680" s="68"/>
      <c r="M680" s="68"/>
    </row>
    <row r="681" spans="7:13" ht="14.25" customHeight="1" x14ac:dyDescent="0.25">
      <c r="G681" s="68"/>
      <c r="J681" s="68"/>
      <c r="M681" s="68"/>
    </row>
    <row r="682" spans="7:13" ht="14.25" customHeight="1" x14ac:dyDescent="0.25">
      <c r="G682" s="68"/>
      <c r="J682" s="68"/>
      <c r="M682" s="68"/>
    </row>
    <row r="683" spans="7:13" ht="14.25" customHeight="1" x14ac:dyDescent="0.25">
      <c r="G683" s="68"/>
      <c r="J683" s="68"/>
      <c r="M683" s="68"/>
    </row>
    <row r="684" spans="7:13" ht="14.25" customHeight="1" x14ac:dyDescent="0.25">
      <c r="G684" s="68"/>
      <c r="J684" s="68"/>
      <c r="M684" s="68"/>
    </row>
    <row r="685" spans="7:13" ht="14.25" customHeight="1" x14ac:dyDescent="0.25">
      <c r="G685" s="68"/>
      <c r="J685" s="68"/>
      <c r="M685" s="68"/>
    </row>
    <row r="686" spans="7:13" ht="14.25" customHeight="1" x14ac:dyDescent="0.25">
      <c r="G686" s="68"/>
      <c r="J686" s="68"/>
      <c r="M686" s="68"/>
    </row>
    <row r="687" spans="7:13" ht="14.25" customHeight="1" x14ac:dyDescent="0.25">
      <c r="G687" s="68"/>
      <c r="J687" s="68"/>
      <c r="M687" s="68"/>
    </row>
    <row r="688" spans="7:13" ht="14.25" customHeight="1" x14ac:dyDescent="0.25">
      <c r="G688" s="68"/>
      <c r="J688" s="68"/>
      <c r="M688" s="68"/>
    </row>
    <row r="689" spans="7:13" ht="14.25" customHeight="1" x14ac:dyDescent="0.25">
      <c r="G689" s="68"/>
      <c r="J689" s="68"/>
      <c r="M689" s="68"/>
    </row>
    <row r="690" spans="7:13" ht="14.25" customHeight="1" x14ac:dyDescent="0.25">
      <c r="G690" s="68"/>
      <c r="J690" s="68"/>
      <c r="M690" s="68"/>
    </row>
    <row r="691" spans="7:13" ht="14.25" customHeight="1" x14ac:dyDescent="0.25">
      <c r="G691" s="68"/>
      <c r="J691" s="68"/>
      <c r="M691" s="68"/>
    </row>
    <row r="692" spans="7:13" ht="14.25" customHeight="1" x14ac:dyDescent="0.25">
      <c r="G692" s="68"/>
      <c r="J692" s="68"/>
      <c r="M692" s="68"/>
    </row>
    <row r="693" spans="7:13" ht="14.25" customHeight="1" x14ac:dyDescent="0.25">
      <c r="G693" s="68"/>
      <c r="J693" s="68"/>
      <c r="M693" s="68"/>
    </row>
    <row r="694" spans="7:13" ht="14.25" customHeight="1" x14ac:dyDescent="0.25">
      <c r="G694" s="68"/>
      <c r="J694" s="68"/>
      <c r="M694" s="68"/>
    </row>
    <row r="695" spans="7:13" ht="14.25" customHeight="1" x14ac:dyDescent="0.25">
      <c r="G695" s="68"/>
      <c r="J695" s="68"/>
      <c r="M695" s="68"/>
    </row>
    <row r="696" spans="7:13" ht="14.25" customHeight="1" x14ac:dyDescent="0.25">
      <c r="G696" s="68"/>
      <c r="J696" s="68"/>
      <c r="M696" s="68"/>
    </row>
    <row r="697" spans="7:13" ht="14.25" customHeight="1" x14ac:dyDescent="0.25">
      <c r="G697" s="68"/>
      <c r="J697" s="68"/>
      <c r="M697" s="68"/>
    </row>
    <row r="698" spans="7:13" ht="14.25" customHeight="1" x14ac:dyDescent="0.25">
      <c r="G698" s="68"/>
      <c r="J698" s="68"/>
      <c r="M698" s="68"/>
    </row>
    <row r="699" spans="7:13" ht="14.25" customHeight="1" x14ac:dyDescent="0.25">
      <c r="G699" s="68"/>
      <c r="J699" s="68"/>
      <c r="M699" s="68"/>
    </row>
    <row r="700" spans="7:13" ht="14.25" customHeight="1" x14ac:dyDescent="0.25">
      <c r="G700" s="68"/>
      <c r="J700" s="68"/>
      <c r="M700" s="68"/>
    </row>
    <row r="701" spans="7:13" ht="14.25" customHeight="1" x14ac:dyDescent="0.25">
      <c r="G701" s="68"/>
      <c r="J701" s="68"/>
      <c r="M701" s="68"/>
    </row>
    <row r="702" spans="7:13" ht="14.25" customHeight="1" x14ac:dyDescent="0.25">
      <c r="G702" s="68"/>
      <c r="J702" s="68"/>
      <c r="M702" s="68"/>
    </row>
    <row r="703" spans="7:13" ht="14.25" customHeight="1" x14ac:dyDescent="0.25">
      <c r="G703" s="68"/>
      <c r="J703" s="68"/>
      <c r="M703" s="68"/>
    </row>
    <row r="704" spans="7:13" ht="14.25" customHeight="1" x14ac:dyDescent="0.25">
      <c r="G704" s="68"/>
      <c r="J704" s="68"/>
      <c r="M704" s="68"/>
    </row>
    <row r="705" spans="7:13" ht="14.25" customHeight="1" x14ac:dyDescent="0.25">
      <c r="G705" s="68"/>
      <c r="J705" s="68"/>
      <c r="M705" s="68"/>
    </row>
    <row r="706" spans="7:13" ht="14.25" customHeight="1" x14ac:dyDescent="0.25">
      <c r="G706" s="68"/>
      <c r="J706" s="68"/>
      <c r="M706" s="68"/>
    </row>
    <row r="707" spans="7:13" ht="14.25" customHeight="1" x14ac:dyDescent="0.25">
      <c r="G707" s="68"/>
      <c r="J707" s="68"/>
      <c r="M707" s="68"/>
    </row>
    <row r="708" spans="7:13" ht="14.25" customHeight="1" x14ac:dyDescent="0.25">
      <c r="G708" s="68"/>
      <c r="J708" s="68"/>
      <c r="M708" s="68"/>
    </row>
    <row r="709" spans="7:13" ht="14.25" customHeight="1" x14ac:dyDescent="0.25">
      <c r="G709" s="68"/>
      <c r="J709" s="68"/>
      <c r="M709" s="68"/>
    </row>
    <row r="710" spans="7:13" ht="14.25" customHeight="1" x14ac:dyDescent="0.25">
      <c r="G710" s="68"/>
      <c r="J710" s="68"/>
      <c r="M710" s="68"/>
    </row>
    <row r="711" spans="7:13" ht="14.25" customHeight="1" x14ac:dyDescent="0.25">
      <c r="G711" s="68"/>
      <c r="J711" s="68"/>
      <c r="M711" s="68"/>
    </row>
    <row r="712" spans="7:13" ht="14.25" customHeight="1" x14ac:dyDescent="0.25">
      <c r="G712" s="68"/>
      <c r="J712" s="68"/>
      <c r="M712" s="68"/>
    </row>
    <row r="713" spans="7:13" ht="14.25" customHeight="1" x14ac:dyDescent="0.25">
      <c r="G713" s="68"/>
      <c r="J713" s="68"/>
      <c r="M713" s="68"/>
    </row>
    <row r="714" spans="7:13" ht="14.25" customHeight="1" x14ac:dyDescent="0.25">
      <c r="G714" s="68"/>
      <c r="J714" s="68"/>
      <c r="M714" s="68"/>
    </row>
    <row r="715" spans="7:13" ht="14.25" customHeight="1" x14ac:dyDescent="0.25">
      <c r="G715" s="68"/>
      <c r="J715" s="68"/>
      <c r="M715" s="68"/>
    </row>
    <row r="716" spans="7:13" ht="14.25" customHeight="1" x14ac:dyDescent="0.25">
      <c r="G716" s="68"/>
      <c r="J716" s="68"/>
      <c r="M716" s="68"/>
    </row>
    <row r="717" spans="7:13" ht="14.25" customHeight="1" x14ac:dyDescent="0.25">
      <c r="G717" s="68"/>
      <c r="J717" s="68"/>
      <c r="M717" s="68"/>
    </row>
    <row r="718" spans="7:13" ht="14.25" customHeight="1" x14ac:dyDescent="0.25">
      <c r="G718" s="68"/>
      <c r="J718" s="68"/>
      <c r="M718" s="68"/>
    </row>
    <row r="719" spans="7:13" ht="14.25" customHeight="1" x14ac:dyDescent="0.25">
      <c r="G719" s="68"/>
      <c r="J719" s="68"/>
      <c r="M719" s="68"/>
    </row>
    <row r="720" spans="7:13" ht="14.25" customHeight="1" x14ac:dyDescent="0.25">
      <c r="G720" s="68"/>
      <c r="J720" s="68"/>
      <c r="M720" s="68"/>
    </row>
    <row r="721" spans="7:13" ht="14.25" customHeight="1" x14ac:dyDescent="0.25">
      <c r="G721" s="68"/>
      <c r="J721" s="68"/>
      <c r="M721" s="68"/>
    </row>
    <row r="722" spans="7:13" ht="14.25" customHeight="1" x14ac:dyDescent="0.25">
      <c r="G722" s="68"/>
      <c r="J722" s="68"/>
      <c r="M722" s="68"/>
    </row>
    <row r="723" spans="7:13" ht="14.25" customHeight="1" x14ac:dyDescent="0.25">
      <c r="G723" s="68"/>
      <c r="J723" s="68"/>
      <c r="M723" s="68"/>
    </row>
    <row r="724" spans="7:13" ht="14.25" customHeight="1" x14ac:dyDescent="0.25">
      <c r="G724" s="68"/>
      <c r="J724" s="68"/>
      <c r="M724" s="68"/>
    </row>
    <row r="725" spans="7:13" ht="14.25" customHeight="1" x14ac:dyDescent="0.25">
      <c r="G725" s="68"/>
      <c r="J725" s="68"/>
      <c r="M725" s="68"/>
    </row>
    <row r="726" spans="7:13" ht="14.25" customHeight="1" x14ac:dyDescent="0.25">
      <c r="G726" s="68"/>
      <c r="J726" s="68"/>
      <c r="M726" s="68"/>
    </row>
    <row r="727" spans="7:13" ht="14.25" customHeight="1" x14ac:dyDescent="0.25">
      <c r="G727" s="68"/>
      <c r="J727" s="68"/>
      <c r="M727" s="68"/>
    </row>
    <row r="728" spans="7:13" ht="14.25" customHeight="1" x14ac:dyDescent="0.25">
      <c r="G728" s="68"/>
      <c r="J728" s="68"/>
      <c r="M728" s="68"/>
    </row>
    <row r="729" spans="7:13" ht="14.25" customHeight="1" x14ac:dyDescent="0.25">
      <c r="G729" s="68"/>
      <c r="J729" s="68"/>
      <c r="M729" s="68"/>
    </row>
    <row r="730" spans="7:13" ht="14.25" customHeight="1" x14ac:dyDescent="0.25">
      <c r="G730" s="68"/>
      <c r="J730" s="68"/>
      <c r="M730" s="68"/>
    </row>
    <row r="731" spans="7:13" ht="14.25" customHeight="1" x14ac:dyDescent="0.25">
      <c r="G731" s="68"/>
      <c r="J731" s="68"/>
      <c r="M731" s="68"/>
    </row>
    <row r="732" spans="7:13" ht="14.25" customHeight="1" x14ac:dyDescent="0.25">
      <c r="G732" s="68"/>
      <c r="J732" s="68"/>
      <c r="M732" s="68"/>
    </row>
    <row r="733" spans="7:13" ht="14.25" customHeight="1" x14ac:dyDescent="0.25">
      <c r="G733" s="68"/>
      <c r="J733" s="68"/>
      <c r="M733" s="68"/>
    </row>
    <row r="734" spans="7:13" ht="14.25" customHeight="1" x14ac:dyDescent="0.25">
      <c r="G734" s="68"/>
      <c r="J734" s="68"/>
      <c r="M734" s="68"/>
    </row>
    <row r="735" spans="7:13" ht="14.25" customHeight="1" x14ac:dyDescent="0.25">
      <c r="G735" s="68"/>
      <c r="J735" s="68"/>
      <c r="M735" s="68"/>
    </row>
    <row r="736" spans="7:13" ht="14.25" customHeight="1" x14ac:dyDescent="0.25">
      <c r="G736" s="68"/>
      <c r="J736" s="68"/>
      <c r="M736" s="68"/>
    </row>
    <row r="737" spans="7:13" ht="14.25" customHeight="1" x14ac:dyDescent="0.25">
      <c r="G737" s="68"/>
      <c r="J737" s="68"/>
      <c r="M737" s="68"/>
    </row>
    <row r="738" spans="7:13" ht="14.25" customHeight="1" x14ac:dyDescent="0.25">
      <c r="G738" s="68"/>
      <c r="J738" s="68"/>
      <c r="M738" s="68"/>
    </row>
    <row r="739" spans="7:13" ht="14.25" customHeight="1" x14ac:dyDescent="0.25">
      <c r="G739" s="68"/>
      <c r="J739" s="68"/>
      <c r="M739" s="68"/>
    </row>
    <row r="740" spans="7:13" ht="14.25" customHeight="1" x14ac:dyDescent="0.25">
      <c r="G740" s="68"/>
      <c r="J740" s="68"/>
      <c r="M740" s="68"/>
    </row>
    <row r="741" spans="7:13" ht="14.25" customHeight="1" x14ac:dyDescent="0.25">
      <c r="G741" s="68"/>
      <c r="J741" s="68"/>
      <c r="M741" s="68"/>
    </row>
    <row r="742" spans="7:13" ht="14.25" customHeight="1" x14ac:dyDescent="0.25">
      <c r="G742" s="68"/>
      <c r="J742" s="68"/>
      <c r="M742" s="68"/>
    </row>
    <row r="743" spans="7:13" ht="14.25" customHeight="1" x14ac:dyDescent="0.25">
      <c r="G743" s="68"/>
      <c r="J743" s="68"/>
      <c r="M743" s="68"/>
    </row>
    <row r="744" spans="7:13" ht="14.25" customHeight="1" x14ac:dyDescent="0.25">
      <c r="G744" s="68"/>
      <c r="J744" s="68"/>
      <c r="M744" s="68"/>
    </row>
    <row r="745" spans="7:13" ht="14.25" customHeight="1" x14ac:dyDescent="0.25">
      <c r="G745" s="68"/>
      <c r="J745" s="68"/>
      <c r="M745" s="68"/>
    </row>
    <row r="746" spans="7:13" ht="14.25" customHeight="1" x14ac:dyDescent="0.25">
      <c r="G746" s="68"/>
      <c r="J746" s="68"/>
      <c r="M746" s="68"/>
    </row>
    <row r="747" spans="7:13" ht="14.25" customHeight="1" x14ac:dyDescent="0.25">
      <c r="G747" s="68"/>
      <c r="J747" s="68"/>
      <c r="M747" s="68"/>
    </row>
    <row r="748" spans="7:13" ht="14.25" customHeight="1" x14ac:dyDescent="0.25">
      <c r="G748" s="68"/>
      <c r="J748" s="68"/>
      <c r="M748" s="68"/>
    </row>
    <row r="749" spans="7:13" ht="14.25" customHeight="1" x14ac:dyDescent="0.25">
      <c r="G749" s="68"/>
      <c r="J749" s="68"/>
      <c r="M749" s="68"/>
    </row>
    <row r="750" spans="7:13" ht="14.25" customHeight="1" x14ac:dyDescent="0.25">
      <c r="G750" s="68"/>
      <c r="J750" s="68"/>
      <c r="M750" s="68"/>
    </row>
    <row r="751" spans="7:13" ht="14.25" customHeight="1" x14ac:dyDescent="0.25">
      <c r="G751" s="68"/>
      <c r="J751" s="68"/>
      <c r="M751" s="68"/>
    </row>
    <row r="752" spans="7:13" ht="14.25" customHeight="1" x14ac:dyDescent="0.25">
      <c r="G752" s="68"/>
      <c r="J752" s="68"/>
      <c r="M752" s="68"/>
    </row>
    <row r="753" spans="7:13" ht="14.25" customHeight="1" x14ac:dyDescent="0.25">
      <c r="G753" s="68"/>
      <c r="J753" s="68"/>
      <c r="M753" s="68"/>
    </row>
    <row r="754" spans="7:13" ht="14.25" customHeight="1" x14ac:dyDescent="0.25">
      <c r="G754" s="68"/>
      <c r="J754" s="68"/>
      <c r="M754" s="68"/>
    </row>
    <row r="755" spans="7:13" ht="14.25" customHeight="1" x14ac:dyDescent="0.25">
      <c r="G755" s="68"/>
      <c r="J755" s="68"/>
      <c r="M755" s="68"/>
    </row>
    <row r="756" spans="7:13" ht="14.25" customHeight="1" x14ac:dyDescent="0.25">
      <c r="G756" s="68"/>
      <c r="J756" s="68"/>
      <c r="M756" s="68"/>
    </row>
    <row r="757" spans="7:13" ht="14.25" customHeight="1" x14ac:dyDescent="0.25">
      <c r="G757" s="68"/>
      <c r="J757" s="68"/>
      <c r="M757" s="68"/>
    </row>
    <row r="758" spans="7:13" ht="14.25" customHeight="1" x14ac:dyDescent="0.25">
      <c r="G758" s="68"/>
      <c r="J758" s="68"/>
      <c r="M758" s="68"/>
    </row>
    <row r="759" spans="7:13" ht="14.25" customHeight="1" x14ac:dyDescent="0.25">
      <c r="G759" s="68"/>
      <c r="J759" s="68"/>
      <c r="M759" s="68"/>
    </row>
    <row r="760" spans="7:13" ht="14.25" customHeight="1" x14ac:dyDescent="0.25">
      <c r="G760" s="68"/>
      <c r="J760" s="68"/>
      <c r="M760" s="68"/>
    </row>
    <row r="761" spans="7:13" ht="14.25" customHeight="1" x14ac:dyDescent="0.25">
      <c r="G761" s="68"/>
      <c r="J761" s="68"/>
      <c r="M761" s="68"/>
    </row>
    <row r="762" spans="7:13" ht="14.25" customHeight="1" x14ac:dyDescent="0.25">
      <c r="G762" s="68"/>
      <c r="J762" s="68"/>
      <c r="M762" s="68"/>
    </row>
    <row r="763" spans="7:13" ht="14.25" customHeight="1" x14ac:dyDescent="0.25">
      <c r="G763" s="68"/>
      <c r="J763" s="68"/>
      <c r="M763" s="68"/>
    </row>
    <row r="764" spans="7:13" ht="14.25" customHeight="1" x14ac:dyDescent="0.25">
      <c r="G764" s="68"/>
      <c r="J764" s="68"/>
      <c r="M764" s="68"/>
    </row>
    <row r="765" spans="7:13" ht="14.25" customHeight="1" x14ac:dyDescent="0.25">
      <c r="G765" s="68"/>
      <c r="J765" s="68"/>
      <c r="M765" s="68"/>
    </row>
    <row r="766" spans="7:13" ht="14.25" customHeight="1" x14ac:dyDescent="0.25">
      <c r="G766" s="68"/>
      <c r="J766" s="68"/>
      <c r="M766" s="68"/>
    </row>
    <row r="767" spans="7:13" ht="14.25" customHeight="1" x14ac:dyDescent="0.25">
      <c r="G767" s="68"/>
      <c r="J767" s="68"/>
      <c r="M767" s="68"/>
    </row>
    <row r="768" spans="7:13" ht="14.25" customHeight="1" x14ac:dyDescent="0.25">
      <c r="G768" s="68"/>
      <c r="J768" s="68"/>
      <c r="M768" s="68"/>
    </row>
    <row r="769" spans="7:13" ht="14.25" customHeight="1" x14ac:dyDescent="0.25">
      <c r="G769" s="68"/>
      <c r="J769" s="68"/>
      <c r="M769" s="68"/>
    </row>
    <row r="770" spans="7:13" ht="14.25" customHeight="1" x14ac:dyDescent="0.25">
      <c r="G770" s="68"/>
      <c r="J770" s="68"/>
      <c r="M770" s="68"/>
    </row>
    <row r="771" spans="7:13" ht="14.25" customHeight="1" x14ac:dyDescent="0.25">
      <c r="G771" s="68"/>
      <c r="J771" s="68"/>
      <c r="M771" s="68"/>
    </row>
    <row r="772" spans="7:13" ht="14.25" customHeight="1" x14ac:dyDescent="0.25">
      <c r="G772" s="68"/>
      <c r="J772" s="68"/>
      <c r="M772" s="68"/>
    </row>
    <row r="773" spans="7:13" ht="14.25" customHeight="1" x14ac:dyDescent="0.25">
      <c r="G773" s="68"/>
      <c r="J773" s="68"/>
      <c r="M773" s="68"/>
    </row>
    <row r="774" spans="7:13" ht="14.25" customHeight="1" x14ac:dyDescent="0.25">
      <c r="G774" s="68"/>
      <c r="J774" s="68"/>
      <c r="M774" s="68"/>
    </row>
    <row r="775" spans="7:13" ht="14.25" customHeight="1" x14ac:dyDescent="0.25">
      <c r="G775" s="68"/>
      <c r="J775" s="68"/>
      <c r="M775" s="68"/>
    </row>
    <row r="776" spans="7:13" ht="14.25" customHeight="1" x14ac:dyDescent="0.25">
      <c r="G776" s="68"/>
      <c r="J776" s="68"/>
      <c r="M776" s="68"/>
    </row>
    <row r="777" spans="7:13" ht="14.25" customHeight="1" x14ac:dyDescent="0.25">
      <c r="G777" s="68"/>
      <c r="J777" s="68"/>
      <c r="M777" s="68"/>
    </row>
    <row r="778" spans="7:13" ht="14.25" customHeight="1" x14ac:dyDescent="0.25">
      <c r="G778" s="68"/>
      <c r="J778" s="68"/>
      <c r="M778" s="68"/>
    </row>
    <row r="779" spans="7:13" ht="14.25" customHeight="1" x14ac:dyDescent="0.25">
      <c r="G779" s="68"/>
      <c r="J779" s="68"/>
      <c r="M779" s="68"/>
    </row>
    <row r="780" spans="7:13" ht="14.25" customHeight="1" x14ac:dyDescent="0.25">
      <c r="G780" s="68"/>
      <c r="J780" s="68"/>
      <c r="M780" s="68"/>
    </row>
    <row r="781" spans="7:13" ht="14.25" customHeight="1" x14ac:dyDescent="0.25">
      <c r="G781" s="68"/>
      <c r="J781" s="68"/>
      <c r="M781" s="68"/>
    </row>
    <row r="782" spans="7:13" ht="14.25" customHeight="1" x14ac:dyDescent="0.25">
      <c r="G782" s="68"/>
      <c r="J782" s="68"/>
      <c r="M782" s="68"/>
    </row>
    <row r="783" spans="7:13" ht="14.25" customHeight="1" x14ac:dyDescent="0.25">
      <c r="G783" s="68"/>
      <c r="J783" s="68"/>
      <c r="M783" s="68"/>
    </row>
    <row r="784" spans="7:13" ht="14.25" customHeight="1" x14ac:dyDescent="0.25">
      <c r="G784" s="68"/>
      <c r="J784" s="68"/>
      <c r="M784" s="68"/>
    </row>
    <row r="785" spans="7:13" ht="14.25" customHeight="1" x14ac:dyDescent="0.25">
      <c r="G785" s="68"/>
      <c r="J785" s="68"/>
      <c r="M785" s="68"/>
    </row>
    <row r="786" spans="7:13" ht="14.25" customHeight="1" x14ac:dyDescent="0.25">
      <c r="G786" s="68"/>
      <c r="J786" s="68"/>
      <c r="M786" s="68"/>
    </row>
    <row r="787" spans="7:13" ht="14.25" customHeight="1" x14ac:dyDescent="0.25">
      <c r="G787" s="68"/>
      <c r="J787" s="68"/>
      <c r="M787" s="68"/>
    </row>
    <row r="788" spans="7:13" ht="14.25" customHeight="1" x14ac:dyDescent="0.25">
      <c r="G788" s="68"/>
      <c r="J788" s="68"/>
      <c r="M788" s="68"/>
    </row>
    <row r="789" spans="7:13" ht="14.25" customHeight="1" x14ac:dyDescent="0.25">
      <c r="G789" s="68"/>
      <c r="J789" s="68"/>
      <c r="M789" s="68"/>
    </row>
    <row r="790" spans="7:13" ht="14.25" customHeight="1" x14ac:dyDescent="0.25">
      <c r="G790" s="68"/>
      <c r="J790" s="68"/>
      <c r="M790" s="68"/>
    </row>
    <row r="791" spans="7:13" ht="14.25" customHeight="1" x14ac:dyDescent="0.25">
      <c r="G791" s="68"/>
      <c r="J791" s="68"/>
      <c r="M791" s="68"/>
    </row>
    <row r="792" spans="7:13" ht="14.25" customHeight="1" x14ac:dyDescent="0.25">
      <c r="G792" s="68"/>
      <c r="J792" s="68"/>
      <c r="M792" s="68"/>
    </row>
    <row r="793" spans="7:13" ht="14.25" customHeight="1" x14ac:dyDescent="0.25">
      <c r="G793" s="68"/>
      <c r="J793" s="68"/>
      <c r="M793" s="68"/>
    </row>
    <row r="794" spans="7:13" ht="14.25" customHeight="1" x14ac:dyDescent="0.25">
      <c r="G794" s="68"/>
      <c r="J794" s="68"/>
      <c r="M794" s="68"/>
    </row>
    <row r="795" spans="7:13" ht="14.25" customHeight="1" x14ac:dyDescent="0.25">
      <c r="G795" s="68"/>
      <c r="J795" s="68"/>
      <c r="M795" s="68"/>
    </row>
    <row r="796" spans="7:13" ht="14.25" customHeight="1" x14ac:dyDescent="0.25">
      <c r="G796" s="68"/>
      <c r="J796" s="68"/>
      <c r="M796" s="68"/>
    </row>
    <row r="797" spans="7:13" ht="14.25" customHeight="1" x14ac:dyDescent="0.25">
      <c r="G797" s="68"/>
      <c r="J797" s="68"/>
      <c r="M797" s="68"/>
    </row>
    <row r="798" spans="7:13" ht="14.25" customHeight="1" x14ac:dyDescent="0.25">
      <c r="G798" s="68"/>
      <c r="J798" s="68"/>
      <c r="M798" s="68"/>
    </row>
    <row r="799" spans="7:13" ht="14.25" customHeight="1" x14ac:dyDescent="0.25">
      <c r="G799" s="68"/>
      <c r="J799" s="68"/>
      <c r="M799" s="68"/>
    </row>
    <row r="800" spans="7:13" ht="14.25" customHeight="1" x14ac:dyDescent="0.25">
      <c r="G800" s="68"/>
      <c r="J800" s="68"/>
      <c r="M800" s="68"/>
    </row>
    <row r="801" spans="7:13" ht="14.25" customHeight="1" x14ac:dyDescent="0.25">
      <c r="G801" s="68"/>
      <c r="J801" s="68"/>
      <c r="M801" s="68"/>
    </row>
    <row r="802" spans="7:13" ht="14.25" customHeight="1" x14ac:dyDescent="0.25">
      <c r="G802" s="68"/>
      <c r="J802" s="68"/>
      <c r="M802" s="68"/>
    </row>
    <row r="803" spans="7:13" ht="14.25" customHeight="1" x14ac:dyDescent="0.25">
      <c r="G803" s="68"/>
      <c r="J803" s="68"/>
      <c r="M803" s="68"/>
    </row>
    <row r="804" spans="7:13" ht="14.25" customHeight="1" x14ac:dyDescent="0.25">
      <c r="G804" s="68"/>
      <c r="J804" s="68"/>
      <c r="M804" s="68"/>
    </row>
    <row r="805" spans="7:13" ht="14.25" customHeight="1" x14ac:dyDescent="0.25">
      <c r="G805" s="68"/>
      <c r="J805" s="68"/>
      <c r="M805" s="68"/>
    </row>
    <row r="806" spans="7:13" ht="14.25" customHeight="1" x14ac:dyDescent="0.25">
      <c r="G806" s="68"/>
      <c r="J806" s="68"/>
      <c r="M806" s="68"/>
    </row>
    <row r="807" spans="7:13" ht="14.25" customHeight="1" x14ac:dyDescent="0.25">
      <c r="G807" s="68"/>
      <c r="J807" s="68"/>
      <c r="M807" s="68"/>
    </row>
    <row r="808" spans="7:13" ht="14.25" customHeight="1" x14ac:dyDescent="0.25">
      <c r="G808" s="68"/>
      <c r="J808" s="68"/>
      <c r="M808" s="68"/>
    </row>
    <row r="809" spans="7:13" ht="14.25" customHeight="1" x14ac:dyDescent="0.25">
      <c r="G809" s="68"/>
      <c r="J809" s="68"/>
      <c r="M809" s="68"/>
    </row>
    <row r="810" spans="7:13" ht="14.25" customHeight="1" x14ac:dyDescent="0.25">
      <c r="G810" s="68"/>
      <c r="J810" s="68"/>
      <c r="M810" s="68"/>
    </row>
    <row r="811" spans="7:13" ht="14.25" customHeight="1" x14ac:dyDescent="0.25">
      <c r="G811" s="68"/>
      <c r="J811" s="68"/>
      <c r="M811" s="68"/>
    </row>
    <row r="812" spans="7:13" ht="14.25" customHeight="1" x14ac:dyDescent="0.25">
      <c r="G812" s="68"/>
      <c r="J812" s="68"/>
      <c r="M812" s="68"/>
    </row>
    <row r="813" spans="7:13" ht="14.25" customHeight="1" x14ac:dyDescent="0.25">
      <c r="G813" s="68"/>
      <c r="J813" s="68"/>
      <c r="M813" s="68"/>
    </row>
    <row r="814" spans="7:13" ht="14.25" customHeight="1" x14ac:dyDescent="0.25">
      <c r="G814" s="68"/>
      <c r="J814" s="68"/>
      <c r="M814" s="68"/>
    </row>
    <row r="815" spans="7:13" ht="14.25" customHeight="1" x14ac:dyDescent="0.25">
      <c r="G815" s="68"/>
      <c r="J815" s="68"/>
      <c r="M815" s="68"/>
    </row>
    <row r="816" spans="7:13" ht="14.25" customHeight="1" x14ac:dyDescent="0.25">
      <c r="G816" s="68"/>
      <c r="J816" s="68"/>
      <c r="M816" s="68"/>
    </row>
    <row r="817" spans="7:13" ht="14.25" customHeight="1" x14ac:dyDescent="0.25">
      <c r="G817" s="68"/>
      <c r="J817" s="68"/>
      <c r="M817" s="68"/>
    </row>
    <row r="818" spans="7:13" ht="14.25" customHeight="1" x14ac:dyDescent="0.25">
      <c r="G818" s="68"/>
      <c r="J818" s="68"/>
      <c r="M818" s="68"/>
    </row>
    <row r="819" spans="7:13" ht="14.25" customHeight="1" x14ac:dyDescent="0.25">
      <c r="G819" s="68"/>
      <c r="J819" s="68"/>
      <c r="M819" s="68"/>
    </row>
    <row r="820" spans="7:13" ht="14.25" customHeight="1" x14ac:dyDescent="0.25">
      <c r="G820" s="68"/>
      <c r="J820" s="68"/>
      <c r="M820" s="68"/>
    </row>
    <row r="821" spans="7:13" ht="14.25" customHeight="1" x14ac:dyDescent="0.25">
      <c r="G821" s="68"/>
      <c r="J821" s="68"/>
      <c r="M821" s="68"/>
    </row>
    <row r="822" spans="7:13" ht="14.25" customHeight="1" x14ac:dyDescent="0.25">
      <c r="G822" s="68"/>
      <c r="J822" s="68"/>
      <c r="M822" s="68"/>
    </row>
    <row r="823" spans="7:13" ht="14.25" customHeight="1" x14ac:dyDescent="0.25">
      <c r="G823" s="68"/>
      <c r="J823" s="68"/>
      <c r="M823" s="68"/>
    </row>
    <row r="824" spans="7:13" ht="14.25" customHeight="1" x14ac:dyDescent="0.25">
      <c r="G824" s="68"/>
      <c r="J824" s="68"/>
      <c r="M824" s="68"/>
    </row>
    <row r="825" spans="7:13" ht="14.25" customHeight="1" x14ac:dyDescent="0.25">
      <c r="G825" s="68"/>
      <c r="J825" s="68"/>
      <c r="M825" s="68"/>
    </row>
    <row r="826" spans="7:13" ht="14.25" customHeight="1" x14ac:dyDescent="0.25">
      <c r="G826" s="68"/>
      <c r="J826" s="68"/>
      <c r="M826" s="68"/>
    </row>
    <row r="827" spans="7:13" ht="14.25" customHeight="1" x14ac:dyDescent="0.25">
      <c r="G827" s="68"/>
      <c r="J827" s="68"/>
      <c r="M827" s="68"/>
    </row>
    <row r="828" spans="7:13" ht="14.25" customHeight="1" x14ac:dyDescent="0.25">
      <c r="G828" s="68"/>
      <c r="J828" s="68"/>
      <c r="M828" s="68"/>
    </row>
    <row r="829" spans="7:13" ht="14.25" customHeight="1" x14ac:dyDescent="0.25">
      <c r="G829" s="68"/>
      <c r="J829" s="68"/>
      <c r="M829" s="68"/>
    </row>
    <row r="830" spans="7:13" ht="14.25" customHeight="1" x14ac:dyDescent="0.25">
      <c r="G830" s="68"/>
      <c r="J830" s="68"/>
      <c r="M830" s="68"/>
    </row>
    <row r="831" spans="7:13" ht="14.25" customHeight="1" x14ac:dyDescent="0.25">
      <c r="G831" s="68"/>
      <c r="J831" s="68"/>
      <c r="M831" s="68"/>
    </row>
    <row r="832" spans="7:13" ht="14.25" customHeight="1" x14ac:dyDescent="0.25">
      <c r="G832" s="68"/>
      <c r="J832" s="68"/>
      <c r="M832" s="68"/>
    </row>
    <row r="833" spans="7:13" ht="14.25" customHeight="1" x14ac:dyDescent="0.25">
      <c r="G833" s="68"/>
      <c r="J833" s="68"/>
      <c r="M833" s="68"/>
    </row>
    <row r="834" spans="7:13" ht="14.25" customHeight="1" x14ac:dyDescent="0.25">
      <c r="G834" s="68"/>
      <c r="J834" s="68"/>
      <c r="M834" s="68"/>
    </row>
    <row r="835" spans="7:13" ht="14.25" customHeight="1" x14ac:dyDescent="0.25">
      <c r="G835" s="68"/>
      <c r="J835" s="68"/>
      <c r="M835" s="68"/>
    </row>
    <row r="836" spans="7:13" ht="14.25" customHeight="1" x14ac:dyDescent="0.25">
      <c r="G836" s="68"/>
      <c r="J836" s="68"/>
      <c r="M836" s="68"/>
    </row>
    <row r="837" spans="7:13" ht="14.25" customHeight="1" x14ac:dyDescent="0.25">
      <c r="G837" s="68"/>
      <c r="J837" s="68"/>
      <c r="M837" s="68"/>
    </row>
    <row r="838" spans="7:13" ht="14.25" customHeight="1" x14ac:dyDescent="0.25">
      <c r="G838" s="68"/>
      <c r="J838" s="68"/>
      <c r="M838" s="68"/>
    </row>
    <row r="839" spans="7:13" ht="14.25" customHeight="1" x14ac:dyDescent="0.25">
      <c r="G839" s="68"/>
      <c r="J839" s="68"/>
      <c r="M839" s="68"/>
    </row>
    <row r="840" spans="7:13" ht="14.25" customHeight="1" x14ac:dyDescent="0.25">
      <c r="G840" s="68"/>
      <c r="J840" s="68"/>
      <c r="M840" s="68"/>
    </row>
    <row r="841" spans="7:13" ht="14.25" customHeight="1" x14ac:dyDescent="0.25">
      <c r="G841" s="68"/>
      <c r="J841" s="68"/>
      <c r="M841" s="68"/>
    </row>
    <row r="842" spans="7:13" ht="14.25" customHeight="1" x14ac:dyDescent="0.25">
      <c r="G842" s="68"/>
      <c r="J842" s="68"/>
      <c r="M842" s="68"/>
    </row>
    <row r="843" spans="7:13" ht="14.25" customHeight="1" x14ac:dyDescent="0.25">
      <c r="G843" s="68"/>
      <c r="J843" s="68"/>
      <c r="M843" s="68"/>
    </row>
    <row r="844" spans="7:13" ht="14.25" customHeight="1" x14ac:dyDescent="0.25">
      <c r="G844" s="68"/>
      <c r="J844" s="68"/>
      <c r="M844" s="68"/>
    </row>
    <row r="845" spans="7:13" ht="14.25" customHeight="1" x14ac:dyDescent="0.25">
      <c r="G845" s="68"/>
      <c r="J845" s="68"/>
      <c r="M845" s="68"/>
    </row>
    <row r="846" spans="7:13" ht="14.25" customHeight="1" x14ac:dyDescent="0.25">
      <c r="G846" s="68"/>
      <c r="J846" s="68"/>
      <c r="M846" s="68"/>
    </row>
    <row r="847" spans="7:13" ht="14.25" customHeight="1" x14ac:dyDescent="0.25">
      <c r="G847" s="68"/>
      <c r="J847" s="68"/>
      <c r="M847" s="68"/>
    </row>
    <row r="848" spans="7:13" ht="14.25" customHeight="1" x14ac:dyDescent="0.25">
      <c r="G848" s="68"/>
      <c r="J848" s="68"/>
      <c r="M848" s="68"/>
    </row>
    <row r="849" spans="7:13" ht="14.25" customHeight="1" x14ac:dyDescent="0.25">
      <c r="G849" s="68"/>
      <c r="J849" s="68"/>
      <c r="M849" s="68"/>
    </row>
    <row r="850" spans="7:13" ht="14.25" customHeight="1" x14ac:dyDescent="0.25">
      <c r="G850" s="68"/>
      <c r="J850" s="68"/>
      <c r="M850" s="68"/>
    </row>
    <row r="851" spans="7:13" ht="14.25" customHeight="1" x14ac:dyDescent="0.25">
      <c r="G851" s="68"/>
      <c r="J851" s="68"/>
      <c r="M851" s="68"/>
    </row>
    <row r="852" spans="7:13" ht="14.25" customHeight="1" x14ac:dyDescent="0.25">
      <c r="G852" s="68"/>
      <c r="J852" s="68"/>
      <c r="M852" s="68"/>
    </row>
    <row r="853" spans="7:13" ht="14.25" customHeight="1" x14ac:dyDescent="0.25">
      <c r="G853" s="68"/>
      <c r="J853" s="68"/>
      <c r="M853" s="68"/>
    </row>
    <row r="854" spans="7:13" ht="14.25" customHeight="1" x14ac:dyDescent="0.25">
      <c r="G854" s="68"/>
      <c r="J854" s="68"/>
      <c r="M854" s="68"/>
    </row>
    <row r="855" spans="7:13" ht="14.25" customHeight="1" x14ac:dyDescent="0.25">
      <c r="G855" s="68"/>
      <c r="J855" s="68"/>
      <c r="M855" s="68"/>
    </row>
    <row r="856" spans="7:13" ht="14.25" customHeight="1" x14ac:dyDescent="0.25">
      <c r="G856" s="68"/>
      <c r="J856" s="68"/>
      <c r="M856" s="68"/>
    </row>
    <row r="857" spans="7:13" ht="14.25" customHeight="1" x14ac:dyDescent="0.25">
      <c r="G857" s="68"/>
      <c r="J857" s="68"/>
      <c r="M857" s="68"/>
    </row>
    <row r="858" spans="7:13" ht="14.25" customHeight="1" x14ac:dyDescent="0.25">
      <c r="G858" s="68"/>
      <c r="J858" s="68"/>
      <c r="M858" s="68"/>
    </row>
    <row r="859" spans="7:13" ht="14.25" customHeight="1" x14ac:dyDescent="0.25">
      <c r="G859" s="68"/>
      <c r="J859" s="68"/>
      <c r="M859" s="68"/>
    </row>
    <row r="860" spans="7:13" ht="14.25" customHeight="1" x14ac:dyDescent="0.25">
      <c r="G860" s="68"/>
      <c r="J860" s="68"/>
      <c r="M860" s="68"/>
    </row>
    <row r="861" spans="7:13" ht="14.25" customHeight="1" x14ac:dyDescent="0.25">
      <c r="G861" s="68"/>
      <c r="J861" s="68"/>
      <c r="M861" s="68"/>
    </row>
    <row r="862" spans="7:13" ht="14.25" customHeight="1" x14ac:dyDescent="0.25">
      <c r="G862" s="68"/>
      <c r="J862" s="68"/>
      <c r="M862" s="68"/>
    </row>
    <row r="863" spans="7:13" ht="14.25" customHeight="1" x14ac:dyDescent="0.25">
      <c r="G863" s="68"/>
      <c r="J863" s="68"/>
      <c r="M863" s="68"/>
    </row>
    <row r="864" spans="7:13" ht="14.25" customHeight="1" x14ac:dyDescent="0.25">
      <c r="G864" s="68"/>
      <c r="J864" s="68"/>
      <c r="M864" s="68"/>
    </row>
    <row r="865" spans="7:13" ht="14.25" customHeight="1" x14ac:dyDescent="0.25">
      <c r="G865" s="68"/>
      <c r="J865" s="68"/>
      <c r="M865" s="68"/>
    </row>
    <row r="866" spans="7:13" ht="14.25" customHeight="1" x14ac:dyDescent="0.25">
      <c r="G866" s="68"/>
      <c r="J866" s="68"/>
      <c r="M866" s="68"/>
    </row>
    <row r="867" spans="7:13" ht="14.25" customHeight="1" x14ac:dyDescent="0.25">
      <c r="G867" s="68"/>
      <c r="J867" s="68"/>
      <c r="M867" s="68"/>
    </row>
    <row r="868" spans="7:13" ht="14.25" customHeight="1" x14ac:dyDescent="0.25">
      <c r="G868" s="68"/>
      <c r="J868" s="68"/>
      <c r="M868" s="68"/>
    </row>
    <row r="869" spans="7:13" ht="14.25" customHeight="1" x14ac:dyDescent="0.25">
      <c r="G869" s="68"/>
      <c r="J869" s="68"/>
      <c r="M869" s="68"/>
    </row>
    <row r="870" spans="7:13" ht="14.25" customHeight="1" x14ac:dyDescent="0.25">
      <c r="G870" s="68"/>
      <c r="J870" s="68"/>
      <c r="M870" s="68"/>
    </row>
    <row r="871" spans="7:13" ht="14.25" customHeight="1" x14ac:dyDescent="0.25">
      <c r="G871" s="68"/>
      <c r="J871" s="68"/>
      <c r="M871" s="68"/>
    </row>
    <row r="872" spans="7:13" ht="14.25" customHeight="1" x14ac:dyDescent="0.25">
      <c r="G872" s="68"/>
      <c r="J872" s="68"/>
      <c r="M872" s="68"/>
    </row>
    <row r="873" spans="7:13" ht="14.25" customHeight="1" x14ac:dyDescent="0.25">
      <c r="G873" s="68"/>
      <c r="J873" s="68"/>
      <c r="M873" s="68"/>
    </row>
    <row r="874" spans="7:13" ht="14.25" customHeight="1" x14ac:dyDescent="0.25">
      <c r="G874" s="68"/>
      <c r="J874" s="68"/>
      <c r="M874" s="68"/>
    </row>
    <row r="875" spans="7:13" ht="14.25" customHeight="1" x14ac:dyDescent="0.25">
      <c r="G875" s="68"/>
      <c r="J875" s="68"/>
      <c r="M875" s="68"/>
    </row>
    <row r="876" spans="7:13" ht="14.25" customHeight="1" x14ac:dyDescent="0.25">
      <c r="G876" s="68"/>
      <c r="J876" s="68"/>
      <c r="M876" s="68"/>
    </row>
    <row r="877" spans="7:13" ht="14.25" customHeight="1" x14ac:dyDescent="0.25">
      <c r="G877" s="68"/>
      <c r="J877" s="68"/>
      <c r="M877" s="68"/>
    </row>
    <row r="878" spans="7:13" ht="14.25" customHeight="1" x14ac:dyDescent="0.25">
      <c r="G878" s="68"/>
      <c r="J878" s="68"/>
      <c r="M878" s="68"/>
    </row>
    <row r="879" spans="7:13" ht="14.25" customHeight="1" x14ac:dyDescent="0.25">
      <c r="G879" s="68"/>
      <c r="J879" s="68"/>
      <c r="M879" s="68"/>
    </row>
    <row r="880" spans="7:13" ht="14.25" customHeight="1" x14ac:dyDescent="0.25">
      <c r="G880" s="68"/>
      <c r="J880" s="68"/>
      <c r="M880" s="68"/>
    </row>
    <row r="881" spans="7:13" ht="14.25" customHeight="1" x14ac:dyDescent="0.25">
      <c r="G881" s="68"/>
      <c r="J881" s="68"/>
      <c r="M881" s="68"/>
    </row>
    <row r="882" spans="7:13" ht="14.25" customHeight="1" x14ac:dyDescent="0.25">
      <c r="G882" s="68"/>
      <c r="J882" s="68"/>
      <c r="M882" s="68"/>
    </row>
    <row r="883" spans="7:13" ht="14.25" customHeight="1" x14ac:dyDescent="0.25">
      <c r="G883" s="68"/>
      <c r="J883" s="68"/>
      <c r="M883" s="68"/>
    </row>
    <row r="884" spans="7:13" ht="14.25" customHeight="1" x14ac:dyDescent="0.25">
      <c r="G884" s="68"/>
      <c r="J884" s="68"/>
      <c r="M884" s="68"/>
    </row>
    <row r="885" spans="7:13" ht="14.25" customHeight="1" x14ac:dyDescent="0.25">
      <c r="G885" s="68"/>
      <c r="J885" s="68"/>
      <c r="M885" s="68"/>
    </row>
    <row r="886" spans="7:13" ht="14.25" customHeight="1" x14ac:dyDescent="0.25">
      <c r="G886" s="68"/>
      <c r="J886" s="68"/>
      <c r="M886" s="68"/>
    </row>
    <row r="887" spans="7:13" ht="14.25" customHeight="1" x14ac:dyDescent="0.25">
      <c r="G887" s="68"/>
      <c r="J887" s="68"/>
      <c r="M887" s="68"/>
    </row>
    <row r="888" spans="7:13" ht="14.25" customHeight="1" x14ac:dyDescent="0.25">
      <c r="G888" s="68"/>
      <c r="J888" s="68"/>
      <c r="M888" s="68"/>
    </row>
    <row r="889" spans="7:13" ht="14.25" customHeight="1" x14ac:dyDescent="0.25">
      <c r="G889" s="68"/>
      <c r="J889" s="68"/>
      <c r="M889" s="68"/>
    </row>
    <row r="890" spans="7:13" ht="14.25" customHeight="1" x14ac:dyDescent="0.25">
      <c r="G890" s="68"/>
      <c r="J890" s="68"/>
      <c r="M890" s="68"/>
    </row>
    <row r="891" spans="7:13" ht="14.25" customHeight="1" x14ac:dyDescent="0.25">
      <c r="G891" s="68"/>
      <c r="J891" s="68"/>
      <c r="M891" s="68"/>
    </row>
    <row r="892" spans="7:13" ht="14.25" customHeight="1" x14ac:dyDescent="0.25">
      <c r="G892" s="68"/>
      <c r="J892" s="68"/>
      <c r="M892" s="68"/>
    </row>
    <row r="893" spans="7:13" ht="14.25" customHeight="1" x14ac:dyDescent="0.25">
      <c r="G893" s="68"/>
      <c r="J893" s="68"/>
      <c r="M893" s="68"/>
    </row>
    <row r="894" spans="7:13" ht="14.25" customHeight="1" x14ac:dyDescent="0.25">
      <c r="G894" s="68"/>
      <c r="J894" s="68"/>
      <c r="M894" s="68"/>
    </row>
    <row r="895" spans="7:13" ht="14.25" customHeight="1" x14ac:dyDescent="0.25">
      <c r="G895" s="68"/>
      <c r="J895" s="68"/>
      <c r="M895" s="68"/>
    </row>
    <row r="896" spans="7:13" ht="14.25" customHeight="1" x14ac:dyDescent="0.25">
      <c r="G896" s="68"/>
      <c r="J896" s="68"/>
      <c r="M896" s="68"/>
    </row>
    <row r="897" spans="7:13" ht="14.25" customHeight="1" x14ac:dyDescent="0.25">
      <c r="G897" s="68"/>
      <c r="J897" s="68"/>
      <c r="M897" s="68"/>
    </row>
    <row r="898" spans="7:13" ht="14.25" customHeight="1" x14ac:dyDescent="0.25">
      <c r="G898" s="68"/>
      <c r="J898" s="68"/>
      <c r="M898" s="68"/>
    </row>
    <row r="899" spans="7:13" ht="14.25" customHeight="1" x14ac:dyDescent="0.25">
      <c r="G899" s="68"/>
      <c r="J899" s="68"/>
      <c r="M899" s="68"/>
    </row>
    <row r="900" spans="7:13" ht="14.25" customHeight="1" x14ac:dyDescent="0.25">
      <c r="G900" s="68"/>
      <c r="J900" s="68"/>
      <c r="M900" s="68"/>
    </row>
    <row r="901" spans="7:13" ht="14.25" customHeight="1" x14ac:dyDescent="0.25">
      <c r="G901" s="68"/>
      <c r="J901" s="68"/>
      <c r="M901" s="68"/>
    </row>
    <row r="902" spans="7:13" ht="14.25" customHeight="1" x14ac:dyDescent="0.25">
      <c r="G902" s="68"/>
      <c r="J902" s="68"/>
      <c r="M902" s="68"/>
    </row>
    <row r="903" spans="7:13" ht="14.25" customHeight="1" x14ac:dyDescent="0.25">
      <c r="G903" s="68"/>
      <c r="J903" s="68"/>
      <c r="M903" s="68"/>
    </row>
    <row r="904" spans="7:13" ht="14.25" customHeight="1" x14ac:dyDescent="0.25">
      <c r="G904" s="68"/>
      <c r="J904" s="68"/>
      <c r="M904" s="68"/>
    </row>
    <row r="905" spans="7:13" ht="14.25" customHeight="1" x14ac:dyDescent="0.25">
      <c r="G905" s="68"/>
      <c r="J905" s="68"/>
      <c r="M905" s="68"/>
    </row>
    <row r="906" spans="7:13" ht="14.25" customHeight="1" x14ac:dyDescent="0.25">
      <c r="G906" s="68"/>
      <c r="J906" s="68"/>
      <c r="M906" s="68"/>
    </row>
    <row r="907" spans="7:13" ht="14.25" customHeight="1" x14ac:dyDescent="0.25">
      <c r="G907" s="68"/>
      <c r="J907" s="68"/>
      <c r="M907" s="68"/>
    </row>
    <row r="908" spans="7:13" ht="14.25" customHeight="1" x14ac:dyDescent="0.25">
      <c r="G908" s="68"/>
      <c r="J908" s="68"/>
      <c r="M908" s="68"/>
    </row>
    <row r="909" spans="7:13" ht="14.25" customHeight="1" x14ac:dyDescent="0.25">
      <c r="G909" s="68"/>
      <c r="J909" s="68"/>
      <c r="M909" s="68"/>
    </row>
    <row r="910" spans="7:13" ht="14.25" customHeight="1" x14ac:dyDescent="0.25">
      <c r="G910" s="68"/>
      <c r="J910" s="68"/>
      <c r="M910" s="68"/>
    </row>
    <row r="911" spans="7:13" ht="14.25" customHeight="1" x14ac:dyDescent="0.25">
      <c r="G911" s="68"/>
      <c r="J911" s="68"/>
      <c r="M911" s="68"/>
    </row>
    <row r="912" spans="7:13" ht="14.25" customHeight="1" x14ac:dyDescent="0.25">
      <c r="G912" s="68"/>
      <c r="J912" s="68"/>
      <c r="M912" s="68"/>
    </row>
    <row r="913" spans="7:13" ht="14.25" customHeight="1" x14ac:dyDescent="0.25">
      <c r="G913" s="68"/>
      <c r="J913" s="68"/>
      <c r="M913" s="68"/>
    </row>
    <row r="914" spans="7:13" ht="14.25" customHeight="1" x14ac:dyDescent="0.25">
      <c r="G914" s="68"/>
      <c r="J914" s="68"/>
      <c r="M914" s="68"/>
    </row>
    <row r="915" spans="7:13" ht="14.25" customHeight="1" x14ac:dyDescent="0.25">
      <c r="G915" s="68"/>
      <c r="J915" s="68"/>
      <c r="M915" s="68"/>
    </row>
    <row r="916" spans="7:13" ht="14.25" customHeight="1" x14ac:dyDescent="0.25">
      <c r="G916" s="68"/>
      <c r="J916" s="68"/>
      <c r="M916" s="68"/>
    </row>
    <row r="917" spans="7:13" ht="14.25" customHeight="1" x14ac:dyDescent="0.25">
      <c r="G917" s="68"/>
      <c r="J917" s="68"/>
      <c r="M917" s="68"/>
    </row>
    <row r="918" spans="7:13" ht="14.25" customHeight="1" x14ac:dyDescent="0.25">
      <c r="G918" s="68"/>
      <c r="J918" s="68"/>
      <c r="M918" s="68"/>
    </row>
    <row r="919" spans="7:13" ht="14.25" customHeight="1" x14ac:dyDescent="0.25">
      <c r="G919" s="68"/>
      <c r="J919" s="68"/>
      <c r="M919" s="68"/>
    </row>
    <row r="920" spans="7:13" ht="14.25" customHeight="1" x14ac:dyDescent="0.25">
      <c r="G920" s="68"/>
      <c r="J920" s="68"/>
      <c r="M920" s="68"/>
    </row>
    <row r="921" spans="7:13" ht="14.25" customHeight="1" x14ac:dyDescent="0.25">
      <c r="G921" s="68"/>
      <c r="J921" s="68"/>
      <c r="M921" s="68"/>
    </row>
    <row r="922" spans="7:13" ht="14.25" customHeight="1" x14ac:dyDescent="0.25">
      <c r="G922" s="68"/>
      <c r="J922" s="68"/>
      <c r="M922" s="68"/>
    </row>
    <row r="923" spans="7:13" ht="14.25" customHeight="1" x14ac:dyDescent="0.25">
      <c r="G923" s="68"/>
      <c r="J923" s="68"/>
      <c r="M923" s="68"/>
    </row>
    <row r="924" spans="7:13" ht="14.25" customHeight="1" x14ac:dyDescent="0.25">
      <c r="G924" s="68"/>
      <c r="J924" s="68"/>
      <c r="M924" s="68"/>
    </row>
    <row r="925" spans="7:13" ht="14.25" customHeight="1" x14ac:dyDescent="0.25">
      <c r="G925" s="68"/>
      <c r="J925" s="68"/>
      <c r="M925" s="68"/>
    </row>
    <row r="926" spans="7:13" ht="14.25" customHeight="1" x14ac:dyDescent="0.25">
      <c r="G926" s="68"/>
      <c r="J926" s="68"/>
      <c r="M926" s="68"/>
    </row>
    <row r="927" spans="7:13" ht="14.25" customHeight="1" x14ac:dyDescent="0.25">
      <c r="G927" s="68"/>
      <c r="J927" s="68"/>
      <c r="M927" s="68"/>
    </row>
    <row r="928" spans="7:13" ht="14.25" customHeight="1" x14ac:dyDescent="0.25">
      <c r="G928" s="68"/>
      <c r="J928" s="68"/>
      <c r="M928" s="68"/>
    </row>
    <row r="929" spans="7:13" ht="14.25" customHeight="1" x14ac:dyDescent="0.25">
      <c r="G929" s="68"/>
      <c r="J929" s="68"/>
      <c r="M929" s="68"/>
    </row>
    <row r="930" spans="7:13" ht="14.25" customHeight="1" x14ac:dyDescent="0.25">
      <c r="G930" s="68"/>
      <c r="J930" s="68"/>
      <c r="M930" s="68"/>
    </row>
    <row r="931" spans="7:13" ht="14.25" customHeight="1" x14ac:dyDescent="0.25">
      <c r="G931" s="68"/>
      <c r="J931" s="68"/>
      <c r="M931" s="68"/>
    </row>
    <row r="932" spans="7:13" ht="14.25" customHeight="1" x14ac:dyDescent="0.25">
      <c r="G932" s="68"/>
      <c r="J932" s="68"/>
      <c r="M932" s="68"/>
    </row>
    <row r="933" spans="7:13" ht="14.25" customHeight="1" x14ac:dyDescent="0.25">
      <c r="G933" s="68"/>
      <c r="J933" s="68"/>
      <c r="M933" s="68"/>
    </row>
    <row r="934" spans="7:13" ht="14.25" customHeight="1" x14ac:dyDescent="0.25">
      <c r="G934" s="68"/>
      <c r="J934" s="68"/>
      <c r="M934" s="68"/>
    </row>
    <row r="935" spans="7:13" ht="14.25" customHeight="1" x14ac:dyDescent="0.25">
      <c r="G935" s="68"/>
      <c r="J935" s="68"/>
      <c r="M935" s="68"/>
    </row>
    <row r="936" spans="7:13" ht="14.25" customHeight="1" x14ac:dyDescent="0.25">
      <c r="G936" s="68"/>
      <c r="J936" s="68"/>
      <c r="M936" s="68"/>
    </row>
    <row r="937" spans="7:13" ht="14.25" customHeight="1" x14ac:dyDescent="0.25">
      <c r="G937" s="68"/>
      <c r="J937" s="68"/>
      <c r="M937" s="68"/>
    </row>
    <row r="938" spans="7:13" ht="14.25" customHeight="1" x14ac:dyDescent="0.25">
      <c r="G938" s="68"/>
      <c r="J938" s="68"/>
      <c r="M938" s="68"/>
    </row>
    <row r="939" spans="7:13" ht="14.25" customHeight="1" x14ac:dyDescent="0.25">
      <c r="G939" s="68"/>
      <c r="J939" s="68"/>
      <c r="M939" s="68"/>
    </row>
    <row r="940" spans="7:13" ht="14.25" customHeight="1" x14ac:dyDescent="0.25">
      <c r="G940" s="68"/>
      <c r="J940" s="68"/>
      <c r="M940" s="68"/>
    </row>
    <row r="941" spans="7:13" ht="14.25" customHeight="1" x14ac:dyDescent="0.25">
      <c r="G941" s="68"/>
      <c r="J941" s="68"/>
      <c r="M941" s="68"/>
    </row>
    <row r="942" spans="7:13" ht="14.25" customHeight="1" x14ac:dyDescent="0.25">
      <c r="G942" s="68"/>
      <c r="J942" s="68"/>
      <c r="M942" s="68"/>
    </row>
    <row r="943" spans="7:13" ht="14.25" customHeight="1" x14ac:dyDescent="0.25">
      <c r="G943" s="68"/>
      <c r="J943" s="68"/>
      <c r="M943" s="68"/>
    </row>
    <row r="944" spans="7:13" ht="14.25" customHeight="1" x14ac:dyDescent="0.25">
      <c r="G944" s="68"/>
      <c r="J944" s="68"/>
      <c r="M944" s="68"/>
    </row>
    <row r="945" spans="7:13" ht="14.25" customHeight="1" x14ac:dyDescent="0.25">
      <c r="G945" s="68"/>
      <c r="J945" s="68"/>
      <c r="M945" s="68"/>
    </row>
    <row r="946" spans="7:13" ht="14.25" customHeight="1" x14ac:dyDescent="0.25">
      <c r="G946" s="68"/>
      <c r="J946" s="68"/>
      <c r="M946" s="68"/>
    </row>
    <row r="947" spans="7:13" ht="14.25" customHeight="1" x14ac:dyDescent="0.25">
      <c r="G947" s="68"/>
      <c r="J947" s="68"/>
      <c r="M947" s="68"/>
    </row>
    <row r="948" spans="7:13" ht="14.25" customHeight="1" x14ac:dyDescent="0.25">
      <c r="G948" s="68"/>
      <c r="J948" s="68"/>
      <c r="M948" s="68"/>
    </row>
    <row r="949" spans="7:13" ht="14.25" customHeight="1" x14ac:dyDescent="0.25">
      <c r="G949" s="68"/>
      <c r="J949" s="68"/>
      <c r="M949" s="68"/>
    </row>
    <row r="950" spans="7:13" ht="14.25" customHeight="1" x14ac:dyDescent="0.25">
      <c r="G950" s="68"/>
      <c r="J950" s="68"/>
      <c r="M950" s="68"/>
    </row>
    <row r="951" spans="7:13" ht="14.25" customHeight="1" x14ac:dyDescent="0.25">
      <c r="G951" s="68"/>
      <c r="J951" s="68"/>
      <c r="M951" s="68"/>
    </row>
    <row r="952" spans="7:13" ht="14.25" customHeight="1" x14ac:dyDescent="0.25">
      <c r="G952" s="68"/>
      <c r="J952" s="68"/>
      <c r="M952" s="68"/>
    </row>
    <row r="953" spans="7:13" ht="14.25" customHeight="1" x14ac:dyDescent="0.25">
      <c r="G953" s="68"/>
      <c r="J953" s="68"/>
      <c r="M953" s="68"/>
    </row>
    <row r="954" spans="7:13" ht="14.25" customHeight="1" x14ac:dyDescent="0.25">
      <c r="G954" s="68"/>
      <c r="J954" s="68"/>
      <c r="M954" s="68"/>
    </row>
    <row r="955" spans="7:13" ht="14.25" customHeight="1" x14ac:dyDescent="0.25">
      <c r="G955" s="68"/>
      <c r="J955" s="68"/>
      <c r="M955" s="68"/>
    </row>
    <row r="956" spans="7:13" ht="14.25" customHeight="1" x14ac:dyDescent="0.25">
      <c r="G956" s="68"/>
      <c r="J956" s="68"/>
      <c r="M956" s="68"/>
    </row>
    <row r="957" spans="7:13" ht="14.25" customHeight="1" x14ac:dyDescent="0.25">
      <c r="G957" s="68"/>
      <c r="J957" s="68"/>
      <c r="M957" s="68"/>
    </row>
    <row r="958" spans="7:13" ht="14.25" customHeight="1" x14ac:dyDescent="0.25">
      <c r="G958" s="68"/>
      <c r="J958" s="68"/>
      <c r="M958" s="68"/>
    </row>
    <row r="959" spans="7:13" ht="14.25" customHeight="1" x14ac:dyDescent="0.25">
      <c r="G959" s="68"/>
      <c r="J959" s="68"/>
      <c r="M959" s="68"/>
    </row>
    <row r="960" spans="7:13" ht="14.25" customHeight="1" x14ac:dyDescent="0.25">
      <c r="G960" s="68"/>
      <c r="J960" s="68"/>
      <c r="M960" s="68"/>
    </row>
    <row r="961" spans="7:13" ht="14.25" customHeight="1" x14ac:dyDescent="0.25">
      <c r="G961" s="68"/>
      <c r="J961" s="68"/>
      <c r="M961" s="68"/>
    </row>
    <row r="962" spans="7:13" ht="14.25" customHeight="1" x14ac:dyDescent="0.25">
      <c r="G962" s="68"/>
      <c r="J962" s="68"/>
      <c r="M962" s="68"/>
    </row>
    <row r="963" spans="7:13" ht="14.25" customHeight="1" x14ac:dyDescent="0.25">
      <c r="G963" s="68"/>
      <c r="J963" s="68"/>
      <c r="M963" s="68"/>
    </row>
    <row r="964" spans="7:13" ht="14.25" customHeight="1" x14ac:dyDescent="0.25">
      <c r="G964" s="68"/>
      <c r="J964" s="68"/>
      <c r="M964" s="68"/>
    </row>
    <row r="965" spans="7:13" ht="14.25" customHeight="1" x14ac:dyDescent="0.25">
      <c r="G965" s="68"/>
      <c r="J965" s="68"/>
      <c r="M965" s="68"/>
    </row>
    <row r="966" spans="7:13" ht="14.25" customHeight="1" x14ac:dyDescent="0.25">
      <c r="G966" s="68"/>
      <c r="J966" s="68"/>
      <c r="M966" s="68"/>
    </row>
    <row r="967" spans="7:13" ht="14.25" customHeight="1" x14ac:dyDescent="0.25">
      <c r="G967" s="68"/>
      <c r="J967" s="68"/>
      <c r="M967" s="68"/>
    </row>
    <row r="968" spans="7:13" ht="14.25" customHeight="1" x14ac:dyDescent="0.25">
      <c r="G968" s="68"/>
      <c r="J968" s="68"/>
      <c r="M968" s="68"/>
    </row>
    <row r="969" spans="7:13" ht="14.25" customHeight="1" x14ac:dyDescent="0.25">
      <c r="G969" s="68"/>
      <c r="J969" s="68"/>
      <c r="M969" s="68"/>
    </row>
    <row r="970" spans="7:13" ht="14.25" customHeight="1" x14ac:dyDescent="0.25">
      <c r="G970" s="68"/>
      <c r="J970" s="68"/>
      <c r="M970" s="68"/>
    </row>
    <row r="971" spans="7:13" ht="14.25" customHeight="1" x14ac:dyDescent="0.25">
      <c r="G971" s="68"/>
      <c r="J971" s="68"/>
      <c r="M971" s="68"/>
    </row>
    <row r="972" spans="7:13" ht="14.25" customHeight="1" x14ac:dyDescent="0.25">
      <c r="G972" s="68"/>
      <c r="J972" s="68"/>
      <c r="M972" s="68"/>
    </row>
    <row r="973" spans="7:13" ht="14.25" customHeight="1" x14ac:dyDescent="0.25">
      <c r="G973" s="68"/>
      <c r="J973" s="68"/>
      <c r="M973" s="68"/>
    </row>
    <row r="974" spans="7:13" ht="14.25" customHeight="1" x14ac:dyDescent="0.25">
      <c r="G974" s="68"/>
      <c r="J974" s="68"/>
      <c r="M974" s="68"/>
    </row>
    <row r="975" spans="7:13" ht="14.25" customHeight="1" x14ac:dyDescent="0.25">
      <c r="G975" s="68"/>
      <c r="J975" s="68"/>
      <c r="M975" s="68"/>
    </row>
    <row r="976" spans="7:13" ht="14.25" customHeight="1" x14ac:dyDescent="0.25">
      <c r="G976" s="68"/>
      <c r="J976" s="68"/>
      <c r="M976" s="68"/>
    </row>
    <row r="977" spans="7:13" ht="14.25" customHeight="1" x14ac:dyDescent="0.25">
      <c r="G977" s="68"/>
      <c r="J977" s="68"/>
      <c r="M977" s="68"/>
    </row>
    <row r="978" spans="7:13" ht="14.25" customHeight="1" x14ac:dyDescent="0.25">
      <c r="G978" s="68"/>
      <c r="J978" s="68"/>
      <c r="M978" s="68"/>
    </row>
    <row r="979" spans="7:13" ht="14.25" customHeight="1" x14ac:dyDescent="0.25">
      <c r="G979" s="68"/>
      <c r="J979" s="68"/>
      <c r="M979" s="68"/>
    </row>
    <row r="980" spans="7:13" ht="14.25" customHeight="1" x14ac:dyDescent="0.25">
      <c r="G980" s="68"/>
      <c r="J980" s="68"/>
      <c r="M980" s="68"/>
    </row>
    <row r="981" spans="7:13" ht="14.25" customHeight="1" x14ac:dyDescent="0.25">
      <c r="G981" s="68"/>
      <c r="J981" s="68"/>
      <c r="M981" s="68"/>
    </row>
    <row r="982" spans="7:13" ht="14.25" customHeight="1" x14ac:dyDescent="0.25">
      <c r="G982" s="68"/>
      <c r="J982" s="68"/>
      <c r="M982" s="68"/>
    </row>
    <row r="983" spans="7:13" ht="14.25" customHeight="1" x14ac:dyDescent="0.25">
      <c r="G983" s="68"/>
      <c r="J983" s="68"/>
      <c r="M983" s="68"/>
    </row>
    <row r="984" spans="7:13" ht="14.25" customHeight="1" x14ac:dyDescent="0.25">
      <c r="G984" s="68"/>
      <c r="J984" s="68"/>
      <c r="M984" s="68"/>
    </row>
    <row r="985" spans="7:13" ht="14.25" customHeight="1" x14ac:dyDescent="0.25">
      <c r="G985" s="68"/>
      <c r="J985" s="68"/>
      <c r="M985" s="68"/>
    </row>
    <row r="986" spans="7:13" ht="14.25" customHeight="1" x14ac:dyDescent="0.25">
      <c r="G986" s="68"/>
      <c r="J986" s="68"/>
      <c r="M986" s="68"/>
    </row>
    <row r="987" spans="7:13" ht="14.25" customHeight="1" x14ac:dyDescent="0.25">
      <c r="G987" s="68"/>
      <c r="J987" s="68"/>
      <c r="M987" s="68"/>
    </row>
    <row r="988" spans="7:13" ht="14.25" customHeight="1" x14ac:dyDescent="0.25">
      <c r="G988" s="68"/>
      <c r="J988" s="68"/>
      <c r="M988" s="68"/>
    </row>
    <row r="989" spans="7:13" ht="14.25" customHeight="1" x14ac:dyDescent="0.25">
      <c r="G989" s="68"/>
      <c r="J989" s="68"/>
      <c r="M989" s="68"/>
    </row>
    <row r="990" spans="7:13" ht="14.25" customHeight="1" x14ac:dyDescent="0.25">
      <c r="G990" s="68"/>
      <c r="J990" s="68"/>
      <c r="M990" s="68"/>
    </row>
    <row r="991" spans="7:13" ht="14.25" customHeight="1" x14ac:dyDescent="0.25">
      <c r="G991" s="68"/>
      <c r="J991" s="68"/>
      <c r="M991" s="68"/>
    </row>
    <row r="992" spans="7:13" ht="14.25" customHeight="1" x14ac:dyDescent="0.25">
      <c r="G992" s="68"/>
      <c r="J992" s="68"/>
      <c r="M992" s="68"/>
    </row>
    <row r="993" spans="7:13" ht="14.25" customHeight="1" x14ac:dyDescent="0.25">
      <c r="G993" s="68"/>
      <c r="J993" s="68"/>
      <c r="M993" s="68"/>
    </row>
    <row r="994" spans="7:13" ht="14.25" customHeight="1" x14ac:dyDescent="0.25">
      <c r="G994" s="68"/>
      <c r="J994" s="68"/>
      <c r="M994" s="68"/>
    </row>
    <row r="995" spans="7:13" ht="14.25" customHeight="1" x14ac:dyDescent="0.25">
      <c r="G995" s="68"/>
      <c r="J995" s="68"/>
      <c r="M995" s="68"/>
    </row>
    <row r="996" spans="7:13" ht="14.25" customHeight="1" x14ac:dyDescent="0.25">
      <c r="G996" s="68"/>
      <c r="J996" s="68"/>
      <c r="M996" s="68"/>
    </row>
    <row r="997" spans="7:13" ht="14.25" customHeight="1" x14ac:dyDescent="0.25">
      <c r="G997" s="68"/>
      <c r="J997" s="68"/>
      <c r="M997" s="68"/>
    </row>
    <row r="998" spans="7:13" ht="14.25" customHeight="1" x14ac:dyDescent="0.25">
      <c r="G998" s="68"/>
      <c r="J998" s="68"/>
      <c r="M998" s="68"/>
    </row>
    <row r="999" spans="7:13" ht="14.25" customHeight="1" x14ac:dyDescent="0.25">
      <c r="G999" s="68"/>
      <c r="J999" s="68"/>
      <c r="M999" s="68"/>
    </row>
    <row r="1000" spans="7:13" ht="14.25" customHeight="1" x14ac:dyDescent="0.25">
      <c r="G1000" s="68"/>
      <c r="J1000" s="68"/>
      <c r="M1000" s="68"/>
    </row>
    <row r="1001" spans="7:13" ht="14.25" customHeight="1" x14ac:dyDescent="0.25">
      <c r="G1001" s="68"/>
      <c r="J1001" s="68"/>
      <c r="M1001" s="68"/>
    </row>
    <row r="1002" spans="7:13" ht="14.25" customHeight="1" x14ac:dyDescent="0.25">
      <c r="G1002" s="68"/>
      <c r="J1002" s="68"/>
      <c r="M1002" s="68"/>
    </row>
    <row r="1003" spans="7:13" ht="14.25" customHeight="1" x14ac:dyDescent="0.25">
      <c r="G1003" s="68"/>
      <c r="J1003" s="68"/>
      <c r="M1003" s="68"/>
    </row>
  </sheetData>
  <mergeCells count="246">
    <mergeCell ref="B115:N115"/>
    <mergeCell ref="B117:E117"/>
    <mergeCell ref="B118:E118"/>
    <mergeCell ref="H118:K118"/>
    <mergeCell ref="B119:E119"/>
    <mergeCell ref="C135:N135"/>
    <mergeCell ref="C136:N136"/>
    <mergeCell ref="B120:E120"/>
    <mergeCell ref="B121:E121"/>
    <mergeCell ref="C122:E122"/>
    <mergeCell ref="C123:E123"/>
    <mergeCell ref="C124:E124"/>
    <mergeCell ref="C132:N132"/>
    <mergeCell ref="C134:N134"/>
    <mergeCell ref="R40:R42"/>
    <mergeCell ref="R43:R45"/>
    <mergeCell ref="N44:O44"/>
    <mergeCell ref="N45:O45"/>
    <mergeCell ref="N33:O33"/>
    <mergeCell ref="N34:O34"/>
    <mergeCell ref="R35:R36"/>
    <mergeCell ref="N37:O37"/>
    <mergeCell ref="N38:O38"/>
    <mergeCell ref="N39:O39"/>
    <mergeCell ref="N40:O40"/>
    <mergeCell ref="N41:O41"/>
    <mergeCell ref="N42:O42"/>
    <mergeCell ref="N43:O43"/>
    <mergeCell ref="E39:F39"/>
    <mergeCell ref="N23:O23"/>
    <mergeCell ref="N24:O24"/>
    <mergeCell ref="E25:F25"/>
    <mergeCell ref="E26:F26"/>
    <mergeCell ref="E27:F27"/>
    <mergeCell ref="H25:I25"/>
    <mergeCell ref="H26:I26"/>
    <mergeCell ref="R37:R39"/>
    <mergeCell ref="R15:R16"/>
    <mergeCell ref="K9:L9"/>
    <mergeCell ref="K10:L10"/>
    <mergeCell ref="K11:L11"/>
    <mergeCell ref="K14:L14"/>
    <mergeCell ref="K15:L15"/>
    <mergeCell ref="K16:L16"/>
    <mergeCell ref="N16:O16"/>
    <mergeCell ref="K17:L17"/>
    <mergeCell ref="B12:C12"/>
    <mergeCell ref="B13:C13"/>
    <mergeCell ref="B14:C14"/>
    <mergeCell ref="E14:F14"/>
    <mergeCell ref="N9:O9"/>
    <mergeCell ref="N10:O10"/>
    <mergeCell ref="N11:O11"/>
    <mergeCell ref="N14:O14"/>
    <mergeCell ref="N15:O15"/>
    <mergeCell ref="B7:C7"/>
    <mergeCell ref="B8:C8"/>
    <mergeCell ref="E8:F8"/>
    <mergeCell ref="K8:L8"/>
    <mergeCell ref="N8:O8"/>
    <mergeCell ref="B9:C9"/>
    <mergeCell ref="B10:C10"/>
    <mergeCell ref="H10:I10"/>
    <mergeCell ref="E9:F9"/>
    <mergeCell ref="E10:F10"/>
    <mergeCell ref="E22:F22"/>
    <mergeCell ref="E23:F23"/>
    <mergeCell ref="E24:F24"/>
    <mergeCell ref="H23:I23"/>
    <mergeCell ref="H24:I24"/>
    <mergeCell ref="E2:F2"/>
    <mergeCell ref="N2:O2"/>
    <mergeCell ref="E3:F3"/>
    <mergeCell ref="E7:F7"/>
    <mergeCell ref="H7:I7"/>
    <mergeCell ref="K7:L7"/>
    <mergeCell ref="N7:O7"/>
    <mergeCell ref="E11:F11"/>
    <mergeCell ref="K18:L18"/>
    <mergeCell ref="K19:L19"/>
    <mergeCell ref="H20:I20"/>
    <mergeCell ref="K20:L20"/>
    <mergeCell ref="H21:I21"/>
    <mergeCell ref="K21:L21"/>
    <mergeCell ref="H22:I22"/>
    <mergeCell ref="K22:L22"/>
    <mergeCell ref="K23:L23"/>
    <mergeCell ref="K24:L24"/>
    <mergeCell ref="E15:F15"/>
    <mergeCell ref="E16:F16"/>
    <mergeCell ref="E17:F17"/>
    <mergeCell ref="E18:F18"/>
    <mergeCell ref="E19:F19"/>
    <mergeCell ref="E20:F20"/>
    <mergeCell ref="E21:F21"/>
    <mergeCell ref="H18:I18"/>
    <mergeCell ref="H19:I19"/>
    <mergeCell ref="H27:I27"/>
    <mergeCell ref="H8:I8"/>
    <mergeCell ref="H9:I9"/>
    <mergeCell ref="H11:I11"/>
    <mergeCell ref="H14:I14"/>
    <mergeCell ref="H15:I15"/>
    <mergeCell ref="H16:I16"/>
    <mergeCell ref="H17:I17"/>
    <mergeCell ref="N32:O32"/>
    <mergeCell ref="K32:L32"/>
    <mergeCell ref="N26:O26"/>
    <mergeCell ref="N27:O27"/>
    <mergeCell ref="N17:O17"/>
    <mergeCell ref="N18:O18"/>
    <mergeCell ref="N19:O19"/>
    <mergeCell ref="N20:O20"/>
    <mergeCell ref="N21:O21"/>
    <mergeCell ref="N22:O22"/>
    <mergeCell ref="K25:L25"/>
    <mergeCell ref="N25:O25"/>
    <mergeCell ref="K26:L26"/>
    <mergeCell ref="K27:L27"/>
    <mergeCell ref="K33:L33"/>
    <mergeCell ref="K34:L34"/>
    <mergeCell ref="K37:L37"/>
    <mergeCell ref="K38:L38"/>
    <mergeCell ref="K39:L39"/>
    <mergeCell ref="K40:L40"/>
    <mergeCell ref="H47:I47"/>
    <mergeCell ref="K41:L41"/>
    <mergeCell ref="K42:L42"/>
    <mergeCell ref="K43:L43"/>
    <mergeCell ref="K44:L44"/>
    <mergeCell ref="K45:L45"/>
    <mergeCell ref="K46:L46"/>
    <mergeCell ref="K47:L47"/>
    <mergeCell ref="H42:I42"/>
    <mergeCell ref="H43:I43"/>
    <mergeCell ref="H44:I44"/>
    <mergeCell ref="H45:I45"/>
    <mergeCell ref="H38:I38"/>
    <mergeCell ref="H39:I39"/>
    <mergeCell ref="H40:I40"/>
    <mergeCell ref="H37:I37"/>
    <mergeCell ref="B30:C30"/>
    <mergeCell ref="E30:F30"/>
    <mergeCell ref="H30:I30"/>
    <mergeCell ref="E31:F31"/>
    <mergeCell ref="H31:I31"/>
    <mergeCell ref="K28:L28"/>
    <mergeCell ref="K29:L29"/>
    <mergeCell ref="K30:L30"/>
    <mergeCell ref="N30:O30"/>
    <mergeCell ref="K31:L31"/>
    <mergeCell ref="N31:O31"/>
    <mergeCell ref="B28:C28"/>
    <mergeCell ref="H28:I28"/>
    <mergeCell ref="N28:O28"/>
    <mergeCell ref="B29:C29"/>
    <mergeCell ref="H29:I29"/>
    <mergeCell ref="N29:O29"/>
    <mergeCell ref="E28:F28"/>
    <mergeCell ref="E29:F29"/>
    <mergeCell ref="B31:C31"/>
    <mergeCell ref="N53:O53"/>
    <mergeCell ref="AC59:AF59"/>
    <mergeCell ref="AG59:AJ59"/>
    <mergeCell ref="N50:O50"/>
    <mergeCell ref="N51:O51"/>
    <mergeCell ref="AK59:AN59"/>
    <mergeCell ref="AC82:AL82"/>
    <mergeCell ref="K53:L53"/>
    <mergeCell ref="K54:L54"/>
    <mergeCell ref="K55:L55"/>
    <mergeCell ref="K56:L56"/>
    <mergeCell ref="N56:O56"/>
    <mergeCell ref="K57:L57"/>
    <mergeCell ref="N57:O57"/>
    <mergeCell ref="N54:O54"/>
    <mergeCell ref="N55:O55"/>
    <mergeCell ref="N46:O46"/>
    <mergeCell ref="N47:O47"/>
    <mergeCell ref="N48:O48"/>
    <mergeCell ref="N49:O49"/>
    <mergeCell ref="B72:C72"/>
    <mergeCell ref="B73:C73"/>
    <mergeCell ref="B49:C49"/>
    <mergeCell ref="B50:C50"/>
    <mergeCell ref="B56:C56"/>
    <mergeCell ref="B57:C57"/>
    <mergeCell ref="B60:C60"/>
    <mergeCell ref="B63:C63"/>
    <mergeCell ref="B64:C64"/>
    <mergeCell ref="H54:I54"/>
    <mergeCell ref="H55:I55"/>
    <mergeCell ref="H56:I56"/>
    <mergeCell ref="H57:I57"/>
    <mergeCell ref="E57:F57"/>
    <mergeCell ref="K48:L48"/>
    <mergeCell ref="K49:L49"/>
    <mergeCell ref="K50:L50"/>
    <mergeCell ref="K51:L51"/>
    <mergeCell ref="K52:L52"/>
    <mergeCell ref="N52:O52"/>
    <mergeCell ref="E55:F55"/>
    <mergeCell ref="E56:F56"/>
    <mergeCell ref="E48:F48"/>
    <mergeCell ref="E49:F49"/>
    <mergeCell ref="E50:F50"/>
    <mergeCell ref="E51:F51"/>
    <mergeCell ref="E52:F52"/>
    <mergeCell ref="E53:F53"/>
    <mergeCell ref="E54:F54"/>
    <mergeCell ref="B37:C37"/>
    <mergeCell ref="B38:C38"/>
    <mergeCell ref="B39:C39"/>
    <mergeCell ref="H41:I41"/>
    <mergeCell ref="H50:I50"/>
    <mergeCell ref="H51:I51"/>
    <mergeCell ref="H52:I52"/>
    <mergeCell ref="H53:I53"/>
    <mergeCell ref="E41:F41"/>
    <mergeCell ref="E42:F42"/>
    <mergeCell ref="E43:F43"/>
    <mergeCell ref="E44:F44"/>
    <mergeCell ref="B45:C45"/>
    <mergeCell ref="B46:C46"/>
    <mergeCell ref="E46:F46"/>
    <mergeCell ref="H46:I46"/>
    <mergeCell ref="E47:F47"/>
    <mergeCell ref="B48:C48"/>
    <mergeCell ref="H49:I49"/>
    <mergeCell ref="H48:I48"/>
    <mergeCell ref="E45:F45"/>
    <mergeCell ref="E40:F40"/>
    <mergeCell ref="E37:F37"/>
    <mergeCell ref="E38:F38"/>
    <mergeCell ref="B32:C32"/>
    <mergeCell ref="E32:F32"/>
    <mergeCell ref="H32:I32"/>
    <mergeCell ref="B33:C33"/>
    <mergeCell ref="H33:I33"/>
    <mergeCell ref="H34:I34"/>
    <mergeCell ref="B34:C34"/>
    <mergeCell ref="B35:C35"/>
    <mergeCell ref="B36:C36"/>
    <mergeCell ref="E33:F33"/>
    <mergeCell ref="E34:F34"/>
    <mergeCell ref="E36:F36"/>
  </mergeCells>
  <conditionalFormatting sqref="B122:C123">
    <cfRule type="expression" dxfId="32" priority="1">
      <formula>$C$122&lt;&gt;$C$123</formula>
    </cfRule>
  </conditionalFormatting>
  <conditionalFormatting sqref="E2:E3">
    <cfRule type="expression" dxfId="31" priority="2">
      <formula>$C$3&lt;&gt;"Custom"</formula>
    </cfRule>
  </conditionalFormatting>
  <conditionalFormatting sqref="E12 H12 K12 N12">
    <cfRule type="expression" dxfId="30" priority="3">
      <formula>OR(NOT(OR(E$12=E$109,E$12=E$110,E$12=E$111)),AND(OR(ISBLANK(E$12),E$12=""),E$7&lt;&gt;"Nobody"))</formula>
    </cfRule>
  </conditionalFormatting>
  <conditionalFormatting sqref="E12:E31 H12:H31 K12:K31 N12:N31 F12:F18 I12:I18 L12:L18 O12:O18 F23:F31 I23:I31 L23:L31 O23:O31">
    <cfRule type="expression" dxfId="29" priority="11" stopIfTrue="1">
      <formula>E$59=ROW(E12)</formula>
    </cfRule>
  </conditionalFormatting>
  <conditionalFormatting sqref="E13 H13 K13 N13">
    <cfRule type="expression" dxfId="28" priority="4">
      <formula>OR(NOT(OR(E$13=E$109,E$13=E$110,E$13=E$111,ISBLANK(E$13),E$13="")),E$13=E$12)</formula>
    </cfRule>
  </conditionalFormatting>
  <conditionalFormatting sqref="E14 H14 K14 N14">
    <cfRule type="expression" dxfId="27" priority="5" stopIfTrue="1">
      <formula>AND(SUM(E$15:F$26)&gt;0,NOT(ISBLANK(E$14)))</formula>
    </cfRule>
  </conditionalFormatting>
  <conditionalFormatting sqref="E19:E22">
    <cfRule type="expression" dxfId="26" priority="6">
      <formula>ISBLANK(E$13)</formula>
    </cfRule>
  </conditionalFormatting>
  <conditionalFormatting sqref="E27 H27 K27 N27">
    <cfRule type="expression" dxfId="25" priority="7" stopIfTrue="1">
      <formula>AND(SUM(E$15:F$26)&gt;0,NOT(ISBLANK(E$27)))</formula>
    </cfRule>
  </conditionalFormatting>
  <conditionalFormatting sqref="E30 H30 K30 N30">
    <cfRule type="expression" dxfId="24" priority="8">
      <formula>$E$30+$H$30+$K$30+$N$30&lt;&gt;1</formula>
    </cfRule>
  </conditionalFormatting>
  <conditionalFormatting sqref="E31 H31 K31 N31">
    <cfRule type="expression" dxfId="23" priority="9">
      <formula>OR(AND(E31&lt;10, $C$5="Flexible"), AND(OR(E31&gt;=10, E32 &gt; E31 * $C$6), E31&gt;0, $C$5="Fixed"))</formula>
    </cfRule>
  </conditionalFormatting>
  <conditionalFormatting sqref="E9:F11 H9:I11 K9:L11 N9:O11">
    <cfRule type="expression" dxfId="22" priority="10">
      <formula>OR(E9=0,E9="0")</formula>
    </cfRule>
  </conditionalFormatting>
  <conditionalFormatting sqref="E14:F14 H14:I14 K14:L14 N14:O14 E27:F27 H27:I27 K27:L27 N27:O27">
    <cfRule type="expression" dxfId="21" priority="12" stopIfTrue="1">
      <formula>SUM(E$15:F$26)&gt;0</formula>
    </cfRule>
  </conditionalFormatting>
  <conditionalFormatting sqref="E23:F26">
    <cfRule type="expression" dxfId="20" priority="13">
      <formula>E$28=0</formula>
    </cfRule>
  </conditionalFormatting>
  <conditionalFormatting sqref="F12:F13 I12:I13 L12:L13 O12:O13">
    <cfRule type="expression" dxfId="19" priority="14">
      <formula>AND(OR(ISBLANK(E12),E12=""),F12&gt;0)</formula>
    </cfRule>
  </conditionalFormatting>
  <conditionalFormatting sqref="H19:H22">
    <cfRule type="expression" dxfId="18" priority="15">
      <formula>ISBLANK(H$13)</formula>
    </cfRule>
  </conditionalFormatting>
  <conditionalFormatting sqref="H2:I2">
    <cfRule type="expression" dxfId="17" priority="16">
      <formula>AND(COUNTIF($E$36:$N$36, "Electro") &gt;= 2, OR(COUNTIF($E$36:$N$36, "Pyro") &gt;= 1, COUNTIF($E$36:$N$36, "Dendro") &gt;= 1, COUNTIF($E$36:$N$36, "Hydro") &gt;= 1, COUNTIF($E$36:$N$36, "Cryo") &gt;= 1))</formula>
    </cfRule>
  </conditionalFormatting>
  <conditionalFormatting sqref="H23:I26">
    <cfRule type="expression" dxfId="16" priority="17">
      <formula>H$28=0</formula>
    </cfRule>
  </conditionalFormatting>
  <conditionalFormatting sqref="H118:K123">
    <cfRule type="expression" dxfId="15" priority="18">
      <formula>OR($E$7="Raiden",$H$7="Raiden",$K$7="Raiden",$N$7="Raiden")</formula>
    </cfRule>
  </conditionalFormatting>
  <conditionalFormatting sqref="K19:K22">
    <cfRule type="expression" dxfId="14" priority="19">
      <formula>ISBLANK(K$13)</formula>
    </cfRule>
  </conditionalFormatting>
  <conditionalFormatting sqref="K23:L26">
    <cfRule type="expression" dxfId="13" priority="20">
      <formula>K$28=0</formula>
    </cfRule>
  </conditionalFormatting>
  <conditionalFormatting sqref="N2">
    <cfRule type="expression" dxfId="12" priority="21">
      <formula>AND(COUNTIF($E$36:$N$36, "Electro") &gt;= 2, OR(COUNTIF($E$36:$N$36, "Pyro") &gt;= 1, COUNTIF($E$36:$N$36, "Dendro") &gt;= 1, COUNTIF($E$36:$N$36, "Hydro") &gt;= 1, COUNTIF($E$36:$N$36, "Cryo") &gt;= 1))</formula>
    </cfRule>
  </conditionalFormatting>
  <conditionalFormatting sqref="N19:N22">
    <cfRule type="expression" dxfId="11" priority="22">
      <formula>ISBLANK(N$13)</formula>
    </cfRule>
  </conditionalFormatting>
  <conditionalFormatting sqref="N23:O26">
    <cfRule type="expression" dxfId="10" priority="23">
      <formula>N$28=0</formula>
    </cfRule>
  </conditionalFormatting>
  <conditionalFormatting sqref="R37:R38">
    <cfRule type="expression" dxfId="9" priority="24">
      <formula>$H$59&gt;0</formula>
    </cfRule>
  </conditionalFormatting>
  <conditionalFormatting sqref="R40:R41">
    <cfRule type="expression" dxfId="8" priority="25">
      <formula>$K$59&gt;0</formula>
    </cfRule>
  </conditionalFormatting>
  <conditionalFormatting sqref="R43:R45">
    <cfRule type="expression" dxfId="7" priority="26">
      <formula>$N$59&gt;0</formula>
    </cfRule>
  </conditionalFormatting>
  <conditionalFormatting sqref="AP1:AP26 AO1:AO113 AQ1:AS113 AP28:AP113 R35:R45 S35:AN48 R48:R49 AM83:AN84">
    <cfRule type="expression" dxfId="6" priority="27">
      <formula>$E$59&gt;0</formula>
    </cfRule>
  </conditionalFormatting>
  <dataValidations count="11">
    <dataValidation type="list" allowBlank="1" sqref="E14" xr:uid="{00000000-0002-0000-0000-000000000000}">
      <formula1>$AO$11:$AO$15</formula1>
    </dataValidation>
    <dataValidation type="list" allowBlank="1" showErrorMessage="1" sqref="H14" xr:uid="{00000000-0002-0000-0000-000001000000}">
      <formula1>$AP$11:$AP$15</formula1>
    </dataValidation>
    <dataValidation type="list" allowBlank="1" sqref="E12 H12 K12 N12" xr:uid="{00000000-0002-0000-0000-000002000000}">
      <formula1>E$109:E$111</formula1>
    </dataValidation>
    <dataValidation type="list" allowBlank="1" showErrorMessage="1" sqref="C5" xr:uid="{00000000-0002-0000-0000-000003000000}">
      <formula1>$AO$5:$AO$6</formula1>
    </dataValidation>
    <dataValidation type="decimal" allowBlank="1" showErrorMessage="1" sqref="K121" xr:uid="{00000000-0002-0000-0000-000005000000}">
      <formula1>1</formula1>
      <formula2>13</formula2>
    </dataValidation>
    <dataValidation type="list" allowBlank="1" sqref="C4" xr:uid="{00000000-0002-0000-0000-000006000000}">
      <formula1>$AO$1:$AO$3</formula1>
    </dataValidation>
    <dataValidation type="list" allowBlank="1" sqref="E13 H13 K13 N13" xr:uid="{00000000-0002-0000-0000-000007000000}">
      <formula1>E$108:E$111</formula1>
    </dataValidation>
    <dataValidation type="list" allowBlank="1" showErrorMessage="1" sqref="N14" xr:uid="{00000000-0002-0000-0000-000008000000}">
      <formula1>$AR$11:$AR$15</formula1>
    </dataValidation>
    <dataValidation type="list" allowBlank="1" showErrorMessage="1" sqref="G14 J14 M14" xr:uid="{00000000-0002-0000-0000-00000A000000}">
      <formula1>$AO$11:$AO$111</formula1>
    </dataValidation>
    <dataValidation type="list" allowBlank="1" showErrorMessage="1" sqref="K14" xr:uid="{00000000-0002-0000-0000-00000B000000}">
      <formula1>$AQ$11:$AQ$15</formula1>
    </dataValidation>
    <dataValidation type="list" allowBlank="1" showErrorMessage="1" sqref="G13 J13 M13" xr:uid="{00000000-0002-0000-0000-00000C000000}">
      <formula1>$AO$7:$AO$8</formula1>
    </dataValidation>
  </dataValidations>
  <hyperlinks>
    <hyperlink ref="B120" r:id="rId1" xr:uid="{00000000-0004-0000-0000-000000000000}"/>
    <hyperlink ref="B121" r:id="rId2" xr:uid="{00000000-0004-0000-0000-000001000000}"/>
    <hyperlink ref="C137" r:id="rId3" location="Energy_Generated_by_Normal_Attacks" xr:uid="{00000000-0004-0000-0000-000002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000-000004000000}">
          <x14:formula1>
            <xm:f>Data!$A$2:$A$231</xm:f>
          </x14:formula1>
          <xm:sqref>E7 G7:H7 J7:K7 M7:N7</xm:sqref>
        </x14:dataValidation>
        <x14:dataValidation type="list" allowBlank="1" xr:uid="{00000000-0002-0000-0000-000009000000}">
          <x14:formula1>
            <xm:f>'Enemy Particles'!$A$3:$A$11</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50"/>
  <sheetViews>
    <sheetView zoomScale="85" zoomScaleNormal="85" workbookViewId="0">
      <pane xSplit="1" ySplit="1" topLeftCell="B8" activePane="bottomRight" state="frozen"/>
      <selection pane="topRight" activeCell="B1" sqref="B1"/>
      <selection pane="bottomLeft" activeCell="A2" sqref="A2"/>
      <selection pane="bottomRight" activeCell="N126" sqref="N126"/>
    </sheetView>
  </sheetViews>
  <sheetFormatPr defaultColWidth="14.42578125" defaultRowHeight="15" customHeight="1" x14ac:dyDescent="0.25"/>
  <cols>
    <col min="1" max="1" width="37" customWidth="1"/>
    <col min="2" max="2" width="11.5703125" customWidth="1"/>
    <col min="3" max="4" width="14.85546875" customWidth="1"/>
    <col min="5" max="5" width="14" customWidth="1"/>
    <col min="6" max="6" width="67.140625" customWidth="1"/>
    <col min="7" max="14" width="15.85546875" customWidth="1"/>
    <col min="15" max="17" width="13.42578125" customWidth="1"/>
    <col min="18" max="20" width="11.5703125" customWidth="1"/>
    <col min="21" max="21" width="12.7109375" customWidth="1"/>
    <col min="22" max="22" width="13.140625" customWidth="1"/>
    <col min="23" max="23" width="11.5703125" customWidth="1"/>
    <col min="24" max="24" width="17.5703125" customWidth="1"/>
    <col min="25" max="27" width="15" customWidth="1"/>
    <col min="28" max="29" width="170.85546875" customWidth="1"/>
    <col min="30" max="31" width="135.85546875" customWidth="1"/>
  </cols>
  <sheetData>
    <row r="1" spans="1:31" ht="14.25" customHeight="1" x14ac:dyDescent="0.25">
      <c r="A1" s="86" t="s">
        <v>14</v>
      </c>
      <c r="B1" s="86" t="s">
        <v>53</v>
      </c>
      <c r="C1" s="86" t="s">
        <v>101</v>
      </c>
      <c r="D1" s="86" t="s">
        <v>102</v>
      </c>
      <c r="E1" s="86" t="s">
        <v>103</v>
      </c>
      <c r="F1" s="86" t="s">
        <v>153</v>
      </c>
      <c r="G1" s="86" t="s">
        <v>154</v>
      </c>
      <c r="H1" s="86" t="s">
        <v>155</v>
      </c>
      <c r="I1" s="87" t="s">
        <v>156</v>
      </c>
      <c r="J1" s="87" t="s">
        <v>157</v>
      </c>
      <c r="K1" s="87" t="s">
        <v>158</v>
      </c>
      <c r="L1" s="86" t="s">
        <v>85</v>
      </c>
      <c r="M1" s="86" t="s">
        <v>87</v>
      </c>
      <c r="N1" s="86" t="s">
        <v>159</v>
      </c>
      <c r="O1" s="88" t="s">
        <v>160</v>
      </c>
      <c r="P1" s="88" t="s">
        <v>161</v>
      </c>
      <c r="Q1" s="88" t="s">
        <v>162</v>
      </c>
      <c r="R1" s="86" t="s">
        <v>163</v>
      </c>
      <c r="S1" s="86" t="s">
        <v>164</v>
      </c>
      <c r="T1" s="86" t="s">
        <v>165</v>
      </c>
      <c r="U1" s="86" t="s">
        <v>166</v>
      </c>
      <c r="V1" s="86" t="s">
        <v>167</v>
      </c>
      <c r="W1" s="86" t="s">
        <v>168</v>
      </c>
      <c r="X1" s="86" t="s">
        <v>45</v>
      </c>
      <c r="Y1" s="86" t="s">
        <v>169</v>
      </c>
      <c r="Z1" s="86" t="s">
        <v>170</v>
      </c>
      <c r="AA1" s="89" t="s">
        <v>171</v>
      </c>
      <c r="AB1" s="86" t="s">
        <v>172</v>
      </c>
      <c r="AC1" s="86" t="s">
        <v>173</v>
      </c>
      <c r="AD1" s="86" t="s">
        <v>174</v>
      </c>
      <c r="AE1" s="86" t="s">
        <v>175</v>
      </c>
    </row>
    <row r="2" spans="1:31" ht="14.25" customHeight="1" x14ac:dyDescent="0.25">
      <c r="A2" s="90" t="s">
        <v>176</v>
      </c>
      <c r="B2" s="90" t="s">
        <v>54</v>
      </c>
      <c r="C2" s="90" t="s">
        <v>19</v>
      </c>
      <c r="D2" s="91" t="s">
        <v>177</v>
      </c>
      <c r="E2" s="91" t="s">
        <v>177</v>
      </c>
      <c r="F2" s="90"/>
      <c r="G2" s="90"/>
      <c r="H2" s="90"/>
      <c r="I2" s="92"/>
      <c r="J2" s="92"/>
      <c r="K2" s="92"/>
      <c r="L2" s="93">
        <f>IF(Data!$F2=0,50%,(Data!$F2-ROUNDDOWN(Data!$F2,0))/Data!$F2)</f>
        <v>0.5</v>
      </c>
      <c r="M2" s="93">
        <f>IF(Data!$G2=0,50%,(Data!$G2-ROUNDDOWN(Data!$G2,0))/Data!$G2)</f>
        <v>0.5</v>
      </c>
      <c r="N2" s="93">
        <f>IF(Data!$H2=0,50%,(Data!$H2-ROUNDDOWN(Data!$H2,0))/Data!$H2)</f>
        <v>0.5</v>
      </c>
      <c r="O2" s="94">
        <v>0.3</v>
      </c>
      <c r="P2" s="94">
        <f>Data!$O2</f>
        <v>0.3</v>
      </c>
      <c r="Q2" s="94">
        <f>Data!$O2</f>
        <v>0.3</v>
      </c>
      <c r="R2" s="95">
        <v>30</v>
      </c>
      <c r="S2" s="90"/>
      <c r="T2" s="90"/>
      <c r="U2" s="95">
        <v>4</v>
      </c>
      <c r="V2" s="90"/>
      <c r="W2" s="90"/>
      <c r="X2" s="95">
        <v>12</v>
      </c>
      <c r="Y2" s="95">
        <v>40</v>
      </c>
      <c r="Z2" s="90"/>
      <c r="AA2" s="96"/>
      <c r="AB2" s="90" t="s">
        <v>178</v>
      </c>
      <c r="AC2" s="90" t="str">
        <f>Data!$AB2</f>
        <v>Albedo's skill triggers every 2.5s and distributes its particles based on time spent on field. Albedo C1 gains 1.2 energy per E trigger. Put this in "Bonus non-particle energy".</v>
      </c>
      <c r="AD2" s="91" t="s">
        <v>177</v>
      </c>
      <c r="AE2" s="90" t="str">
        <f>Data!$AD2</f>
        <v/>
      </c>
    </row>
    <row r="3" spans="1:31" ht="14.25" customHeight="1" x14ac:dyDescent="0.25">
      <c r="A3" s="90" t="s">
        <v>179</v>
      </c>
      <c r="B3" s="90" t="s">
        <v>51</v>
      </c>
      <c r="C3" s="90" t="s">
        <v>180</v>
      </c>
      <c r="D3" s="90"/>
      <c r="E3" s="91" t="s">
        <v>177</v>
      </c>
      <c r="F3" s="95">
        <v>1</v>
      </c>
      <c r="G3" s="90"/>
      <c r="H3" s="90"/>
      <c r="I3" s="92"/>
      <c r="J3" s="92"/>
      <c r="K3" s="92"/>
      <c r="L3" s="93">
        <f>IF(Data!$F3=0,50%,(Data!$F3-ROUNDDOWN(Data!$F3,0))/Data!$F3)</f>
        <v>0</v>
      </c>
      <c r="M3" s="93">
        <f>IF(Data!$F3=0,50%,(Data!$F3-ROUNDDOWN(Data!$F3,0))/Data!$F3)</f>
        <v>0</v>
      </c>
      <c r="N3" s="93">
        <f>IF(Data!$H3=0,50%,(Data!$H3-ROUNDDOWN(Data!$H3,0))/Data!$H3)</f>
        <v>0.5</v>
      </c>
      <c r="O3" s="94">
        <v>0</v>
      </c>
      <c r="P3" s="94">
        <v>0</v>
      </c>
      <c r="Q3" s="94">
        <v>0</v>
      </c>
      <c r="R3" s="95">
        <v>0</v>
      </c>
      <c r="S3" s="90"/>
      <c r="T3" s="90"/>
      <c r="U3" s="95">
        <v>1.5</v>
      </c>
      <c r="V3" s="90"/>
      <c r="W3" s="90"/>
      <c r="X3" s="95">
        <v>18</v>
      </c>
      <c r="Y3" s="95">
        <v>70</v>
      </c>
      <c r="Z3" s="90"/>
      <c r="AA3" s="96"/>
      <c r="AB3" s="91" t="s">
        <v>177</v>
      </c>
      <c r="AC3" s="90" t="str">
        <f>Data!$AB3</f>
        <v/>
      </c>
      <c r="AD3" s="90"/>
      <c r="AE3" s="90">
        <f>Data!$AD3</f>
        <v>0</v>
      </c>
    </row>
    <row r="4" spans="1:31" ht="14.25" customHeight="1" x14ac:dyDescent="0.25">
      <c r="A4" s="90" t="s">
        <v>181</v>
      </c>
      <c r="B4" s="90" t="s">
        <v>48</v>
      </c>
      <c r="C4" s="90" t="s">
        <v>19</v>
      </c>
      <c r="D4" s="91" t="s">
        <v>177</v>
      </c>
      <c r="E4" s="91" t="s">
        <v>177</v>
      </c>
      <c r="F4" s="95">
        <v>5</v>
      </c>
      <c r="G4" s="90"/>
      <c r="H4" s="90"/>
      <c r="I4" s="92"/>
      <c r="J4" s="92"/>
      <c r="K4" s="92"/>
      <c r="L4" s="93">
        <f>IF(Data!$F4=0,50%,(Data!$F4-ROUNDDOWN(Data!$F4,0))/Data!$F4)</f>
        <v>0</v>
      </c>
      <c r="M4" s="93">
        <f>IF(Data!$G4=0,50%,(Data!$G4-ROUNDDOWN(Data!$G4,0))/Data!$G4)</f>
        <v>0.5</v>
      </c>
      <c r="N4" s="93">
        <f>IF(Data!$H4=0,50%,(Data!$H4-ROUNDDOWN(Data!$H4,0))/Data!$H4)</f>
        <v>0.5</v>
      </c>
      <c r="O4" s="94">
        <v>0</v>
      </c>
      <c r="P4" s="94">
        <f>Data!$O4</f>
        <v>0</v>
      </c>
      <c r="Q4" s="94">
        <f>Data!$O4</f>
        <v>0</v>
      </c>
      <c r="R4" s="95">
        <v>0</v>
      </c>
      <c r="S4" s="90"/>
      <c r="T4" s="90"/>
      <c r="U4" s="95">
        <v>20</v>
      </c>
      <c r="V4" s="90"/>
      <c r="W4" s="90"/>
      <c r="X4" s="95">
        <v>12</v>
      </c>
      <c r="Y4" s="95">
        <v>40</v>
      </c>
      <c r="Z4" s="90"/>
      <c r="AA4" s="96"/>
      <c r="AB4" s="91" t="s">
        <v>177</v>
      </c>
      <c r="AC4" s="90" t="str">
        <f>Data!$AB4</f>
        <v/>
      </c>
      <c r="AD4" s="91" t="s">
        <v>177</v>
      </c>
      <c r="AE4" s="90" t="str">
        <f>Data!$AD4</f>
        <v/>
      </c>
    </row>
    <row r="5" spans="1:31" ht="14.25" customHeight="1" x14ac:dyDescent="0.25">
      <c r="A5" s="90" t="s">
        <v>182</v>
      </c>
      <c r="B5" s="90" t="s">
        <v>63</v>
      </c>
      <c r="C5" s="90" t="s">
        <v>19</v>
      </c>
      <c r="D5" s="91" t="s">
        <v>177</v>
      </c>
      <c r="E5" s="91" t="s">
        <v>177</v>
      </c>
      <c r="F5" s="95">
        <v>4</v>
      </c>
      <c r="G5" s="90"/>
      <c r="H5" s="90"/>
      <c r="I5" s="92"/>
      <c r="J5" s="92"/>
      <c r="K5" s="92"/>
      <c r="L5" s="93">
        <f>IF(Data!$F5=0,50%,(Data!$F5-ROUNDDOWN(Data!$F5,0))/Data!$F5)</f>
        <v>0</v>
      </c>
      <c r="M5" s="93">
        <f>IF(Data!$G5=0,50%,(Data!$G5-ROUNDDOWN(Data!$G5,0))/Data!$G5)</f>
        <v>0.5</v>
      </c>
      <c r="N5" s="93">
        <f>IF(Data!$H5=0,50%,(Data!$H5-ROUNDDOWN(Data!$H5,0))/Data!$H5)</f>
        <v>0.5</v>
      </c>
      <c r="O5" s="94">
        <v>0</v>
      </c>
      <c r="P5" s="94">
        <f>Data!$O5</f>
        <v>0</v>
      </c>
      <c r="Q5" s="94">
        <f>Data!$O5</f>
        <v>0</v>
      </c>
      <c r="R5" s="95">
        <v>0</v>
      </c>
      <c r="S5" s="90"/>
      <c r="T5" s="90"/>
      <c r="U5" s="95">
        <v>15</v>
      </c>
      <c r="V5" s="90"/>
      <c r="W5" s="90"/>
      <c r="X5" s="95">
        <v>12</v>
      </c>
      <c r="Y5" s="95">
        <v>40</v>
      </c>
      <c r="Z5" s="90"/>
      <c r="AA5" s="96"/>
      <c r="AB5" s="90" t="s">
        <v>183</v>
      </c>
      <c r="AC5" s="90" t="str">
        <f>Data!$AB5</f>
        <v>Feed Amber's particles to whoever will be on field when Baron Bunny explodes.</v>
      </c>
      <c r="AD5" s="91" t="s">
        <v>177</v>
      </c>
      <c r="AE5" s="90" t="str">
        <f>Data!$AD5</f>
        <v/>
      </c>
    </row>
    <row r="6" spans="1:31" ht="14.25" customHeight="1" x14ac:dyDescent="0.25">
      <c r="A6" s="90" t="s">
        <v>184</v>
      </c>
      <c r="B6" s="90" t="s">
        <v>63</v>
      </c>
      <c r="C6" s="90" t="s">
        <v>19</v>
      </c>
      <c r="D6" s="90"/>
      <c r="E6" s="90"/>
      <c r="F6" s="95">
        <v>5</v>
      </c>
      <c r="G6" s="90"/>
      <c r="H6" s="90"/>
      <c r="I6" s="92"/>
      <c r="J6" s="92"/>
      <c r="K6" s="92"/>
      <c r="L6" s="93">
        <f>IF(Data!$F6=0,50%,(Data!$F6-ROUNDDOWN(Data!$F6,0))/Data!$F6)</f>
        <v>0</v>
      </c>
      <c r="M6" s="93">
        <f>IF(Data!$G6=0,50%,(Data!$G6-ROUNDDOWN(Data!$G6,0))/Data!$G6)</f>
        <v>0.5</v>
      </c>
      <c r="N6" s="93">
        <f>IF(Data!$H6=0,50%,(Data!$H6-ROUNDDOWN(Data!$H6,0))/Data!$H6)</f>
        <v>0.5</v>
      </c>
      <c r="O6" s="94">
        <v>0</v>
      </c>
      <c r="P6" s="94">
        <f>Data!$O6</f>
        <v>0</v>
      </c>
      <c r="Q6" s="94">
        <f>Data!$O6</f>
        <v>0</v>
      </c>
      <c r="R6" s="95">
        <v>0</v>
      </c>
      <c r="S6" s="90"/>
      <c r="T6" s="90"/>
      <c r="U6" s="95">
        <v>30</v>
      </c>
      <c r="V6" s="90"/>
      <c r="W6" s="90"/>
      <c r="X6" s="95">
        <v>15</v>
      </c>
      <c r="Y6" s="95">
        <v>60</v>
      </c>
      <c r="Z6" s="90"/>
      <c r="AA6" s="96"/>
      <c r="AB6" s="90" t="s">
        <v>185</v>
      </c>
      <c r="AC6" s="90" t="str">
        <f>Data!$AB6</f>
        <v>Arlecchino's burst resets her skill cooldown. Arlecchino's Normal Attacks reduce her skill cooldown by .8s on hit. Arlecchino's C4 gives her 15 energy on burst. But this in "Bonus non-particle energy". Divide this energy by the number of rotations between bursts.</v>
      </c>
      <c r="AD6" s="90"/>
      <c r="AE6" s="90"/>
    </row>
    <row r="7" spans="1:31" ht="14.25" customHeight="1" x14ac:dyDescent="0.25">
      <c r="A7" s="90" t="s">
        <v>186</v>
      </c>
      <c r="B7" s="90" t="s">
        <v>48</v>
      </c>
      <c r="C7" s="90" t="s">
        <v>19</v>
      </c>
      <c r="D7" s="91" t="s">
        <v>177</v>
      </c>
      <c r="E7" s="91" t="s">
        <v>177</v>
      </c>
      <c r="F7" s="95">
        <v>4.5</v>
      </c>
      <c r="G7" s="90"/>
      <c r="H7" s="90"/>
      <c r="I7" s="92"/>
      <c r="J7" s="92"/>
      <c r="K7" s="92"/>
      <c r="L7" s="93">
        <f>IF(Data!$F7=0,50%,(Data!$F7-ROUNDDOWN(Data!$F7,0))/Data!$F7)</f>
        <v>0.1111111111111111</v>
      </c>
      <c r="M7" s="93">
        <f>IF(Data!$G7=0,50%,(Data!$G7-ROUNDDOWN(Data!$G7,0))/Data!$G7)</f>
        <v>0.5</v>
      </c>
      <c r="N7" s="93">
        <f>IF(Data!$H7=0,50%,(Data!$H7-ROUNDDOWN(Data!$H7,0))/Data!$H7)</f>
        <v>0.5</v>
      </c>
      <c r="O7" s="94">
        <v>0</v>
      </c>
      <c r="P7" s="94">
        <f>Data!$O7</f>
        <v>0</v>
      </c>
      <c r="Q7" s="94">
        <f>Data!$O7</f>
        <v>0</v>
      </c>
      <c r="R7" s="95">
        <v>0</v>
      </c>
      <c r="S7" s="90"/>
      <c r="T7" s="90"/>
      <c r="U7" s="95">
        <v>10</v>
      </c>
      <c r="V7" s="90"/>
      <c r="W7" s="90"/>
      <c r="X7" s="95">
        <v>20</v>
      </c>
      <c r="Y7" s="95">
        <v>80</v>
      </c>
      <c r="Z7" s="90"/>
      <c r="AA7" s="96"/>
      <c r="AB7" s="91" t="s">
        <v>177</v>
      </c>
      <c r="AC7" s="90" t="str">
        <f>Data!$AB7</f>
        <v/>
      </c>
      <c r="AD7" s="91" t="s">
        <v>177</v>
      </c>
      <c r="AE7" s="90" t="str">
        <f>Data!$AD7</f>
        <v/>
      </c>
    </row>
    <row r="8" spans="1:31" ht="14.25" customHeight="1" x14ac:dyDescent="0.25">
      <c r="A8" s="90" t="s">
        <v>187</v>
      </c>
      <c r="B8" s="90" t="s">
        <v>56</v>
      </c>
      <c r="C8" s="91" t="s">
        <v>188</v>
      </c>
      <c r="D8" s="91" t="s">
        <v>189</v>
      </c>
      <c r="E8" s="91" t="s">
        <v>190</v>
      </c>
      <c r="F8" s="95">
        <f>1.5*3</f>
        <v>4.5</v>
      </c>
      <c r="G8" s="95">
        <v>0</v>
      </c>
      <c r="H8" s="95">
        <v>1.5</v>
      </c>
      <c r="I8" s="92"/>
      <c r="J8" s="92"/>
      <c r="K8" s="92"/>
      <c r="L8" s="93">
        <f>IF(Data!$F8=0,50%,(Data!$F8-ROUNDDOWN(Data!$F8,0))/Data!$F8)</f>
        <v>0.1111111111111111</v>
      </c>
      <c r="M8" s="93">
        <f>IF(Data!$G8=0,50%,(Data!$G8-ROUNDDOWN(Data!$G8,0))/Data!$G8)</f>
        <v>0.5</v>
      </c>
      <c r="N8" s="93">
        <f>IF(Data!$H8=0,50%,(Data!$H8-ROUNDDOWN(Data!$H8,0))/Data!$H8)</f>
        <v>0.33333333333333331</v>
      </c>
      <c r="O8" s="94">
        <v>0</v>
      </c>
      <c r="P8" s="94">
        <f>Data!$O8</f>
        <v>0</v>
      </c>
      <c r="Q8" s="94">
        <f>Data!$O8</f>
        <v>0</v>
      </c>
      <c r="R8" s="95">
        <v>0</v>
      </c>
      <c r="S8" s="90"/>
      <c r="T8" s="90"/>
      <c r="U8" s="95">
        <v>12</v>
      </c>
      <c r="V8" s="95">
        <v>12</v>
      </c>
      <c r="W8" s="95">
        <v>12</v>
      </c>
      <c r="X8" s="95">
        <v>20</v>
      </c>
      <c r="Y8" s="95">
        <v>80</v>
      </c>
      <c r="Z8" s="90"/>
      <c r="AA8" s="96"/>
      <c r="AB8" s="91" t="s">
        <v>191</v>
      </c>
      <c r="AC8" s="90" t="str">
        <f>Data!$AB8</f>
        <v>Ayato's A4 gives him 2 energy per second if he is not on field and has less than 40 energy. Put this in "Bonus non-particle energy". Hybrid Ayato does one attack after each E before swapping out.</v>
      </c>
      <c r="AD8" s="91" t="s">
        <v>177</v>
      </c>
      <c r="AE8" s="90" t="str">
        <f>Data!$AD8</f>
        <v/>
      </c>
    </row>
    <row r="9" spans="1:31" ht="14.25" customHeight="1" x14ac:dyDescent="0.25">
      <c r="A9" s="90" t="s">
        <v>192</v>
      </c>
      <c r="B9" s="90" t="s">
        <v>51</v>
      </c>
      <c r="C9" s="91" t="s">
        <v>19</v>
      </c>
      <c r="D9" s="91" t="s">
        <v>177</v>
      </c>
      <c r="E9" s="91" t="s">
        <v>177</v>
      </c>
      <c r="F9" s="95">
        <v>3.5</v>
      </c>
      <c r="G9" s="90"/>
      <c r="H9" s="90"/>
      <c r="I9" s="92"/>
      <c r="J9" s="92"/>
      <c r="K9" s="92"/>
      <c r="L9" s="93">
        <f>IF(Data!$F9=0,50%,(Data!$F9-ROUNDDOWN(Data!$F9,0))/Data!$F9)</f>
        <v>0.14285714285714285</v>
      </c>
      <c r="M9" s="93">
        <f>IF(Data!$G9=0,50%,(Data!$G9-ROUNDDOWN(Data!$G9,0))/Data!$G9)</f>
        <v>0.5</v>
      </c>
      <c r="N9" s="93">
        <f>IF(Data!$H9=0,50%,(Data!$H9-ROUNDDOWN(Data!$H9,0))/Data!$H9)</f>
        <v>0.5</v>
      </c>
      <c r="O9" s="94">
        <v>0</v>
      </c>
      <c r="P9" s="94">
        <f>IF(Data!$O9="", "", Data!$O9)</f>
        <v>0</v>
      </c>
      <c r="Q9" s="94">
        <f>Data!$O9</f>
        <v>0</v>
      </c>
      <c r="R9" s="95">
        <v>0</v>
      </c>
      <c r="S9" s="90"/>
      <c r="T9" s="90"/>
      <c r="U9" s="95">
        <v>10</v>
      </c>
      <c r="V9" s="90"/>
      <c r="W9" s="90"/>
      <c r="X9" s="95">
        <v>20</v>
      </c>
      <c r="Y9" s="95">
        <v>80</v>
      </c>
      <c r="Z9" s="90"/>
      <c r="AA9" s="96"/>
      <c r="AB9" s="91" t="s">
        <v>177</v>
      </c>
      <c r="AC9" s="90" t="str">
        <f>Data!$AB9</f>
        <v/>
      </c>
      <c r="AD9" s="90"/>
      <c r="AE9" s="90">
        <f>Data!$AD9</f>
        <v>0</v>
      </c>
    </row>
    <row r="10" spans="1:31" ht="14.25" customHeight="1" x14ac:dyDescent="0.25">
      <c r="A10" s="90" t="s">
        <v>193</v>
      </c>
      <c r="B10" s="90" t="s">
        <v>56</v>
      </c>
      <c r="C10" s="90" t="s">
        <v>19</v>
      </c>
      <c r="D10" s="91" t="s">
        <v>177</v>
      </c>
      <c r="E10" s="91" t="s">
        <v>177</v>
      </c>
      <c r="F10" s="90"/>
      <c r="G10" s="90"/>
      <c r="H10" s="90"/>
      <c r="I10" s="92"/>
      <c r="J10" s="92"/>
      <c r="K10" s="92"/>
      <c r="L10" s="93">
        <f>IF(Data!$F10=0,50%,(Data!$F10-ROUNDDOWN(Data!$F10,0))/Data!$F10)</f>
        <v>0.5</v>
      </c>
      <c r="M10" s="93">
        <f>IF(Data!$G10=0,50%,(Data!$G10-ROUNDDOWN(Data!$G10,0))/Data!$G10)</f>
        <v>0.5</v>
      </c>
      <c r="N10" s="93">
        <f>IF(Data!$H10=0,50%,(Data!$H10-ROUNDDOWN(Data!$H10,0))/Data!$H10)</f>
        <v>0.5</v>
      </c>
      <c r="O10" s="94">
        <v>0</v>
      </c>
      <c r="P10" s="94">
        <f>Data!$O10</f>
        <v>0</v>
      </c>
      <c r="Q10" s="94">
        <f>Data!$O10</f>
        <v>0</v>
      </c>
      <c r="R10" s="95">
        <v>0</v>
      </c>
      <c r="S10" s="90"/>
      <c r="T10" s="90"/>
      <c r="U10" s="95">
        <v>32</v>
      </c>
      <c r="V10" s="90"/>
      <c r="W10" s="90"/>
      <c r="X10" s="95">
        <v>20</v>
      </c>
      <c r="Y10" s="95">
        <v>80</v>
      </c>
      <c r="Z10" s="90"/>
      <c r="AA10" s="96"/>
      <c r="AB10" s="90" t="s">
        <v>194</v>
      </c>
      <c r="AC10" s="90" t="str">
        <f>Data!$AB10</f>
        <v>Barbara C1 gains 1 energy per 10 seconds. Put this in "Bonus non-particle energy".</v>
      </c>
      <c r="AD10" s="91" t="s">
        <v>177</v>
      </c>
      <c r="AE10" s="90" t="str">
        <f>Data!$AD10</f>
        <v/>
      </c>
    </row>
    <row r="11" spans="1:31" ht="14.25" customHeight="1" x14ac:dyDescent="0.25">
      <c r="A11" s="90" t="s">
        <v>195</v>
      </c>
      <c r="B11" s="90" t="s">
        <v>52</v>
      </c>
      <c r="C11" s="90" t="s">
        <v>196</v>
      </c>
      <c r="D11" s="90" t="s">
        <v>197</v>
      </c>
      <c r="E11" s="90" t="s">
        <v>198</v>
      </c>
      <c r="F11" s="95">
        <v>2</v>
      </c>
      <c r="G11" s="95">
        <v>3</v>
      </c>
      <c r="H11" s="95">
        <v>4</v>
      </c>
      <c r="I11" s="92"/>
      <c r="J11" s="92"/>
      <c r="K11" s="92"/>
      <c r="L11" s="93">
        <f>IF(Data!$F11=0,50%,(Data!$F11-ROUNDDOWN(Data!$F11,0))/Data!$F11)</f>
        <v>0</v>
      </c>
      <c r="M11" s="93">
        <f>IF(Data!$G11=0,50%,(Data!$G11-ROUNDDOWN(Data!$G11,0))/Data!$G11)</f>
        <v>0</v>
      </c>
      <c r="N11" s="93">
        <f>IF(Data!$H11=0,50%,(Data!$H11-ROUNDDOWN(Data!$H11,0))/Data!$H11)</f>
        <v>0</v>
      </c>
      <c r="O11" s="94">
        <v>0</v>
      </c>
      <c r="P11" s="94">
        <f>Data!$O11</f>
        <v>0</v>
      </c>
      <c r="Q11" s="94">
        <f>Data!$O11</f>
        <v>0</v>
      </c>
      <c r="R11" s="95">
        <v>0</v>
      </c>
      <c r="S11" s="90"/>
      <c r="T11" s="90"/>
      <c r="U11" s="95">
        <v>7.5</v>
      </c>
      <c r="V11" s="95">
        <v>7.5</v>
      </c>
      <c r="W11" s="95">
        <v>7.5</v>
      </c>
      <c r="X11" s="95">
        <v>20</v>
      </c>
      <c r="Y11" s="95">
        <v>80</v>
      </c>
      <c r="Z11" s="90"/>
      <c r="AA11" s="96"/>
      <c r="AB11" s="90" t="s">
        <v>199</v>
      </c>
      <c r="AC11" s="90" t="str">
        <f>Data!$AB11</f>
        <v>Beidou's skill type is how many times she gets hit while holding her skill.</v>
      </c>
      <c r="AD11" s="91" t="s">
        <v>177</v>
      </c>
      <c r="AE11" s="90" t="str">
        <f>Data!$AD11</f>
        <v/>
      </c>
    </row>
    <row r="12" spans="1:31" ht="14.25" customHeight="1" x14ac:dyDescent="0.25">
      <c r="A12" s="90" t="s">
        <v>200</v>
      </c>
      <c r="B12" s="90" t="s">
        <v>63</v>
      </c>
      <c r="C12" s="90" t="s">
        <v>19</v>
      </c>
      <c r="D12" s="90" t="s">
        <v>22</v>
      </c>
      <c r="E12" s="91" t="s">
        <v>177</v>
      </c>
      <c r="F12" s="95">
        <v>2.25</v>
      </c>
      <c r="G12" s="95">
        <v>3</v>
      </c>
      <c r="H12" s="90"/>
      <c r="I12" s="92"/>
      <c r="J12" s="92"/>
      <c r="K12" s="92"/>
      <c r="L12" s="93">
        <f>IF(Data!$F12=0,50%,(Data!$F12-ROUNDDOWN(Data!$F12,0))/Data!$F12)</f>
        <v>0.1111111111111111</v>
      </c>
      <c r="M12" s="93">
        <f>IF(Data!$G12=0,50%,(Data!$G12-ROUNDDOWN(Data!$G12,0))/Data!$G12)</f>
        <v>0</v>
      </c>
      <c r="N12" s="93">
        <f>IF(Data!$H12=0,50%,(Data!$H12-ROUNDDOWN(Data!$H12,0))/Data!$H12)</f>
        <v>0.5</v>
      </c>
      <c r="O12" s="94">
        <v>0</v>
      </c>
      <c r="P12" s="94">
        <f>Data!$O12</f>
        <v>0</v>
      </c>
      <c r="Q12" s="94">
        <f>Data!$O12</f>
        <v>0</v>
      </c>
      <c r="R12" s="95">
        <v>0</v>
      </c>
      <c r="S12" s="90"/>
      <c r="T12" s="90"/>
      <c r="U12" s="95">
        <v>4</v>
      </c>
      <c r="V12" s="95">
        <v>6</v>
      </c>
      <c r="W12" s="90"/>
      <c r="X12" s="95">
        <v>15</v>
      </c>
      <c r="Y12" s="95">
        <v>60</v>
      </c>
      <c r="Z12" s="90"/>
      <c r="AA12" s="96"/>
      <c r="AB12" s="91" t="s">
        <v>177</v>
      </c>
      <c r="AC12" s="90" t="str">
        <f>Data!$AB12</f>
        <v/>
      </c>
      <c r="AD12" s="91" t="s">
        <v>177</v>
      </c>
      <c r="AE12" s="90" t="str">
        <f>Data!$AD12</f>
        <v/>
      </c>
    </row>
    <row r="13" spans="1:31" ht="14.25" customHeight="1" x14ac:dyDescent="0.25">
      <c r="A13" s="90" t="s">
        <v>201</v>
      </c>
      <c r="B13" s="90" t="s">
        <v>56</v>
      </c>
      <c r="C13" s="90" t="s">
        <v>19</v>
      </c>
      <c r="D13" s="90" t="s">
        <v>22</v>
      </c>
      <c r="E13" s="91" t="s">
        <v>177</v>
      </c>
      <c r="F13" s="95">
        <v>2</v>
      </c>
      <c r="G13" s="95">
        <v>3</v>
      </c>
      <c r="H13" s="90"/>
      <c r="I13" s="92"/>
      <c r="J13" s="92"/>
      <c r="K13" s="92"/>
      <c r="L13" s="93">
        <f>IF(Data!$F13=0,50%,(Data!$F13-ROUNDDOWN(Data!$F13,0))/Data!$F13)</f>
        <v>0</v>
      </c>
      <c r="M13" s="93">
        <f>IF(Data!$G13=0,50%,(Data!$G13-ROUNDDOWN(Data!$G13,0))/Data!$G13)</f>
        <v>0</v>
      </c>
      <c r="N13" s="93">
        <f>IF(Data!$H13=0,50%,(Data!$H13-ROUNDDOWN(Data!$H13,0))/Data!$H13)</f>
        <v>0.5</v>
      </c>
      <c r="O13" s="94">
        <v>0</v>
      </c>
      <c r="P13" s="94">
        <f>Data!$O13</f>
        <v>0</v>
      </c>
      <c r="Q13" s="94">
        <f>Data!$O13</f>
        <v>0</v>
      </c>
      <c r="R13" s="95">
        <v>0</v>
      </c>
      <c r="S13" s="90"/>
      <c r="T13" s="90"/>
      <c r="U13" s="95">
        <v>6</v>
      </c>
      <c r="V13" s="95">
        <v>9</v>
      </c>
      <c r="W13" s="90"/>
      <c r="X13" s="95">
        <v>15</v>
      </c>
      <c r="Y13" s="95">
        <v>60</v>
      </c>
      <c r="Z13" s="90"/>
      <c r="AA13" s="96"/>
      <c r="AB13" s="91" t="s">
        <v>177</v>
      </c>
      <c r="AC13" s="90" t="str">
        <f>Data!$AB13</f>
        <v/>
      </c>
      <c r="AD13" s="91" t="s">
        <v>177</v>
      </c>
      <c r="AE13" s="90" t="str">
        <f>Data!$AD13</f>
        <v/>
      </c>
    </row>
    <row r="14" spans="1:31" ht="14.25" customHeight="1" x14ac:dyDescent="0.25">
      <c r="A14" s="90" t="s">
        <v>202</v>
      </c>
      <c r="B14" s="90" t="str">
        <f t="shared" ref="B14:H14" si="0">B80</f>
        <v>Hydro</v>
      </c>
      <c r="C14" s="90" t="str">
        <f t="shared" si="0"/>
        <v>7-9s melee</v>
      </c>
      <c r="D14" s="90" t="str">
        <f t="shared" si="0"/>
        <v>11s melee</v>
      </c>
      <c r="E14" s="90" t="str">
        <f t="shared" si="0"/>
        <v>Aimed Shot</v>
      </c>
      <c r="F14" s="95">
        <f t="shared" si="0"/>
        <v>3</v>
      </c>
      <c r="G14" s="95">
        <f t="shared" si="0"/>
        <v>4</v>
      </c>
      <c r="H14" s="95">
        <f t="shared" si="0"/>
        <v>1</v>
      </c>
      <c r="I14" s="92"/>
      <c r="J14" s="92"/>
      <c r="K14" s="92"/>
      <c r="L14" s="93">
        <f t="shared" ref="L14:AE14" si="1">L80</f>
        <v>0</v>
      </c>
      <c r="M14" s="93">
        <f t="shared" si="1"/>
        <v>0</v>
      </c>
      <c r="N14" s="93">
        <f t="shared" si="1"/>
        <v>0</v>
      </c>
      <c r="O14" s="94">
        <f t="shared" si="1"/>
        <v>0</v>
      </c>
      <c r="P14" s="94">
        <f t="shared" si="1"/>
        <v>0</v>
      </c>
      <c r="Q14" s="94">
        <f t="shared" si="1"/>
        <v>0</v>
      </c>
      <c r="R14" s="95">
        <f t="shared" si="1"/>
        <v>0</v>
      </c>
      <c r="S14" s="90">
        <f t="shared" si="1"/>
        <v>0</v>
      </c>
      <c r="T14" s="90">
        <f t="shared" si="1"/>
        <v>0</v>
      </c>
      <c r="U14" s="95">
        <f t="shared" si="1"/>
        <v>13</v>
      </c>
      <c r="V14" s="95">
        <f t="shared" si="1"/>
        <v>17</v>
      </c>
      <c r="W14" s="95">
        <f t="shared" si="1"/>
        <v>3</v>
      </c>
      <c r="X14" s="95">
        <f t="shared" si="1"/>
        <v>15</v>
      </c>
      <c r="Y14" s="95">
        <f t="shared" si="1"/>
        <v>60</v>
      </c>
      <c r="Z14" s="90">
        <f t="shared" si="1"/>
        <v>0</v>
      </c>
      <c r="AA14" s="96">
        <f t="shared" si="1"/>
        <v>0</v>
      </c>
      <c r="AB14" s="90" t="str">
        <f t="shared" si="1"/>
        <v>If Tartaglia is using ranged burst, put 20 in "Bonus non-particle energy". Use the "Aimed Shot" skill in "Skill uses (other type)" for the number of aimed shots done in ranged form.</v>
      </c>
      <c r="AC14" s="90" t="str">
        <f t="shared" si="1"/>
        <v>If Tartaglia is using ranged burst, put 20 in "Bonus non-particle energy". Use the "Aimed Shot" skill in "Skill uses (other type)" for the number of aimed shots done in ranged form.</v>
      </c>
      <c r="AD14" s="90">
        <f t="shared" si="1"/>
        <v>0</v>
      </c>
      <c r="AE14" s="90">
        <f t="shared" si="1"/>
        <v>0</v>
      </c>
    </row>
    <row r="15" spans="1:31" ht="14.25" customHeight="1" x14ac:dyDescent="0.25">
      <c r="A15" s="90" t="s">
        <v>203</v>
      </c>
      <c r="B15" s="90" t="s">
        <v>48</v>
      </c>
      <c r="C15" s="90" t="s">
        <v>19</v>
      </c>
      <c r="D15" s="90" t="s">
        <v>204</v>
      </c>
      <c r="E15" s="91" t="s">
        <v>177</v>
      </c>
      <c r="F15" s="95">
        <v>3</v>
      </c>
      <c r="G15" s="95">
        <v>5</v>
      </c>
      <c r="H15" s="90"/>
      <c r="I15" s="92"/>
      <c r="J15" s="92"/>
      <c r="K15" s="92"/>
      <c r="L15" s="93">
        <v>0</v>
      </c>
      <c r="M15" s="93">
        <v>0</v>
      </c>
      <c r="N15" s="93">
        <v>0</v>
      </c>
      <c r="O15" s="94">
        <v>0</v>
      </c>
      <c r="P15" s="94">
        <v>0</v>
      </c>
      <c r="Q15" s="94">
        <v>0</v>
      </c>
      <c r="R15" s="95">
        <v>0</v>
      </c>
      <c r="S15" s="90"/>
      <c r="T15" s="90"/>
      <c r="U15" s="95">
        <v>12</v>
      </c>
      <c r="V15" s="95">
        <v>18</v>
      </c>
      <c r="W15" s="90"/>
      <c r="X15" s="95">
        <v>20</v>
      </c>
      <c r="Y15" s="95">
        <v>80</v>
      </c>
      <c r="Z15" s="90"/>
      <c r="AA15" s="96"/>
      <c r="AB15" s="90" t="s">
        <v>205</v>
      </c>
      <c r="AC15" s="90" t="str">
        <f t="shared" ref="AC15:AC17" si="2">AB15</f>
        <v>When enemies marked by Charlotte's skill are defeated, its cooldown is reduced by 2s, up to a maximum of 8s. Charlotte's C4 gives her 2 flat energy for each marked enemy hit by her burst, up to 10.</v>
      </c>
      <c r="AD15" s="90"/>
      <c r="AE15" s="90"/>
    </row>
    <row r="16" spans="1:31" ht="14.25" customHeight="1" x14ac:dyDescent="0.25">
      <c r="A16" s="90" t="s">
        <v>206</v>
      </c>
      <c r="B16" s="90" t="s">
        <v>46</v>
      </c>
      <c r="C16" s="90" t="s">
        <v>19</v>
      </c>
      <c r="D16" s="90"/>
      <c r="E16" s="90"/>
      <c r="F16" s="95">
        <v>5</v>
      </c>
      <c r="G16" s="90"/>
      <c r="H16" s="90"/>
      <c r="I16" s="92"/>
      <c r="J16" s="92"/>
      <c r="K16" s="92"/>
      <c r="L16" s="93">
        <v>0</v>
      </c>
      <c r="M16" s="93">
        <v>0</v>
      </c>
      <c r="N16" s="93">
        <v>0</v>
      </c>
      <c r="O16" s="94">
        <v>0</v>
      </c>
      <c r="P16" s="94">
        <v>0</v>
      </c>
      <c r="Q16" s="94">
        <v>0</v>
      </c>
      <c r="R16" s="95">
        <v>0</v>
      </c>
      <c r="S16" s="90"/>
      <c r="T16" s="90"/>
      <c r="U16" s="95">
        <v>6</v>
      </c>
      <c r="V16" s="90"/>
      <c r="W16" s="90"/>
      <c r="X16" s="95">
        <v>15</v>
      </c>
      <c r="Y16" s="95">
        <v>60</v>
      </c>
      <c r="Z16" s="90"/>
      <c r="AA16" s="96"/>
      <c r="AB16" s="90" t="s">
        <v>207</v>
      </c>
      <c r="AC16" s="90" t="str">
        <f t="shared" si="2"/>
        <v>Chasca's C4 restores up to 9 energy per Burst. Put this in "Bonus non-particle energy".</v>
      </c>
      <c r="AD16" s="90"/>
      <c r="AE16" s="90"/>
    </row>
    <row r="17" spans="1:31" ht="14.25" customHeight="1" x14ac:dyDescent="0.25">
      <c r="A17" s="90" t="s">
        <v>208</v>
      </c>
      <c r="B17" s="90" t="s">
        <v>63</v>
      </c>
      <c r="C17" s="90" t="s">
        <v>19</v>
      </c>
      <c r="D17" s="90" t="s">
        <v>22</v>
      </c>
      <c r="E17" s="91" t="s">
        <v>177</v>
      </c>
      <c r="F17" s="95">
        <v>4</v>
      </c>
      <c r="G17" s="95">
        <v>4</v>
      </c>
      <c r="H17" s="90"/>
      <c r="I17" s="92"/>
      <c r="J17" s="92"/>
      <c r="K17" s="92"/>
      <c r="L17" s="93">
        <v>0</v>
      </c>
      <c r="M17" s="93">
        <v>0</v>
      </c>
      <c r="N17" s="93">
        <v>0</v>
      </c>
      <c r="O17" s="94">
        <v>0</v>
      </c>
      <c r="P17" s="94">
        <v>0</v>
      </c>
      <c r="Q17" s="94">
        <v>0</v>
      </c>
      <c r="R17" s="95">
        <v>0</v>
      </c>
      <c r="S17" s="95">
        <v>0</v>
      </c>
      <c r="T17" s="90"/>
      <c r="U17" s="95">
        <v>15</v>
      </c>
      <c r="V17" s="95">
        <v>15</v>
      </c>
      <c r="W17" s="90"/>
      <c r="X17" s="95">
        <v>15</v>
      </c>
      <c r="Y17" s="95">
        <v>60</v>
      </c>
      <c r="Z17" s="90"/>
      <c r="AA17" s="96"/>
      <c r="AB17" s="90" t="s">
        <v>209</v>
      </c>
      <c r="AC17" s="90" t="str">
        <f t="shared" si="2"/>
        <v>Chevreuse's C1 gives 6 energy to any ally with the Coordinated Tactics status that triggers Overload, once per 10 seconds. Put this in "Bonus non-particle energy".</v>
      </c>
      <c r="AD17" s="90"/>
      <c r="AE17" s="90"/>
    </row>
    <row r="18" spans="1:31" ht="14.25" customHeight="1" x14ac:dyDescent="0.25">
      <c r="A18" s="90" t="s">
        <v>210</v>
      </c>
      <c r="B18" s="90" t="s">
        <v>54</v>
      </c>
      <c r="C18" s="90" t="s">
        <v>19</v>
      </c>
      <c r="D18" s="90" t="s">
        <v>22</v>
      </c>
      <c r="E18" s="90"/>
      <c r="F18" s="90"/>
      <c r="G18" s="90"/>
      <c r="H18" s="90"/>
      <c r="I18" s="92"/>
      <c r="J18" s="92"/>
      <c r="K18" s="92"/>
      <c r="L18" s="93">
        <v>0.2</v>
      </c>
      <c r="M18" s="93">
        <v>0.2</v>
      </c>
      <c r="N18" s="93">
        <v>0</v>
      </c>
      <c r="O18" s="94">
        <f t="shared" ref="O18:P18" si="3">0.33</f>
        <v>0.33</v>
      </c>
      <c r="P18" s="94">
        <f t="shared" si="3"/>
        <v>0.33</v>
      </c>
      <c r="Q18" s="94">
        <v>0</v>
      </c>
      <c r="R18" s="95">
        <v>17</v>
      </c>
      <c r="S18" s="95">
        <v>17</v>
      </c>
      <c r="T18" s="90"/>
      <c r="U18" s="95">
        <v>16</v>
      </c>
      <c r="V18" s="95">
        <v>16</v>
      </c>
      <c r="W18" s="90"/>
      <c r="X18" s="95">
        <v>13.5</v>
      </c>
      <c r="Y18" s="95">
        <v>50</v>
      </c>
      <c r="Z18" s="90"/>
      <c r="AA18" s="96"/>
      <c r="AB18" s="90"/>
      <c r="AC18" s="90"/>
      <c r="AD18" s="90"/>
      <c r="AE18" s="90"/>
    </row>
    <row r="19" spans="1:31" ht="14.25" customHeight="1" x14ac:dyDescent="0.25">
      <c r="A19" s="90" t="s">
        <v>211</v>
      </c>
      <c r="B19" s="90" t="s">
        <v>48</v>
      </c>
      <c r="C19" s="90" t="s">
        <v>19</v>
      </c>
      <c r="D19" s="91" t="s">
        <v>177</v>
      </c>
      <c r="E19" s="91" t="s">
        <v>177</v>
      </c>
      <c r="F19" s="95">
        <v>4</v>
      </c>
      <c r="G19" s="90"/>
      <c r="H19" s="90"/>
      <c r="I19" s="92"/>
      <c r="J19" s="92"/>
      <c r="K19" s="92"/>
      <c r="L19" s="93">
        <f>IF(Data!$F19=0,50%,(Data!$F19-ROUNDDOWN(Data!$F19,0))/Data!$F19)</f>
        <v>0</v>
      </c>
      <c r="M19" s="93">
        <f>IF(Data!$G19=0,50%,(Data!$G19-ROUNDDOWN(Data!$G19,0))/Data!$G19)</f>
        <v>0.5</v>
      </c>
      <c r="N19" s="93">
        <f>IF(Data!$H19=0,50%,(Data!$H19-ROUNDDOWN(Data!$H19,0))/Data!$H19)</f>
        <v>0.5</v>
      </c>
      <c r="O19" s="94">
        <v>0</v>
      </c>
      <c r="P19" s="94">
        <f>Data!$O19</f>
        <v>0</v>
      </c>
      <c r="Q19" s="94">
        <f>Data!$O19</f>
        <v>0</v>
      </c>
      <c r="R19" s="95">
        <v>0</v>
      </c>
      <c r="S19" s="90"/>
      <c r="T19" s="90"/>
      <c r="U19" s="95">
        <v>15</v>
      </c>
      <c r="V19" s="90"/>
      <c r="W19" s="90"/>
      <c r="X19" s="95">
        <v>12</v>
      </c>
      <c r="Y19" s="95">
        <v>40</v>
      </c>
      <c r="Z19" s="90"/>
      <c r="AA19" s="96"/>
      <c r="AB19" s="90" t="s">
        <v>212</v>
      </c>
      <c r="AC19" s="90" t="str">
        <f>Data!$AB19</f>
        <v>Chongyun C4 regenerates 1 Energy every time he hits an opponent affected by Cryo, once per 2 seconds. Put this in "Bonus non-particle energy".</v>
      </c>
      <c r="AD19" s="91" t="s">
        <v>177</v>
      </c>
      <c r="AE19" s="90" t="str">
        <f>Data!$AD19</f>
        <v/>
      </c>
    </row>
    <row r="20" spans="1:31" ht="14.25" customHeight="1" x14ac:dyDescent="0.25">
      <c r="A20" s="90" t="s">
        <v>16</v>
      </c>
      <c r="B20" s="90" t="s">
        <v>48</v>
      </c>
      <c r="C20" s="90" t="s">
        <v>30</v>
      </c>
      <c r="D20" s="90" t="s">
        <v>213</v>
      </c>
      <c r="E20" s="90"/>
      <c r="F20" s="95">
        <v>5</v>
      </c>
      <c r="G20" s="95">
        <v>5</v>
      </c>
      <c r="H20" s="90"/>
      <c r="I20" s="92"/>
      <c r="J20" s="97">
        <v>8</v>
      </c>
      <c r="K20" s="92"/>
      <c r="L20" s="93">
        <v>0</v>
      </c>
      <c r="M20" s="93">
        <v>0</v>
      </c>
      <c r="N20" s="93">
        <v>0</v>
      </c>
      <c r="O20" s="94">
        <v>0</v>
      </c>
      <c r="P20" s="94">
        <v>0</v>
      </c>
      <c r="Q20" s="94">
        <v>0</v>
      </c>
      <c r="R20" s="95">
        <v>0</v>
      </c>
      <c r="S20" s="90"/>
      <c r="T20" s="90"/>
      <c r="U20" s="95">
        <v>16</v>
      </c>
      <c r="V20" s="95">
        <v>16</v>
      </c>
      <c r="W20" s="90"/>
      <c r="X20" s="95">
        <v>15</v>
      </c>
      <c r="Y20" s="95">
        <v>60</v>
      </c>
      <c r="Z20" s="90"/>
      <c r="AA20" s="96"/>
      <c r="AB20" s="90" t="s">
        <v>214</v>
      </c>
      <c r="AC20" s="90" t="s">
        <v>214</v>
      </c>
      <c r="AD20" s="90"/>
      <c r="AE20" s="90"/>
    </row>
    <row r="21" spans="1:31" ht="14.25" customHeight="1" x14ac:dyDescent="0.25">
      <c r="A21" s="90" t="s">
        <v>215</v>
      </c>
      <c r="B21" s="90" t="s">
        <v>52</v>
      </c>
      <c r="C21" s="90" t="s">
        <v>19</v>
      </c>
      <c r="D21" s="90"/>
      <c r="E21" s="90"/>
      <c r="F21" s="95">
        <v>4</v>
      </c>
      <c r="G21" s="90"/>
      <c r="H21" s="90"/>
      <c r="I21" s="92"/>
      <c r="J21" s="92"/>
      <c r="K21" s="92"/>
      <c r="L21" s="93">
        <v>0</v>
      </c>
      <c r="M21" s="93">
        <v>0</v>
      </c>
      <c r="N21" s="93">
        <v>0</v>
      </c>
      <c r="O21" s="94">
        <v>0</v>
      </c>
      <c r="P21" s="94">
        <f>Data!$O21</f>
        <v>0</v>
      </c>
      <c r="Q21" s="94">
        <f>Data!$O21</f>
        <v>0</v>
      </c>
      <c r="R21" s="95">
        <v>0</v>
      </c>
      <c r="S21" s="90"/>
      <c r="T21" s="90"/>
      <c r="U21" s="95">
        <v>16</v>
      </c>
      <c r="V21" s="90"/>
      <c r="W21" s="90"/>
      <c r="X21" s="95">
        <v>15</v>
      </c>
      <c r="Y21" s="95">
        <v>60</v>
      </c>
      <c r="Z21" s="90"/>
      <c r="AA21" s="96"/>
      <c r="AB21" s="90" t="s">
        <v>216</v>
      </c>
      <c r="AC21" s="90" t="s">
        <v>216</v>
      </c>
      <c r="AD21" s="90"/>
      <c r="AE21" s="90"/>
    </row>
    <row r="22" spans="1:31" ht="14.25" customHeight="1" x14ac:dyDescent="0.25">
      <c r="A22" s="90" t="s">
        <v>217</v>
      </c>
      <c r="B22" s="90" t="s">
        <v>51</v>
      </c>
      <c r="C22" s="90" t="s">
        <v>19</v>
      </c>
      <c r="D22" s="91" t="s">
        <v>177</v>
      </c>
      <c r="E22" s="91" t="s">
        <v>177</v>
      </c>
      <c r="F22" s="95">
        <v>3</v>
      </c>
      <c r="G22" s="90"/>
      <c r="H22" s="90"/>
      <c r="I22" s="92"/>
      <c r="J22" s="92"/>
      <c r="K22" s="92"/>
      <c r="L22" s="93">
        <f>IF(Data!$F22=0,50%,(Data!$F22-ROUNDDOWN(Data!$F22,0))/Data!$F22)</f>
        <v>0</v>
      </c>
      <c r="M22" s="93">
        <f>IF(Data!$G22=0,50%,(Data!$G22-ROUNDDOWN(Data!$G22,0))/Data!$G22)</f>
        <v>0.5</v>
      </c>
      <c r="N22" s="93">
        <f>IF(Data!$H22=0,50%,(Data!$H22-ROUNDDOWN(Data!$H22,0))/Data!$H22)</f>
        <v>0.5</v>
      </c>
      <c r="O22" s="94">
        <v>0</v>
      </c>
      <c r="P22" s="94">
        <f>Data!$O22</f>
        <v>0</v>
      </c>
      <c r="Q22" s="94">
        <f>Data!$O22</f>
        <v>0</v>
      </c>
      <c r="R22" s="95">
        <v>0</v>
      </c>
      <c r="S22" s="90"/>
      <c r="T22" s="90"/>
      <c r="U22" s="95">
        <v>12</v>
      </c>
      <c r="V22" s="90"/>
      <c r="W22" s="90"/>
      <c r="X22" s="95">
        <v>15</v>
      </c>
      <c r="Y22" s="95">
        <v>60</v>
      </c>
      <c r="Z22" s="90"/>
      <c r="AA22" s="96"/>
      <c r="AB22" s="91" t="s">
        <v>218</v>
      </c>
      <c r="AC22" s="90" t="str">
        <f>Data!$AB22</f>
        <v>Collei's C1 gives her 20% ER when not on field. This reduces her ER needs by about 10%.</v>
      </c>
      <c r="AD22" s="91" t="s">
        <v>177</v>
      </c>
      <c r="AE22" s="90" t="str">
        <f>Data!$AD22</f>
        <v/>
      </c>
    </row>
    <row r="23" spans="1:31" ht="14.25" customHeight="1" x14ac:dyDescent="0.25">
      <c r="A23" s="90" t="s">
        <v>219</v>
      </c>
      <c r="B23" s="90" t="s">
        <v>52</v>
      </c>
      <c r="C23" s="90" t="s">
        <v>220</v>
      </c>
      <c r="D23" s="91" t="s">
        <v>221</v>
      </c>
      <c r="E23" s="91" t="s">
        <v>177</v>
      </c>
      <c r="F23" s="95">
        <v>3</v>
      </c>
      <c r="G23" s="95">
        <v>1.33</v>
      </c>
      <c r="H23" s="90"/>
      <c r="I23" s="92"/>
      <c r="J23" s="92"/>
      <c r="K23" s="92"/>
      <c r="L23" s="93">
        <f>IF(Data!$F23=0,50%,(Data!$F23-ROUNDDOWN(Data!$F23,0))/Data!$F23)</f>
        <v>0</v>
      </c>
      <c r="M23" s="93">
        <f>IF(Data!$G23=0,50%,(Data!$G23-ROUNDDOWN(Data!$G23,0))/Data!$G23)</f>
        <v>0.24812030075187974</v>
      </c>
      <c r="N23" s="93">
        <f>IF(Data!$H23=0,50%,(Data!$H23-ROUNDDOWN(Data!$H23,0))/Data!$H23)</f>
        <v>0.5</v>
      </c>
      <c r="O23" s="94">
        <v>0</v>
      </c>
      <c r="P23" s="94">
        <f>Data!$O23</f>
        <v>0</v>
      </c>
      <c r="Q23" s="94">
        <f>Data!$O23</f>
        <v>0</v>
      </c>
      <c r="R23" s="95">
        <v>0</v>
      </c>
      <c r="S23" s="90"/>
      <c r="T23" s="90"/>
      <c r="U23" s="95">
        <v>7.5</v>
      </c>
      <c r="V23" s="95">
        <v>3</v>
      </c>
      <c r="W23" s="90"/>
      <c r="X23" s="95">
        <v>20</v>
      </c>
      <c r="Y23" s="95">
        <v>80</v>
      </c>
      <c r="Z23" s="90"/>
      <c r="AA23" s="96"/>
      <c r="AB23" s="91" t="s">
        <v>222</v>
      </c>
      <c r="AC23" s="90" t="str">
        <f>Data!$AB23</f>
        <v>Cyno's skill generates fewer particles during his burst. Cyno's C4 gives all other party members 3 energy per reaction triggered, up to 15 energy. Put this in "Bonus non-particle energy".</v>
      </c>
      <c r="AD23" s="91" t="s">
        <v>177</v>
      </c>
      <c r="AE23" s="90" t="str">
        <f>Data!$AD23</f>
        <v/>
      </c>
    </row>
    <row r="24" spans="1:31" ht="14.25" customHeight="1" x14ac:dyDescent="0.25">
      <c r="A24" s="90" t="s">
        <v>223</v>
      </c>
      <c r="B24" s="90" t="s">
        <v>63</v>
      </c>
      <c r="C24" s="90" t="s">
        <v>30</v>
      </c>
      <c r="D24" s="91" t="s">
        <v>224</v>
      </c>
      <c r="E24" s="91" t="s">
        <v>177</v>
      </c>
      <c r="F24" s="90"/>
      <c r="G24" s="90"/>
      <c r="H24" s="90"/>
      <c r="I24" s="92"/>
      <c r="J24" s="92"/>
      <c r="K24" s="92"/>
      <c r="L24" s="93">
        <f>IF(Data!$F24=0,50%,(Data!$F24-ROUNDDOWN(Data!$F24,0))/Data!$F24)</f>
        <v>0.5</v>
      </c>
      <c r="M24" s="93">
        <f>IF(Data!$G24=0,50%,(Data!$G24-ROUNDDOWN(Data!$G24,0))/Data!$G24)</f>
        <v>0.5</v>
      </c>
      <c r="N24" s="93">
        <f>IF(Data!$H24=0,50%,(Data!$H24-ROUNDDOWN(Data!$H24,0))/Data!$H24)</f>
        <v>0.5</v>
      </c>
      <c r="O24" s="94">
        <v>0.33</v>
      </c>
      <c r="P24" s="94">
        <f>Data!$O24</f>
        <v>0.33</v>
      </c>
      <c r="Q24" s="94">
        <v>0</v>
      </c>
      <c r="R24" s="95">
        <v>12</v>
      </c>
      <c r="S24" s="95">
        <v>18</v>
      </c>
      <c r="T24" s="90"/>
      <c r="U24" s="95">
        <v>20</v>
      </c>
      <c r="V24" s="90"/>
      <c r="W24" s="90"/>
      <c r="X24" s="95">
        <v>18</v>
      </c>
      <c r="Y24" s="95">
        <v>70</v>
      </c>
      <c r="Z24" s="90"/>
      <c r="AA24" s="96"/>
      <c r="AB24" s="91" t="s">
        <v>225</v>
      </c>
      <c r="AC24" s="91" t="s">
        <v>226</v>
      </c>
      <c r="AD24" s="91" t="s">
        <v>177</v>
      </c>
      <c r="AE24" s="90" t="str">
        <f>Data!$AD24</f>
        <v/>
      </c>
    </row>
    <row r="25" spans="1:31" ht="14.25" customHeight="1" x14ac:dyDescent="0.25">
      <c r="A25" s="90" t="s">
        <v>227</v>
      </c>
      <c r="B25" s="90" t="s">
        <v>63</v>
      </c>
      <c r="C25" s="90" t="s">
        <v>228</v>
      </c>
      <c r="D25" s="91" t="s">
        <v>177</v>
      </c>
      <c r="E25" s="91" t="s">
        <v>177</v>
      </c>
      <c r="F25" s="95">
        <v>3.75</v>
      </c>
      <c r="G25" s="90"/>
      <c r="H25" s="90"/>
      <c r="I25" s="92"/>
      <c r="J25" s="92"/>
      <c r="K25" s="92"/>
      <c r="L25" s="93">
        <f>IF(Data!$F25=0,50%,(Data!$F25-ROUNDDOWN(Data!$F25,0))/Data!$F25)</f>
        <v>0.2</v>
      </c>
      <c r="M25" s="93">
        <f>IF(Data!$G25=0,50%,(Data!$G25-ROUNDDOWN(Data!$G25,0))/Data!$G25)</f>
        <v>0.5</v>
      </c>
      <c r="N25" s="93">
        <f>IF(Data!$H25=0,50%,(Data!$H25-ROUNDDOWN(Data!$H25,0))/Data!$H25)</f>
        <v>0.5</v>
      </c>
      <c r="O25" s="94">
        <v>0</v>
      </c>
      <c r="P25" s="94">
        <f>Data!$O25</f>
        <v>0</v>
      </c>
      <c r="Q25" s="94">
        <f>Data!$O25</f>
        <v>0</v>
      </c>
      <c r="R25" s="95">
        <v>0</v>
      </c>
      <c r="S25" s="90"/>
      <c r="T25" s="90"/>
      <c r="U25" s="95">
        <v>10</v>
      </c>
      <c r="V25" s="90"/>
      <c r="W25" s="90"/>
      <c r="X25" s="95">
        <v>12</v>
      </c>
      <c r="Y25" s="95">
        <v>40</v>
      </c>
      <c r="Z25" s="90"/>
      <c r="AA25" s="96"/>
      <c r="AB25" s="90" t="s">
        <v>229</v>
      </c>
      <c r="AC25" s="90" t="str">
        <f>Data!$AB25</f>
        <v>One use of Diluc's skill represents a full three-skill combo.</v>
      </c>
      <c r="AD25" s="90" t="s">
        <v>229</v>
      </c>
      <c r="AE25" s="90" t="str">
        <f>Data!$AD25</f>
        <v>One use of Diluc's skill represents a full three-skill combo.</v>
      </c>
    </row>
    <row r="26" spans="1:31" ht="14.25" customHeight="1" x14ac:dyDescent="0.25">
      <c r="A26" s="90" t="s">
        <v>230</v>
      </c>
      <c r="B26" s="90" t="s">
        <v>48</v>
      </c>
      <c r="C26" s="90" t="s">
        <v>19</v>
      </c>
      <c r="D26" s="90" t="s">
        <v>22</v>
      </c>
      <c r="E26" s="91" t="s">
        <v>177</v>
      </c>
      <c r="F26" s="95">
        <v>1.6</v>
      </c>
      <c r="G26" s="95">
        <v>4</v>
      </c>
      <c r="H26" s="90"/>
      <c r="I26" s="92"/>
      <c r="J26" s="92"/>
      <c r="K26" s="92"/>
      <c r="L26" s="93">
        <f>IF(Data!$F26=0,50%,(Data!$F26-ROUNDDOWN(Data!$F26,0))/Data!$F26)</f>
        <v>0.37500000000000006</v>
      </c>
      <c r="M26" s="98">
        <v>0.25</v>
      </c>
      <c r="N26" s="93">
        <f>IF(Data!$H26=0,50%,(Data!$H26-ROUNDDOWN(Data!$H26,0))/Data!$H26)</f>
        <v>0.5</v>
      </c>
      <c r="O26" s="94">
        <v>0</v>
      </c>
      <c r="P26" s="94">
        <f>Data!$O26</f>
        <v>0</v>
      </c>
      <c r="Q26" s="94">
        <f>Data!$O26</f>
        <v>0</v>
      </c>
      <c r="R26" s="95">
        <v>0</v>
      </c>
      <c r="S26" s="90"/>
      <c r="T26" s="90"/>
      <c r="U26" s="95">
        <v>6</v>
      </c>
      <c r="V26" s="95">
        <v>15</v>
      </c>
      <c r="W26" s="90"/>
      <c r="X26" s="95">
        <v>20</v>
      </c>
      <c r="Y26" s="95">
        <v>80</v>
      </c>
      <c r="Z26" s="90"/>
      <c r="AA26" s="96"/>
      <c r="AB26" s="90" t="s">
        <v>231</v>
      </c>
      <c r="AC26" s="90" t="s">
        <v>232</v>
      </c>
      <c r="AD26" s="91" t="s">
        <v>177</v>
      </c>
      <c r="AE26" s="90" t="str">
        <f>Data!$AD26</f>
        <v/>
      </c>
    </row>
    <row r="27" spans="1:31" ht="14.25" customHeight="1" x14ac:dyDescent="0.25">
      <c r="A27" s="90" t="s">
        <v>233</v>
      </c>
      <c r="B27" s="90" t="s">
        <v>52</v>
      </c>
      <c r="C27" s="90" t="s">
        <v>19</v>
      </c>
      <c r="D27" s="91" t="s">
        <v>177</v>
      </c>
      <c r="E27" s="91" t="s">
        <v>177</v>
      </c>
      <c r="F27" s="95">
        <v>2</v>
      </c>
      <c r="G27" s="90"/>
      <c r="H27" s="90"/>
      <c r="I27" s="92"/>
      <c r="J27" s="92"/>
      <c r="K27" s="92"/>
      <c r="L27" s="93">
        <f>IF(Data!$F27=0,50%,(Data!$F27-ROUNDDOWN(Data!$F27,0))/Data!$F27)</f>
        <v>0</v>
      </c>
      <c r="M27" s="93">
        <f>IF(Data!$G27=0,50%,(Data!$G27-ROUNDDOWN(Data!$G27,0))/Data!$G27)</f>
        <v>0.5</v>
      </c>
      <c r="N27" s="93">
        <f>IF(Data!$H27=0,50%,(Data!$H27-ROUNDDOWN(Data!$H27,0))/Data!$H27)</f>
        <v>0.5</v>
      </c>
      <c r="O27" s="94">
        <v>0</v>
      </c>
      <c r="P27" s="94">
        <v>0</v>
      </c>
      <c r="Q27" s="94">
        <f>Data!$O27</f>
        <v>0</v>
      </c>
      <c r="R27" s="95">
        <v>0</v>
      </c>
      <c r="S27" s="90"/>
      <c r="T27" s="90"/>
      <c r="U27" s="95">
        <v>9</v>
      </c>
      <c r="V27" s="90"/>
      <c r="W27" s="90"/>
      <c r="X27" s="95">
        <v>20</v>
      </c>
      <c r="Y27" s="95">
        <v>80</v>
      </c>
      <c r="Z27" s="90"/>
      <c r="AA27" s="96"/>
      <c r="AB27" s="90" t="s">
        <v>234</v>
      </c>
      <c r="AC27" s="90" t="str">
        <f>Data!$AB27</f>
        <v>Dori's A4 is already factored in, don't give her flat energy. Dori's C4 means some of your characters may need slighly less ER than recommended.</v>
      </c>
      <c r="AD27" s="91" t="s">
        <v>177</v>
      </c>
      <c r="AE27" s="90" t="str">
        <f>Data!$AD27</f>
        <v/>
      </c>
    </row>
    <row r="28" spans="1:31" ht="14.25" customHeight="1" x14ac:dyDescent="0.25">
      <c r="A28" s="90" t="s">
        <v>235</v>
      </c>
      <c r="B28" s="90" t="s">
        <v>51</v>
      </c>
      <c r="C28" s="90" t="s">
        <v>19</v>
      </c>
      <c r="D28" s="90" t="s">
        <v>236</v>
      </c>
      <c r="E28" s="90"/>
      <c r="F28" s="90"/>
      <c r="G28" s="95">
        <v>-1</v>
      </c>
      <c r="H28" s="90"/>
      <c r="I28" s="92"/>
      <c r="J28" s="92"/>
      <c r="K28" s="92"/>
      <c r="L28" s="93">
        <v>0</v>
      </c>
      <c r="M28" s="93">
        <v>0</v>
      </c>
      <c r="N28" s="93">
        <v>0</v>
      </c>
      <c r="O28" s="94">
        <v>0.33</v>
      </c>
      <c r="P28" s="94">
        <v>0</v>
      </c>
      <c r="Q28" s="94">
        <v>0</v>
      </c>
      <c r="R28" s="95">
        <v>22</v>
      </c>
      <c r="S28" s="90"/>
      <c r="T28" s="90"/>
      <c r="U28" s="95">
        <v>14</v>
      </c>
      <c r="V28" s="95">
        <v>13.5</v>
      </c>
      <c r="W28" s="90"/>
      <c r="X28" s="95">
        <v>13.5</v>
      </c>
      <c r="Y28" s="95">
        <v>50</v>
      </c>
      <c r="Z28" s="90"/>
      <c r="AA28" s="96"/>
      <c r="AB28" s="90" t="s">
        <v>237</v>
      </c>
      <c r="AC28" s="90" t="s">
        <v>237</v>
      </c>
      <c r="AD28" s="90"/>
      <c r="AE28" s="90"/>
    </row>
    <row r="29" spans="1:31" ht="14.25" customHeight="1" x14ac:dyDescent="0.25">
      <c r="A29" s="90" t="s">
        <v>238</v>
      </c>
      <c r="B29" s="90" t="s">
        <v>48</v>
      </c>
      <c r="C29" s="90" t="s">
        <v>19</v>
      </c>
      <c r="D29" s="90" t="s">
        <v>22</v>
      </c>
      <c r="E29" s="91" t="s">
        <v>177</v>
      </c>
      <c r="F29" s="95">
        <v>1.5</v>
      </c>
      <c r="G29" s="95">
        <v>2.5</v>
      </c>
      <c r="H29" s="90"/>
      <c r="I29" s="92"/>
      <c r="J29" s="92"/>
      <c r="K29" s="92"/>
      <c r="L29" s="93">
        <f>IF(Data!$F29=0,50%,(Data!$F29-ROUNDDOWN(Data!$F29,0))/Data!$F29)</f>
        <v>0.33333333333333331</v>
      </c>
      <c r="M29" s="93">
        <f>IF(Data!$G29=0,50%,(Data!$G29-ROUNDDOWN(Data!$G29,0))/Data!$G29)</f>
        <v>0.2</v>
      </c>
      <c r="N29" s="93">
        <f>IF(Data!$H29=0,50%,(Data!$H29-ROUNDDOWN(Data!$H29,0))/Data!$H29)</f>
        <v>0.5</v>
      </c>
      <c r="O29" s="94">
        <v>0</v>
      </c>
      <c r="P29" s="94">
        <f>Data!$O29</f>
        <v>0</v>
      </c>
      <c r="Q29" s="94">
        <f>Data!$O29</f>
        <v>0</v>
      </c>
      <c r="R29" s="95">
        <v>0</v>
      </c>
      <c r="S29" s="90"/>
      <c r="T29" s="90"/>
      <c r="U29" s="95">
        <v>4</v>
      </c>
      <c r="V29" s="95">
        <v>10</v>
      </c>
      <c r="W29" s="90"/>
      <c r="X29" s="95">
        <v>20</v>
      </c>
      <c r="Y29" s="95">
        <v>80</v>
      </c>
      <c r="Z29" s="90"/>
      <c r="AA29" s="96"/>
      <c r="AB29" s="91" t="s">
        <v>177</v>
      </c>
      <c r="AC29" s="90" t="str">
        <f>Data!$AB29</f>
        <v/>
      </c>
      <c r="AD29" s="91" t="s">
        <v>177</v>
      </c>
      <c r="AE29" s="90" t="str">
        <f>Data!$AD29</f>
        <v/>
      </c>
    </row>
    <row r="30" spans="1:31" ht="14.25" customHeight="1" x14ac:dyDescent="0.25">
      <c r="A30" s="90" t="s">
        <v>239</v>
      </c>
      <c r="B30" s="90" t="s">
        <v>46</v>
      </c>
      <c r="C30" s="90" t="s">
        <v>240</v>
      </c>
      <c r="D30" s="91" t="s">
        <v>241</v>
      </c>
      <c r="E30" s="91" t="s">
        <v>242</v>
      </c>
      <c r="F30" s="95">
        <v>2</v>
      </c>
      <c r="G30" s="95">
        <v>0</v>
      </c>
      <c r="H30" s="95">
        <v>0</v>
      </c>
      <c r="I30" s="92"/>
      <c r="J30" s="92"/>
      <c r="K30" s="92"/>
      <c r="L30" s="93">
        <f>IF(Data!$F30=0,50%,(Data!$F30-ROUNDDOWN(Data!$F30,0))/Data!$F30)</f>
        <v>0</v>
      </c>
      <c r="M30" s="93">
        <v>0</v>
      </c>
      <c r="N30" s="93">
        <v>0</v>
      </c>
      <c r="O30" s="94">
        <v>0</v>
      </c>
      <c r="P30" s="94">
        <f>IF(Data!$O30="", "", Data!$O30)</f>
        <v>0</v>
      </c>
      <c r="Q30" s="94">
        <v>0.5</v>
      </c>
      <c r="R30" s="95">
        <v>0</v>
      </c>
      <c r="S30" s="90"/>
      <c r="T30" s="95">
        <v>4</v>
      </c>
      <c r="U30" s="95">
        <v>6</v>
      </c>
      <c r="V30" s="95">
        <v>6</v>
      </c>
      <c r="W30" s="90"/>
      <c r="X30" s="95">
        <v>20</v>
      </c>
      <c r="Y30" s="95">
        <v>80</v>
      </c>
      <c r="Z30" s="90"/>
      <c r="AA30" s="96"/>
      <c r="AB30" s="91" t="s">
        <v>243</v>
      </c>
      <c r="AC30" s="90" t="str">
        <f>Data!$AB30</f>
        <v>Faruzan only generates particles when she uses an aimed shot after her skill, or when C6 triggers, with a shared 5.5s ICD. C4 gives her 2-4 energy per skill use or C6 trigger, with no ICD.</v>
      </c>
      <c r="AD30" s="91" t="s">
        <v>177</v>
      </c>
      <c r="AE30" s="90" t="str">
        <f>Data!$AD30</f>
        <v/>
      </c>
    </row>
    <row r="31" spans="1:31" ht="14.25" customHeight="1" x14ac:dyDescent="0.25">
      <c r="A31" s="90" t="s">
        <v>244</v>
      </c>
      <c r="B31" s="90" t="s">
        <v>52</v>
      </c>
      <c r="C31" s="90" t="s">
        <v>30</v>
      </c>
      <c r="D31" s="90" t="s">
        <v>245</v>
      </c>
      <c r="E31" s="91" t="s">
        <v>177</v>
      </c>
      <c r="F31" s="90"/>
      <c r="G31" s="90"/>
      <c r="H31" s="90"/>
      <c r="I31" s="92"/>
      <c r="J31" s="92"/>
      <c r="K31" s="92"/>
      <c r="L31" s="93">
        <f>IF(Data!$F31=0,50%,(Data!$F31-ROUNDDOWN(Data!$F31,0))/Data!$F31)</f>
        <v>0.5</v>
      </c>
      <c r="M31" s="93">
        <f>IF(Data!$G31=0,50%,(Data!$G31-ROUNDDOWN(Data!$G31,0))/Data!$G31)</f>
        <v>0.5</v>
      </c>
      <c r="N31" s="93">
        <f>IF(Data!$H31=0,50%,(Data!$H31-ROUNDDOWN(Data!$H31,0))/Data!$H31)</f>
        <v>0.5</v>
      </c>
      <c r="O31" s="94">
        <v>0.67</v>
      </c>
      <c r="P31" s="94">
        <f>Data!$O31</f>
        <v>0.67</v>
      </c>
      <c r="Q31" s="94">
        <f>Data!$O31</f>
        <v>0.67</v>
      </c>
      <c r="R31" s="95">
        <v>10</v>
      </c>
      <c r="S31" s="95">
        <v>12</v>
      </c>
      <c r="T31" s="90"/>
      <c r="U31" s="95">
        <v>25</v>
      </c>
      <c r="V31" s="95">
        <v>25</v>
      </c>
      <c r="W31" s="90"/>
      <c r="X31" s="95">
        <v>15</v>
      </c>
      <c r="Y31" s="95">
        <v>60</v>
      </c>
      <c r="Z31" s="90"/>
      <c r="AA31" s="96"/>
      <c r="AB31" s="90" t="s">
        <v>246</v>
      </c>
      <c r="AC31" s="90" t="s">
        <v>247</v>
      </c>
      <c r="AD31" s="90" t="s">
        <v>246</v>
      </c>
      <c r="AE31" s="90" t="s">
        <v>247</v>
      </c>
    </row>
    <row r="32" spans="1:31" ht="14.25" customHeight="1" x14ac:dyDescent="0.25">
      <c r="A32" s="90" t="s">
        <v>248</v>
      </c>
      <c r="B32" s="90" t="s">
        <v>48</v>
      </c>
      <c r="C32" s="90" t="s">
        <v>249</v>
      </c>
      <c r="D32" s="90" t="s">
        <v>250</v>
      </c>
      <c r="E32" s="91" t="s">
        <v>251</v>
      </c>
      <c r="F32" s="95">
        <v>2</v>
      </c>
      <c r="G32" s="95">
        <v>1</v>
      </c>
      <c r="H32" s="95">
        <v>1</v>
      </c>
      <c r="I32" s="92"/>
      <c r="J32" s="92"/>
      <c r="K32" s="92"/>
      <c r="L32" s="93">
        <f>IF(Data!$F32=0,50%,(Data!$F32-ROUNDDOWN(Data!$F32,0))/Data!$F32)</f>
        <v>0</v>
      </c>
      <c r="M32" s="93">
        <f>IF(Data!$G32=0,50%,(Data!$G32-ROUNDDOWN(Data!$G32,0))/Data!$G32)</f>
        <v>0</v>
      </c>
      <c r="N32" s="93">
        <f>IF(Data!$H32=0,50%,(Data!$H32-ROUNDDOWN(Data!$H32,0))/Data!$H32)</f>
        <v>0</v>
      </c>
      <c r="O32" s="94">
        <v>0</v>
      </c>
      <c r="P32" s="94">
        <f>IF(Data!$O32="", "", Data!$O32)</f>
        <v>0</v>
      </c>
      <c r="Q32" s="94">
        <v>0</v>
      </c>
      <c r="R32" s="95">
        <v>0</v>
      </c>
      <c r="S32" s="90"/>
      <c r="T32" s="90"/>
      <c r="U32" s="95">
        <v>10</v>
      </c>
      <c r="V32" s="90"/>
      <c r="W32" s="90"/>
      <c r="X32" s="95">
        <v>15</v>
      </c>
      <c r="Y32" s="95">
        <v>60</v>
      </c>
      <c r="Z32" s="90"/>
      <c r="AA32" s="96"/>
      <c r="AB32" s="90" t="s">
        <v>252</v>
      </c>
      <c r="AC32" s="90" t="str">
        <f>Data!$AB32</f>
        <v>Freminet's burst resets his skill cooldown and reduces its cooldown to 3s. His A1 reduces his skill cooldown by 1s if unleashed at level 1-3. His C2 restores 2-3 energy per skill use.</v>
      </c>
      <c r="AD32" s="91" t="s">
        <v>177</v>
      </c>
      <c r="AE32" s="90" t="str">
        <f>Data!$AD32</f>
        <v/>
      </c>
    </row>
    <row r="33" spans="1:31" ht="14.25" customHeight="1" x14ac:dyDescent="0.25">
      <c r="A33" s="90" t="s">
        <v>253</v>
      </c>
      <c r="B33" s="90" t="s">
        <v>56</v>
      </c>
      <c r="C33" s="90" t="s">
        <v>254</v>
      </c>
      <c r="D33" s="90" t="s">
        <v>255</v>
      </c>
      <c r="E33" s="90"/>
      <c r="F33" s="90"/>
      <c r="G33" s="90"/>
      <c r="H33" s="90"/>
      <c r="I33" s="92"/>
      <c r="J33" s="92"/>
      <c r="K33" s="92"/>
      <c r="L33" s="93">
        <v>0</v>
      </c>
      <c r="M33" s="93">
        <v>0</v>
      </c>
      <c r="N33" s="93">
        <v>0</v>
      </c>
      <c r="O33" s="94">
        <v>0.3</v>
      </c>
      <c r="P33" s="94">
        <v>0</v>
      </c>
      <c r="Q33" s="94">
        <v>0</v>
      </c>
      <c r="R33" s="95">
        <v>30</v>
      </c>
      <c r="S33" s="95">
        <v>30</v>
      </c>
      <c r="T33" s="90"/>
      <c r="U33" s="95">
        <v>20</v>
      </c>
      <c r="V33" s="95">
        <v>20</v>
      </c>
      <c r="W33" s="90"/>
      <c r="X33" s="95">
        <v>15</v>
      </c>
      <c r="Y33" s="95">
        <v>60</v>
      </c>
      <c r="Z33" s="90"/>
      <c r="AA33" s="96"/>
      <c r="AB33" s="90" t="s">
        <v>256</v>
      </c>
      <c r="AC33" s="90" t="s">
        <v>257</v>
      </c>
      <c r="AD33" s="90"/>
      <c r="AE33" s="90"/>
    </row>
    <row r="34" spans="1:31" ht="14.25" customHeight="1" x14ac:dyDescent="0.25">
      <c r="A34" s="90" t="s">
        <v>258</v>
      </c>
      <c r="B34" s="90" t="s">
        <v>63</v>
      </c>
      <c r="C34" s="90" t="s">
        <v>19</v>
      </c>
      <c r="D34" s="90"/>
      <c r="E34" s="90"/>
      <c r="F34" s="95">
        <v>2</v>
      </c>
      <c r="G34" s="90"/>
      <c r="H34" s="90"/>
      <c r="I34" s="92"/>
      <c r="J34" s="92"/>
      <c r="K34" s="92"/>
      <c r="L34" s="93">
        <v>0</v>
      </c>
      <c r="M34" s="93">
        <v>0</v>
      </c>
      <c r="N34" s="93">
        <v>0</v>
      </c>
      <c r="O34" s="94">
        <v>0</v>
      </c>
      <c r="P34" s="94">
        <v>0</v>
      </c>
      <c r="Q34" s="94">
        <v>0</v>
      </c>
      <c r="R34" s="95">
        <v>0</v>
      </c>
      <c r="S34" s="90"/>
      <c r="T34" s="90"/>
      <c r="U34" s="95">
        <v>6</v>
      </c>
      <c r="V34" s="90"/>
      <c r="W34" s="90"/>
      <c r="X34" s="95">
        <v>15</v>
      </c>
      <c r="Y34" s="95">
        <v>60</v>
      </c>
      <c r="Z34" s="90"/>
      <c r="AA34" s="96"/>
      <c r="AB34" s="90" t="s">
        <v>259</v>
      </c>
      <c r="AC34" s="90" t="str">
        <f>AB34</f>
        <v>Gaming generates particles when he uses Plunging Attack: Charmed Cloudstrider, with a 3 second ICD. Gaming's C4 adds an additional 2 flat energy per enemy hit. Put this in "Bonus non-particle energy".</v>
      </c>
      <c r="AD34" s="90"/>
      <c r="AE34" s="90"/>
    </row>
    <row r="35" spans="1:31" ht="14.25" customHeight="1" x14ac:dyDescent="0.25">
      <c r="A35" s="90" t="s">
        <v>260</v>
      </c>
      <c r="B35" s="90" t="s">
        <v>48</v>
      </c>
      <c r="C35" s="90" t="s">
        <v>19</v>
      </c>
      <c r="D35" s="91" t="s">
        <v>177</v>
      </c>
      <c r="E35" s="91" t="s">
        <v>177</v>
      </c>
      <c r="F35" s="95">
        <v>4</v>
      </c>
      <c r="G35" s="90"/>
      <c r="H35" s="90"/>
      <c r="I35" s="92"/>
      <c r="J35" s="92"/>
      <c r="K35" s="92"/>
      <c r="L35" s="93">
        <f>IF(Data!$F35=0,50%,(Data!$F35-ROUNDDOWN(Data!$F35,0))/Data!$F35)</f>
        <v>0</v>
      </c>
      <c r="M35" s="93">
        <f>IF(Data!$G35=0,50%,(Data!$G35-ROUNDDOWN(Data!$G35,0))/Data!$G35)</f>
        <v>0.5</v>
      </c>
      <c r="N35" s="93">
        <f>IF(Data!$H35=0,50%,(Data!$H35-ROUNDDOWN(Data!$H35,0))/Data!$H35)</f>
        <v>0.5</v>
      </c>
      <c r="O35" s="94">
        <v>0</v>
      </c>
      <c r="P35" s="94">
        <f>Data!$O35</f>
        <v>0</v>
      </c>
      <c r="Q35" s="94">
        <f>Data!$O35</f>
        <v>0</v>
      </c>
      <c r="R35" s="95">
        <v>0</v>
      </c>
      <c r="S35" s="90"/>
      <c r="T35" s="90"/>
      <c r="U35" s="95">
        <v>10</v>
      </c>
      <c r="V35" s="90"/>
      <c r="W35" s="90"/>
      <c r="X35" s="95">
        <v>15</v>
      </c>
      <c r="Y35" s="95">
        <v>60</v>
      </c>
      <c r="Z35" s="90"/>
      <c r="AA35" s="96"/>
      <c r="AB35" s="90" t="s">
        <v>261</v>
      </c>
      <c r="AC35" s="90" t="str">
        <f>Data!$AB35</f>
        <v xml:space="preserve">Feed half of Ganyu's particles to whoever will be on field when the Ice Lotus explodes. Ganyu C1 gives her 2 energy per charged shot. Put this in "Bonus non-particle energy". </v>
      </c>
      <c r="AD35" s="91" t="s">
        <v>177</v>
      </c>
      <c r="AE35" s="90" t="str">
        <f>Data!$AD35</f>
        <v/>
      </c>
    </row>
    <row r="36" spans="1:31" ht="14.25" customHeight="1" x14ac:dyDescent="0.25">
      <c r="A36" s="90" t="s">
        <v>262</v>
      </c>
      <c r="B36" s="90" t="s">
        <v>54</v>
      </c>
      <c r="C36" s="90" t="s">
        <v>19</v>
      </c>
      <c r="D36" s="91" t="s">
        <v>177</v>
      </c>
      <c r="E36" s="91" t="s">
        <v>177</v>
      </c>
      <c r="F36" s="95">
        <v>2</v>
      </c>
      <c r="G36" s="90"/>
      <c r="H36" s="90"/>
      <c r="I36" s="92"/>
      <c r="J36" s="92"/>
      <c r="K36" s="92"/>
      <c r="L36" s="93">
        <f>IF(Data!$F36=0,50%,(Data!$F36-ROUNDDOWN(Data!$F36,0))/Data!$F36)</f>
        <v>0</v>
      </c>
      <c r="M36" s="93">
        <f>IF(Data!$G36=0,50%,(Data!$G36-ROUNDDOWN(Data!$G36,0))/Data!$G36)</f>
        <v>0.5</v>
      </c>
      <c r="N36" s="93">
        <f>IF(Data!$H36=0,50%,(Data!$H36-ROUNDDOWN(Data!$H36,0))/Data!$H36)</f>
        <v>0.5</v>
      </c>
      <c r="O36" s="94">
        <v>0</v>
      </c>
      <c r="P36" s="94">
        <f>Data!$O36</f>
        <v>0</v>
      </c>
      <c r="Q36" s="94">
        <f>Data!$O36</f>
        <v>0</v>
      </c>
      <c r="R36" s="95">
        <v>0</v>
      </c>
      <c r="S36" s="90"/>
      <c r="T36" s="90"/>
      <c r="U36" s="95">
        <v>10</v>
      </c>
      <c r="V36" s="90"/>
      <c r="W36" s="90"/>
      <c r="X36" s="95">
        <v>20</v>
      </c>
      <c r="Y36" s="95">
        <v>80</v>
      </c>
      <c r="Z36" s="90"/>
      <c r="AA36" s="96"/>
      <c r="AB36" s="91" t="s">
        <v>177</v>
      </c>
      <c r="AC36" s="90" t="str">
        <f>Data!$AB36</f>
        <v/>
      </c>
      <c r="AD36" s="91" t="s">
        <v>177</v>
      </c>
      <c r="AE36" s="90" t="str">
        <f>Data!$AD36</f>
        <v/>
      </c>
    </row>
    <row r="37" spans="1:31" ht="14.25" customHeight="1" x14ac:dyDescent="0.25">
      <c r="A37" s="90" t="s">
        <v>263</v>
      </c>
      <c r="B37" s="90" t="s">
        <v>46</v>
      </c>
      <c r="C37" s="90" t="s">
        <v>264</v>
      </c>
      <c r="D37" s="91" t="s">
        <v>265</v>
      </c>
      <c r="E37" s="91" t="s">
        <v>266</v>
      </c>
      <c r="F37" s="95">
        <v>2</v>
      </c>
      <c r="G37" s="95">
        <v>2.5</v>
      </c>
      <c r="H37" s="95">
        <v>3</v>
      </c>
      <c r="I37" s="92"/>
      <c r="J37" s="92"/>
      <c r="K37" s="92"/>
      <c r="L37" s="93">
        <f>IF(Data!$F37=0,50%,(Data!$F37-ROUNDDOWN(Data!$F37,0))/Data!$F37)</f>
        <v>0</v>
      </c>
      <c r="M37" s="93">
        <f>IF(Data!$G37=0,50%,(Data!$G37-ROUNDDOWN(Data!$G37,0))/Data!$G37)</f>
        <v>0.2</v>
      </c>
      <c r="N37" s="93">
        <f>IF(Data!$H37=0,50%,(Data!$H37-ROUNDDOWN(Data!$H37,0))/Data!$H37)</f>
        <v>0</v>
      </c>
      <c r="O37" s="94">
        <v>0</v>
      </c>
      <c r="P37" s="94">
        <f>Data!$O37</f>
        <v>0</v>
      </c>
      <c r="Q37" s="94">
        <f>Data!$O37</f>
        <v>0</v>
      </c>
      <c r="R37" s="95">
        <v>0</v>
      </c>
      <c r="S37" s="90"/>
      <c r="T37" s="90"/>
      <c r="U37" s="95">
        <v>10</v>
      </c>
      <c r="V37" s="95">
        <v>10</v>
      </c>
      <c r="W37" s="95">
        <v>10</v>
      </c>
      <c r="X37" s="95">
        <v>12</v>
      </c>
      <c r="Y37" s="95">
        <v>40</v>
      </c>
      <c r="Z37" s="90"/>
      <c r="AA37" s="96"/>
      <c r="AB37" s="91" t="s">
        <v>267</v>
      </c>
      <c r="AC37" s="91" t="s">
        <v>268</v>
      </c>
      <c r="AD37" s="91" t="s">
        <v>177</v>
      </c>
      <c r="AE37" s="90" t="str">
        <f>Data!$AD37</f>
        <v/>
      </c>
    </row>
    <row r="38" spans="1:31" ht="14.25" customHeight="1" x14ac:dyDescent="0.25">
      <c r="A38" s="90" t="s">
        <v>269</v>
      </c>
      <c r="B38" s="90" t="s">
        <v>63</v>
      </c>
      <c r="C38" s="90" t="s">
        <v>19</v>
      </c>
      <c r="D38" s="91" t="s">
        <v>177</v>
      </c>
      <c r="E38" s="91" t="s">
        <v>177</v>
      </c>
      <c r="F38" s="95">
        <v>4.8</v>
      </c>
      <c r="G38" s="90"/>
      <c r="H38" s="90"/>
      <c r="I38" s="92"/>
      <c r="J38" s="92"/>
      <c r="K38" s="92"/>
      <c r="L38" s="93">
        <f>IF(Data!$F38=0,50%,(Data!$F38-ROUNDDOWN(Data!$F38,0))/Data!$F38)</f>
        <v>0.16666666666666663</v>
      </c>
      <c r="M38" s="93">
        <f>IF(Data!$G38=0,50%,(Data!$G38-ROUNDDOWN(Data!$G38,0))/Data!$G38)</f>
        <v>0.5</v>
      </c>
      <c r="N38" s="93">
        <f>IF(Data!$H38=0,50%,(Data!$H38-ROUNDDOWN(Data!$H38,0))/Data!$H38)</f>
        <v>0.5</v>
      </c>
      <c r="O38" s="94">
        <v>0</v>
      </c>
      <c r="P38" s="94">
        <f>Data!$O38</f>
        <v>0</v>
      </c>
      <c r="Q38" s="94">
        <f>Data!$O38</f>
        <v>0</v>
      </c>
      <c r="R38" s="95">
        <v>0</v>
      </c>
      <c r="S38" s="90"/>
      <c r="T38" s="90"/>
      <c r="U38" s="95">
        <v>16</v>
      </c>
      <c r="V38" s="90"/>
      <c r="W38" s="90"/>
      <c r="X38" s="95">
        <v>15</v>
      </c>
      <c r="Y38" s="95">
        <v>60</v>
      </c>
      <c r="Z38" s="90"/>
      <c r="AA38" s="96"/>
      <c r="AB38" s="90" t="s">
        <v>270</v>
      </c>
      <c r="AC38" s="90" t="str">
        <f>Data!$AB38</f>
        <v>Hu Tao's skill use assumes 2 particle generation triggers. Hu Tao doesn't generally need to burst every rotation.</v>
      </c>
      <c r="AD38" s="91" t="s">
        <v>177</v>
      </c>
      <c r="AE38" s="90" t="str">
        <f>Data!$AD38</f>
        <v/>
      </c>
    </row>
    <row r="39" spans="1:31" ht="14.25" customHeight="1" x14ac:dyDescent="0.25">
      <c r="A39" s="90" t="s">
        <v>271</v>
      </c>
      <c r="B39" s="90" t="s">
        <v>52</v>
      </c>
      <c r="C39" s="90" t="s">
        <v>19</v>
      </c>
      <c r="D39" s="90"/>
      <c r="E39" s="90"/>
      <c r="F39" s="95">
        <v>4</v>
      </c>
      <c r="G39" s="90"/>
      <c r="H39" s="90"/>
      <c r="I39" s="92"/>
      <c r="J39" s="92"/>
      <c r="K39" s="92"/>
      <c r="L39" s="93">
        <v>0</v>
      </c>
      <c r="M39" s="93">
        <v>0</v>
      </c>
      <c r="N39" s="93">
        <v>0</v>
      </c>
      <c r="O39" s="94">
        <v>0</v>
      </c>
      <c r="P39" s="94">
        <v>0</v>
      </c>
      <c r="Q39" s="94">
        <v>0</v>
      </c>
      <c r="R39" s="95">
        <v>0</v>
      </c>
      <c r="S39" s="90"/>
      <c r="T39" s="90"/>
      <c r="U39" s="95">
        <v>16</v>
      </c>
      <c r="V39" s="90"/>
      <c r="W39" s="90"/>
      <c r="X39" s="95">
        <v>18</v>
      </c>
      <c r="Y39" s="95">
        <v>70</v>
      </c>
      <c r="Z39" s="90"/>
      <c r="AA39" s="96"/>
      <c r="AB39" s="90" t="s">
        <v>272</v>
      </c>
      <c r="AC39" s="90" t="s">
        <v>272</v>
      </c>
      <c r="AD39" s="90"/>
      <c r="AE39" s="90"/>
    </row>
    <row r="40" spans="1:31" ht="14.25" customHeight="1" x14ac:dyDescent="0.25">
      <c r="A40" s="90" t="s">
        <v>273</v>
      </c>
      <c r="B40" s="90" t="s">
        <v>54</v>
      </c>
      <c r="C40" s="90" t="s">
        <v>19</v>
      </c>
      <c r="D40" s="91" t="s">
        <v>177</v>
      </c>
      <c r="E40" s="91" t="s">
        <v>177</v>
      </c>
      <c r="F40" s="95">
        <v>3.5</v>
      </c>
      <c r="G40" s="90"/>
      <c r="H40" s="90"/>
      <c r="I40" s="92"/>
      <c r="J40" s="92"/>
      <c r="K40" s="92"/>
      <c r="L40" s="93">
        <f>IF(Data!$F40=0,50%,(Data!$F40-ROUNDDOWN(Data!$F40,0))/Data!$F40)</f>
        <v>0.14285714285714285</v>
      </c>
      <c r="M40" s="93">
        <f>IF(Data!$G40=0,50%,(Data!$G40-ROUNDDOWN(Data!$G40,0))/Data!$G40)</f>
        <v>0.5</v>
      </c>
      <c r="N40" s="93">
        <f>IF(Data!$H40=0,50%,(Data!$H40-ROUNDDOWN(Data!$H40,0))/Data!$H40)</f>
        <v>0.5</v>
      </c>
      <c r="O40" s="94">
        <v>0</v>
      </c>
      <c r="P40" s="94">
        <f>Data!$O40</f>
        <v>0</v>
      </c>
      <c r="Q40" s="94">
        <f>Data!$O40</f>
        <v>0</v>
      </c>
      <c r="R40" s="95">
        <v>0</v>
      </c>
      <c r="S40" s="90"/>
      <c r="T40" s="90"/>
      <c r="U40" s="95">
        <v>10</v>
      </c>
      <c r="V40" s="90"/>
      <c r="W40" s="90"/>
      <c r="X40" s="95">
        <v>18</v>
      </c>
      <c r="Y40" s="95">
        <v>70</v>
      </c>
      <c r="Z40" s="90"/>
      <c r="AA40" s="96"/>
      <c r="AB40" s="90" t="s">
        <v>274</v>
      </c>
      <c r="AC40" s="90" t="s">
        <v>275</v>
      </c>
      <c r="AD40" s="91" t="s">
        <v>177</v>
      </c>
      <c r="AE40" s="90" t="str">
        <f>Data!$AD40</f>
        <v/>
      </c>
    </row>
    <row r="41" spans="1:31" ht="14.25" customHeight="1" x14ac:dyDescent="0.25">
      <c r="A41" s="90" t="s">
        <v>276</v>
      </c>
      <c r="B41" s="90" t="s">
        <v>46</v>
      </c>
      <c r="C41" s="90" t="s">
        <v>19</v>
      </c>
      <c r="D41" s="91" t="s">
        <v>177</v>
      </c>
      <c r="E41" s="91" t="s">
        <v>177</v>
      </c>
      <c r="F41" s="95">
        <v>2.67</v>
      </c>
      <c r="G41" s="90"/>
      <c r="H41" s="90"/>
      <c r="I41" s="92"/>
      <c r="J41" s="92"/>
      <c r="K41" s="92"/>
      <c r="L41" s="93">
        <f>IF(Data!$F41=0,50%,(Data!$F41-ROUNDDOWN(Data!$F41,0))/Data!$F41)</f>
        <v>0.25093632958801498</v>
      </c>
      <c r="M41" s="93">
        <f>IF(Data!$G41=0,50%,(Data!$G41-ROUNDDOWN(Data!$G41,0))/Data!$G41)</f>
        <v>0.5</v>
      </c>
      <c r="N41" s="93">
        <f>IF(Data!$H41=0,50%,(Data!$H41-ROUNDDOWN(Data!$H41,0))/Data!$H41)</f>
        <v>0.5</v>
      </c>
      <c r="O41" s="94">
        <v>0</v>
      </c>
      <c r="P41" s="94">
        <f>Data!$O41</f>
        <v>0</v>
      </c>
      <c r="Q41" s="94">
        <f>Data!$O41</f>
        <v>0</v>
      </c>
      <c r="R41" s="95">
        <v>0</v>
      </c>
      <c r="S41" s="90"/>
      <c r="T41" s="90"/>
      <c r="U41" s="95">
        <v>6</v>
      </c>
      <c r="V41" s="90"/>
      <c r="W41" s="90"/>
      <c r="X41" s="99">
        <v>20</v>
      </c>
      <c r="Y41" s="95">
        <v>80</v>
      </c>
      <c r="Z41" s="95">
        <v>16</v>
      </c>
      <c r="AA41" s="96"/>
      <c r="AB41" s="90" t="s">
        <v>277</v>
      </c>
      <c r="AC41" s="90" t="str">
        <f>Data!$AB41</f>
        <v>Jean's burst cost is reduced by 16 due to her A4 passive.</v>
      </c>
      <c r="AD41" s="90" t="s">
        <v>278</v>
      </c>
      <c r="AE41" s="90" t="str">
        <f>Data!$AD41</f>
        <v>The discount on Jean's burst from her A4 passive is already included and does not need to be in "Bonus non-particle energy".</v>
      </c>
    </row>
    <row r="42" spans="1:31" ht="14.25" customHeight="1" x14ac:dyDescent="0.25">
      <c r="A42" s="90" t="s">
        <v>279</v>
      </c>
      <c r="B42" s="90" t="s">
        <v>54</v>
      </c>
      <c r="C42" s="90" t="s">
        <v>280</v>
      </c>
      <c r="D42" s="90" t="s">
        <v>281</v>
      </c>
      <c r="E42" s="90"/>
      <c r="F42" s="90"/>
      <c r="G42" s="95">
        <v>4</v>
      </c>
      <c r="H42" s="90"/>
      <c r="I42" s="92"/>
      <c r="J42" s="92"/>
      <c r="K42" s="92"/>
      <c r="L42" s="93">
        <v>0.5</v>
      </c>
      <c r="M42" s="93">
        <v>0.5</v>
      </c>
      <c r="N42" s="93">
        <v>0</v>
      </c>
      <c r="O42" s="94">
        <v>0.33</v>
      </c>
      <c r="P42" s="94">
        <v>0</v>
      </c>
      <c r="Q42" s="94">
        <v>0</v>
      </c>
      <c r="R42" s="95">
        <v>12</v>
      </c>
      <c r="S42" s="90"/>
      <c r="T42" s="90"/>
      <c r="U42" s="95">
        <v>20</v>
      </c>
      <c r="V42" s="90"/>
      <c r="W42" s="90"/>
      <c r="X42" s="99">
        <v>18</v>
      </c>
      <c r="Y42" s="95">
        <v>70</v>
      </c>
      <c r="Z42" s="90"/>
      <c r="AA42" s="96"/>
      <c r="AB42" s="90" t="s">
        <v>282</v>
      </c>
      <c r="AC42" s="90" t="s">
        <v>283</v>
      </c>
      <c r="AD42" s="90"/>
      <c r="AE42" s="90"/>
    </row>
    <row r="43" spans="1:31" ht="14.25" customHeight="1" x14ac:dyDescent="0.25">
      <c r="A43" s="90" t="s">
        <v>284</v>
      </c>
      <c r="B43" s="90" t="s">
        <v>48</v>
      </c>
      <c r="C43" s="90" t="s">
        <v>285</v>
      </c>
      <c r="D43" s="90" t="s">
        <v>286</v>
      </c>
      <c r="E43" s="90" t="s">
        <v>287</v>
      </c>
      <c r="F43" s="95">
        <v>2.67</v>
      </c>
      <c r="G43" s="95">
        <v>3.67</v>
      </c>
      <c r="H43" s="95">
        <v>4.67</v>
      </c>
      <c r="I43" s="92"/>
      <c r="J43" s="92"/>
      <c r="K43" s="92"/>
      <c r="L43" s="93">
        <f>IF(Data!$F43=0,50%,(Data!$F43-ROUNDDOWN(Data!$F43,0))/Data!$F43)</f>
        <v>0.25093632958801498</v>
      </c>
      <c r="M43" s="93">
        <f>IF(Data!$G43=0,50%,(Data!$G43-ROUNDDOWN(Data!$G43,0))/Data!$G43)</f>
        <v>0.18256130790190733</v>
      </c>
      <c r="N43" s="93">
        <f>IF(Data!$H43=0,50%,(Data!$H43-ROUNDDOWN(Data!$H43,0))/Data!$H43)</f>
        <v>0.14346895074946467</v>
      </c>
      <c r="O43" s="94">
        <v>0</v>
      </c>
      <c r="P43" s="94">
        <f>Data!$O43</f>
        <v>0</v>
      </c>
      <c r="Q43" s="94">
        <f>Data!$O43</f>
        <v>0</v>
      </c>
      <c r="R43" s="95">
        <v>0</v>
      </c>
      <c r="S43" s="90"/>
      <c r="T43" s="90"/>
      <c r="U43" s="95">
        <v>6</v>
      </c>
      <c r="V43" s="95">
        <v>6</v>
      </c>
      <c r="W43" s="95">
        <v>6</v>
      </c>
      <c r="X43" s="95">
        <v>15</v>
      </c>
      <c r="Y43" s="95">
        <v>60</v>
      </c>
      <c r="Z43" s="90"/>
      <c r="AA43" s="96"/>
      <c r="AB43" s="90" t="s">
        <v>288</v>
      </c>
      <c r="AC43" s="90" t="str">
        <f>Data!$AB43</f>
        <v>Kaeya's skill type is determined by the number of enemies he freezes with his skill. Kaeya's C6 gains 15 energy on burst. Put this in "Bonus non-particle energy".</v>
      </c>
      <c r="AD43" s="91" t="s">
        <v>177</v>
      </c>
      <c r="AE43" s="90" t="str">
        <f>Data!$AD43</f>
        <v/>
      </c>
    </row>
    <row r="44" spans="1:31" ht="14.25" customHeight="1" x14ac:dyDescent="0.25">
      <c r="A44" s="90" t="s">
        <v>289</v>
      </c>
      <c r="B44" s="90" t="s">
        <v>51</v>
      </c>
      <c r="C44" s="90" t="s">
        <v>19</v>
      </c>
      <c r="D44" s="91" t="s">
        <v>177</v>
      </c>
      <c r="E44" s="91" t="s">
        <v>177</v>
      </c>
      <c r="F44" s="95">
        <v>2</v>
      </c>
      <c r="G44" s="90"/>
      <c r="H44" s="90"/>
      <c r="I44" s="92"/>
      <c r="J44" s="92"/>
      <c r="K44" s="92"/>
      <c r="L44" s="93">
        <f>IF(Data!$F44=0,50%,(Data!$F44-ROUNDDOWN(Data!$F44,0))/Data!$F44)</f>
        <v>0</v>
      </c>
      <c r="M44" s="93">
        <f>IF(Data!$G44=0,50%,(Data!$G44-ROUNDDOWN(Data!$G44,0))/Data!$G44)</f>
        <v>0.5</v>
      </c>
      <c r="N44" s="93">
        <f>IF(Data!$H44=0,50%,(Data!$H44-ROUNDDOWN(Data!$H44,0))/Data!$H44)</f>
        <v>0.5</v>
      </c>
      <c r="O44" s="94">
        <v>0</v>
      </c>
      <c r="P44" s="94">
        <f>IF(Data!$O44="", "", Data!$O44)</f>
        <v>0</v>
      </c>
      <c r="Q44" s="94">
        <f>Data!$O44</f>
        <v>0</v>
      </c>
      <c r="R44" s="95">
        <v>0</v>
      </c>
      <c r="S44" s="90"/>
      <c r="T44" s="90"/>
      <c r="U44" s="95">
        <v>6</v>
      </c>
      <c r="V44" s="90"/>
      <c r="W44" s="90"/>
      <c r="X44" s="95">
        <v>20</v>
      </c>
      <c r="Y44" s="95">
        <v>80</v>
      </c>
      <c r="Z44" s="90"/>
      <c r="AA44" s="96"/>
      <c r="AB44" s="91" t="s">
        <v>177</v>
      </c>
      <c r="AC44" s="90" t="str">
        <f>Data!$AB44</f>
        <v/>
      </c>
      <c r="AD44" s="91" t="s">
        <v>177</v>
      </c>
      <c r="AE44" s="90" t="str">
        <f>Data!$AD44</f>
        <v/>
      </c>
    </row>
    <row r="45" spans="1:31" ht="14.25" customHeight="1" x14ac:dyDescent="0.25">
      <c r="A45" s="90" t="s">
        <v>290</v>
      </c>
      <c r="B45" s="90" t="s">
        <v>46</v>
      </c>
      <c r="C45" s="90" t="s">
        <v>19</v>
      </c>
      <c r="D45" s="90" t="s">
        <v>22</v>
      </c>
      <c r="E45" s="91" t="s">
        <v>177</v>
      </c>
      <c r="F45" s="95">
        <v>3</v>
      </c>
      <c r="G45" s="95">
        <v>4</v>
      </c>
      <c r="H45" s="90"/>
      <c r="I45" s="92"/>
      <c r="J45" s="92"/>
      <c r="K45" s="92"/>
      <c r="L45" s="93">
        <f>IF(Data!$F45=0,50%,(Data!$F45-ROUNDDOWN(Data!$F45,0))/Data!$F45)</f>
        <v>0</v>
      </c>
      <c r="M45" s="93">
        <f>IF(Data!$G45=0,50%,(Data!$G45-ROUNDDOWN(Data!$G45,0))/Data!$G45)</f>
        <v>0</v>
      </c>
      <c r="N45" s="93">
        <f>IF(Data!$H45=0,50%,(Data!$H45-ROUNDDOWN(Data!$H45,0))/Data!$H45)</f>
        <v>0.5</v>
      </c>
      <c r="O45" s="94">
        <v>0</v>
      </c>
      <c r="P45" s="94">
        <f>Data!$O45</f>
        <v>0</v>
      </c>
      <c r="Q45" s="94">
        <f>Data!$O45</f>
        <v>0</v>
      </c>
      <c r="R45" s="95">
        <v>0</v>
      </c>
      <c r="S45" s="90"/>
      <c r="T45" s="90"/>
      <c r="U45" s="95">
        <v>6</v>
      </c>
      <c r="V45" s="95">
        <v>9</v>
      </c>
      <c r="W45" s="90"/>
      <c r="X45" s="95">
        <v>15</v>
      </c>
      <c r="Y45" s="95">
        <v>60</v>
      </c>
      <c r="Z45" s="90"/>
      <c r="AA45" s="96"/>
      <c r="AB45" s="91" t="s">
        <v>177</v>
      </c>
      <c r="AC45" s="90" t="str">
        <f>Data!$AB45</f>
        <v/>
      </c>
      <c r="AD45" s="91" t="s">
        <v>177</v>
      </c>
      <c r="AE45" s="90" t="str">
        <f>Data!$AD45</f>
        <v/>
      </c>
    </row>
    <row r="46" spans="1:31" ht="14.25" customHeight="1" x14ac:dyDescent="0.25">
      <c r="A46" s="90" t="s">
        <v>291</v>
      </c>
      <c r="B46" s="90" t="s">
        <v>52</v>
      </c>
      <c r="C46" s="90" t="s">
        <v>19</v>
      </c>
      <c r="D46" s="91" t="s">
        <v>292</v>
      </c>
      <c r="E46" s="91" t="s">
        <v>177</v>
      </c>
      <c r="F46" s="95">
        <v>2.5</v>
      </c>
      <c r="G46" s="95">
        <v>1</v>
      </c>
      <c r="H46" s="90"/>
      <c r="I46" s="92"/>
      <c r="J46" s="92"/>
      <c r="K46" s="92"/>
      <c r="L46" s="93">
        <f>IF(Data!$F46=0,50%,(Data!$F46-ROUNDDOWN(Data!$F46,0))/Data!$F46)</f>
        <v>0.2</v>
      </c>
      <c r="M46" s="93">
        <f>IF(Data!$G46=0,50%,(Data!$G46-ROUNDDOWN(Data!$G46,0))/Data!$G46)</f>
        <v>0</v>
      </c>
      <c r="N46" s="93">
        <f>IF(Data!$H46=0,50%,(Data!$H46-ROUNDDOWN(Data!$H46,0))/Data!$H46)</f>
        <v>0.5</v>
      </c>
      <c r="O46" s="94">
        <v>0</v>
      </c>
      <c r="P46" s="94">
        <f>Data!$O46</f>
        <v>0</v>
      </c>
      <c r="Q46" s="94">
        <f>Data!$O46</f>
        <v>0</v>
      </c>
      <c r="R46" s="95">
        <v>0</v>
      </c>
      <c r="S46" s="90"/>
      <c r="T46" s="90"/>
      <c r="U46" s="95">
        <v>7.5</v>
      </c>
      <c r="V46" s="90"/>
      <c r="W46" s="90"/>
      <c r="X46" s="95">
        <v>12</v>
      </c>
      <c r="Y46" s="95">
        <v>40</v>
      </c>
      <c r="Z46" s="90"/>
      <c r="AA46" s="96"/>
      <c r="AB46" s="91" t="s">
        <v>293</v>
      </c>
      <c r="AC46" s="90" t="str">
        <f>Data!$AB46</f>
        <v xml:space="preserve">Keqing's C2 can trigger at most once per 5 seconds. </v>
      </c>
      <c r="AD46" s="91" t="s">
        <v>177</v>
      </c>
      <c r="AE46" s="90" t="str">
        <f>Data!$AD46</f>
        <v/>
      </c>
    </row>
    <row r="47" spans="1:31" ht="14.25" customHeight="1" x14ac:dyDescent="0.25">
      <c r="A47" s="90" t="s">
        <v>294</v>
      </c>
      <c r="B47" s="90" t="s">
        <v>51</v>
      </c>
      <c r="C47" s="90" t="s">
        <v>295</v>
      </c>
      <c r="D47" s="91" t="s">
        <v>296</v>
      </c>
      <c r="E47" s="91" t="s">
        <v>177</v>
      </c>
      <c r="F47" s="95">
        <v>3</v>
      </c>
      <c r="G47" s="95">
        <v>1</v>
      </c>
      <c r="H47" s="90"/>
      <c r="I47" s="92"/>
      <c r="J47" s="92"/>
      <c r="K47" s="92"/>
      <c r="L47" s="93">
        <f>IF(Data!$F47=0,50%,(Data!$F47-ROUNDDOWN(Data!$F47,0))/Data!$F47)</f>
        <v>0</v>
      </c>
      <c r="M47" s="93">
        <f>IF(Data!$G47=0,50%,(Data!$G47-ROUNDDOWN(Data!$G47,0))/Data!$G47)</f>
        <v>0</v>
      </c>
      <c r="N47" s="93">
        <f>IF(Data!$H47=0,50%,(Data!$H47-ROUNDDOWN(Data!$H47,0))/Data!$H47)</f>
        <v>0.5</v>
      </c>
      <c r="O47" s="94">
        <v>0</v>
      </c>
      <c r="P47" s="94">
        <v>0</v>
      </c>
      <c r="Q47" s="94">
        <f>Data!$O47</f>
        <v>0</v>
      </c>
      <c r="R47" s="95">
        <v>0</v>
      </c>
      <c r="S47" s="90"/>
      <c r="T47" s="90"/>
      <c r="U47" s="95">
        <v>8</v>
      </c>
      <c r="V47" s="95">
        <v>4</v>
      </c>
      <c r="W47" s="90"/>
      <c r="X47" s="99">
        <v>15</v>
      </c>
      <c r="Y47" s="95">
        <v>60</v>
      </c>
      <c r="Z47" s="90"/>
      <c r="AA47" s="96"/>
      <c r="AB47" s="91" t="s">
        <v>297</v>
      </c>
      <c r="AC47" s="90" t="str">
        <f>Data!$AB47</f>
        <v>Kirara can generate up to one collision particle every 4 seconds when using her hold skill, with the first particle being generated immediately</v>
      </c>
      <c r="AD47" s="91" t="s">
        <v>177</v>
      </c>
      <c r="AE47" s="90" t="str">
        <f>Data!$AD47</f>
        <v/>
      </c>
    </row>
    <row r="48" spans="1:31" ht="14.25" customHeight="1" x14ac:dyDescent="0.25">
      <c r="A48" s="90" t="s">
        <v>298</v>
      </c>
      <c r="B48" s="90" t="s">
        <v>51</v>
      </c>
      <c r="C48" s="90" t="s">
        <v>19</v>
      </c>
      <c r="D48" s="90"/>
      <c r="E48" s="90"/>
      <c r="F48" s="95">
        <v>5</v>
      </c>
      <c r="G48" s="90"/>
      <c r="H48" s="90"/>
      <c r="I48" s="92"/>
      <c r="J48" s="92"/>
      <c r="K48" s="92"/>
      <c r="L48" s="93">
        <v>0</v>
      </c>
      <c r="M48" s="93">
        <v>0</v>
      </c>
      <c r="N48" s="93">
        <v>0</v>
      </c>
      <c r="O48" s="94">
        <v>0</v>
      </c>
      <c r="P48" s="94">
        <v>0</v>
      </c>
      <c r="Q48" s="94">
        <v>0</v>
      </c>
      <c r="R48" s="95">
        <v>0</v>
      </c>
      <c r="S48" s="90"/>
      <c r="T48" s="90"/>
      <c r="U48" s="95">
        <v>18</v>
      </c>
      <c r="V48" s="90"/>
      <c r="W48" s="90"/>
      <c r="X48" s="99">
        <v>18</v>
      </c>
      <c r="Y48" s="95">
        <v>70</v>
      </c>
      <c r="Z48" s="90"/>
      <c r="AA48" s="96"/>
      <c r="AB48" s="90" t="s">
        <v>299</v>
      </c>
      <c r="AC48" s="90"/>
      <c r="AD48" s="90"/>
      <c r="AE48" s="90"/>
    </row>
    <row r="49" spans="1:31" ht="14.25" customHeight="1" x14ac:dyDescent="0.25">
      <c r="A49" s="90" t="s">
        <v>300</v>
      </c>
      <c r="B49" s="90" t="s">
        <v>63</v>
      </c>
      <c r="C49" s="90" t="s">
        <v>19</v>
      </c>
      <c r="D49" s="91" t="s">
        <v>177</v>
      </c>
      <c r="E49" s="91" t="s">
        <v>177</v>
      </c>
      <c r="F49" s="95">
        <v>4</v>
      </c>
      <c r="G49" s="90"/>
      <c r="H49" s="90"/>
      <c r="I49" s="92"/>
      <c r="J49" s="92"/>
      <c r="K49" s="92"/>
      <c r="L49" s="93">
        <f>IF(Data!$F49=0,50%,(Data!$F49-ROUNDDOWN(Data!$F49,0))/Data!$F49)</f>
        <v>0</v>
      </c>
      <c r="M49" s="93">
        <f>IF(Data!$G49=0,50%,(Data!$G49-ROUNDDOWN(Data!$G49,0))/Data!$G49)</f>
        <v>0.5</v>
      </c>
      <c r="N49" s="93">
        <f>IF(Data!$H49=0,50%,(Data!$H49-ROUNDDOWN(Data!$H49,0))/Data!$H49)</f>
        <v>0.5</v>
      </c>
      <c r="O49" s="94">
        <v>0</v>
      </c>
      <c r="P49" s="94">
        <f>Data!$O49</f>
        <v>0</v>
      </c>
      <c r="Q49" s="94">
        <f>Data!$O49</f>
        <v>0</v>
      </c>
      <c r="R49" s="95">
        <v>0</v>
      </c>
      <c r="S49" s="90"/>
      <c r="T49" s="90"/>
      <c r="U49" s="95">
        <v>20</v>
      </c>
      <c r="V49" s="90"/>
      <c r="W49" s="90"/>
      <c r="X49" s="95">
        <v>15</v>
      </c>
      <c r="Y49" s="95">
        <v>60</v>
      </c>
      <c r="Z49" s="90"/>
      <c r="AA49" s="96"/>
      <c r="AB49" s="91" t="s">
        <v>301</v>
      </c>
      <c r="AC49" s="90" t="str">
        <f>Data!$AB49</f>
        <v>Klee's A4 gives every team member 2 energy whenever her charged attack crits. Put this in every character's "Bonus non-particle energy".</v>
      </c>
      <c r="AD49" s="91" t="s">
        <v>177</v>
      </c>
      <c r="AE49" s="90" t="str">
        <f>Data!$AD49</f>
        <v/>
      </c>
    </row>
    <row r="50" spans="1:31" ht="14.25" customHeight="1" x14ac:dyDescent="0.25">
      <c r="A50" s="90" t="s">
        <v>302</v>
      </c>
      <c r="B50" s="90" t="s">
        <v>56</v>
      </c>
      <c r="C50" s="90" t="s">
        <v>303</v>
      </c>
      <c r="D50" s="91" t="s">
        <v>304</v>
      </c>
      <c r="E50" s="91" t="s">
        <v>177</v>
      </c>
      <c r="F50" s="90"/>
      <c r="G50" s="90"/>
      <c r="H50" s="90"/>
      <c r="I50" s="92"/>
      <c r="J50" s="92"/>
      <c r="K50" s="92"/>
      <c r="L50" s="93">
        <f>IF(Data!$F50=0,50%,(Data!$F50-ROUNDDOWN(Data!$F50,0))/Data!$F50)</f>
        <v>0.5</v>
      </c>
      <c r="M50" s="93">
        <f>IF(Data!$G50=0,50%,(Data!$G50-ROUNDDOWN(Data!$G50,0))/Data!$G50)</f>
        <v>0.5</v>
      </c>
      <c r="N50" s="93">
        <f>IF(Data!$H50=0,50%,(Data!$H50-ROUNDDOWN(Data!$H50,0))/Data!$H50)</f>
        <v>0.5</v>
      </c>
      <c r="O50" s="94">
        <v>0.33</v>
      </c>
      <c r="P50" s="94">
        <f>Data!$O50</f>
        <v>0.33</v>
      </c>
      <c r="Q50" s="94">
        <f>Data!$O50</f>
        <v>0.33</v>
      </c>
      <c r="R50" s="95">
        <v>12</v>
      </c>
      <c r="S50" s="95">
        <v>12</v>
      </c>
      <c r="T50" s="90"/>
      <c r="U50" s="95">
        <v>20</v>
      </c>
      <c r="V50" s="95">
        <v>20</v>
      </c>
      <c r="W50" s="90"/>
      <c r="X50" s="95">
        <v>18</v>
      </c>
      <c r="Y50" s="95">
        <v>70</v>
      </c>
      <c r="Z50" s="90"/>
      <c r="AA50" s="96"/>
      <c r="AB50" s="90" t="s">
        <v>305</v>
      </c>
      <c r="AC50" s="90" t="str">
        <f>Data!$AB50</f>
        <v>Kokomi's skill type determines whether her burst refreshes her jellyfish.</v>
      </c>
      <c r="AD50" s="90" t="s">
        <v>306</v>
      </c>
      <c r="AE50" s="90" t="str">
        <f>Data!$AD50</f>
        <v>Kokomi's skill distributes particles based on time spent on field. Kokomi's burst refreshes her jellyfish.</v>
      </c>
    </row>
    <row r="51" spans="1:31" ht="14.25" customHeight="1" x14ac:dyDescent="0.25">
      <c r="A51" s="90" t="s">
        <v>307</v>
      </c>
      <c r="B51" s="90" t="s">
        <v>52</v>
      </c>
      <c r="C51" s="90" t="s">
        <v>30</v>
      </c>
      <c r="D51" s="90" t="s">
        <v>224</v>
      </c>
      <c r="E51" s="91" t="s">
        <v>213</v>
      </c>
      <c r="F51" s="90"/>
      <c r="G51" s="90"/>
      <c r="H51" s="90"/>
      <c r="I51" s="92"/>
      <c r="J51" s="92"/>
      <c r="K51" s="92"/>
      <c r="L51" s="93">
        <f>IF(Data!$F51=0,50%,(Data!$F51-ROUNDDOWN(Data!$F51,0))/Data!$F51)</f>
        <v>0.5</v>
      </c>
      <c r="M51" s="93">
        <f>IF(Data!$G51=0,50%,(Data!$G51-ROUNDDOWN(Data!$G51,0))/Data!$G51)</f>
        <v>0.5</v>
      </c>
      <c r="N51" s="93">
        <f>IF(Data!$H51=0,50%,(Data!$H51-ROUNDDOWN(Data!$H51,0))/Data!$H51)</f>
        <v>0.5</v>
      </c>
      <c r="O51" s="94">
        <v>0.3</v>
      </c>
      <c r="P51" s="94">
        <v>0.3</v>
      </c>
      <c r="Q51" s="94">
        <v>0.4</v>
      </c>
      <c r="R51" s="95">
        <v>12</v>
      </c>
      <c r="S51" s="95">
        <v>15</v>
      </c>
      <c r="T51" s="95">
        <v>15</v>
      </c>
      <c r="U51" s="95">
        <v>15</v>
      </c>
      <c r="V51" s="95">
        <v>15</v>
      </c>
      <c r="W51" s="95">
        <v>15</v>
      </c>
      <c r="X51" s="95">
        <v>15</v>
      </c>
      <c r="Y51" s="95">
        <v>60</v>
      </c>
      <c r="Z51" s="90"/>
      <c r="AA51" s="96"/>
      <c r="AB51" s="91" t="s">
        <v>308</v>
      </c>
      <c r="AC51" s="90" t="str">
        <f>Data!$AB51</f>
        <v>Kuki Shinobu's C4 triggers 3 times and has a 45% chance of generating a particle on each trigger</v>
      </c>
      <c r="AD51" s="91" t="s">
        <v>177</v>
      </c>
      <c r="AE51" s="90" t="str">
        <f>Data!$AD51</f>
        <v/>
      </c>
    </row>
    <row r="52" spans="1:31" ht="14.25" customHeight="1" x14ac:dyDescent="0.25">
      <c r="A52" s="90" t="s">
        <v>309</v>
      </c>
      <c r="B52" s="90" t="s">
        <v>48</v>
      </c>
      <c r="C52" s="90" t="s">
        <v>310</v>
      </c>
      <c r="D52" s="90" t="s">
        <v>311</v>
      </c>
      <c r="E52" s="91" t="s">
        <v>312</v>
      </c>
      <c r="F52" s="90"/>
      <c r="G52" s="90"/>
      <c r="H52" s="90"/>
      <c r="I52" s="92"/>
      <c r="J52" s="92"/>
      <c r="K52" s="92"/>
      <c r="L52" s="93">
        <f>IF(Data!$F52=0,50%,(Data!$F52-ROUNDDOWN(Data!$F52,0))/Data!$F52)</f>
        <v>0.5</v>
      </c>
      <c r="M52" s="93">
        <f>IF(Data!$G52=0,50%,(Data!$G52-ROUNDDOWN(Data!$G52,0))/Data!$G52)</f>
        <v>0.5</v>
      </c>
      <c r="N52" s="93">
        <f>IF(Data!$H52=0,50%,(Data!$H52-ROUNDDOWN(Data!$H52,0))/Data!$H52)</f>
        <v>0.5</v>
      </c>
      <c r="O52" s="94">
        <v>0.11</v>
      </c>
      <c r="P52" s="94">
        <f>Data!$O52*2</f>
        <v>0.22</v>
      </c>
      <c r="Q52" s="94">
        <f>Data!$O52*3</f>
        <v>0.33</v>
      </c>
      <c r="R52" s="95">
        <v>12</v>
      </c>
      <c r="S52" s="95">
        <v>12</v>
      </c>
      <c r="T52" s="95">
        <v>12</v>
      </c>
      <c r="U52" s="95">
        <v>12</v>
      </c>
      <c r="V52" s="95">
        <v>12</v>
      </c>
      <c r="W52" s="95">
        <v>12</v>
      </c>
      <c r="X52" s="95">
        <v>12</v>
      </c>
      <c r="Y52" s="95">
        <v>40</v>
      </c>
      <c r="Z52" s="90"/>
      <c r="AA52" s="96"/>
      <c r="AB52" s="91" t="s">
        <v>313</v>
      </c>
      <c r="AC52" s="90" t="str">
        <f>Data!$AB52</f>
        <v>Layla's C2 gives her 4 energy per volley of shooting stars. Put this in "Bonus non-particle energy".</v>
      </c>
      <c r="AD52" s="91" t="s">
        <v>177</v>
      </c>
      <c r="AE52" s="90" t="str">
        <f>Data!$AD52</f>
        <v/>
      </c>
    </row>
    <row r="53" spans="1:31" ht="14.25" customHeight="1" x14ac:dyDescent="0.25">
      <c r="A53" s="90" t="s">
        <v>17</v>
      </c>
      <c r="B53" s="90" t="s">
        <v>46</v>
      </c>
      <c r="C53" s="90" t="s">
        <v>19</v>
      </c>
      <c r="D53" s="90"/>
      <c r="E53" s="90"/>
      <c r="F53" s="95">
        <v>3</v>
      </c>
      <c r="G53" s="90"/>
      <c r="H53" s="90"/>
      <c r="I53" s="92"/>
      <c r="J53" s="92"/>
      <c r="K53" s="92"/>
      <c r="L53" s="93">
        <v>0</v>
      </c>
      <c r="M53" s="93">
        <v>0</v>
      </c>
      <c r="N53" s="93">
        <v>0</v>
      </c>
      <c r="O53" s="94">
        <v>0</v>
      </c>
      <c r="P53" s="94">
        <v>0</v>
      </c>
      <c r="Q53" s="94">
        <v>0</v>
      </c>
      <c r="R53" s="95">
        <v>0</v>
      </c>
      <c r="S53" s="90"/>
      <c r="T53" s="90"/>
      <c r="U53" s="95">
        <v>16</v>
      </c>
      <c r="V53" s="90"/>
      <c r="W53" s="90"/>
      <c r="X53" s="95">
        <v>15</v>
      </c>
      <c r="Y53" s="95">
        <v>60</v>
      </c>
      <c r="Z53" s="90"/>
      <c r="AA53" s="96"/>
      <c r="AB53" s="90"/>
      <c r="AC53" s="90"/>
      <c r="AD53" s="90"/>
      <c r="AE53" s="90"/>
    </row>
    <row r="54" spans="1:31" ht="14.25" customHeight="1" x14ac:dyDescent="0.25">
      <c r="A54" s="90" t="s">
        <v>314</v>
      </c>
      <c r="B54" s="90" t="s">
        <v>52</v>
      </c>
      <c r="C54" s="90" t="s">
        <v>19</v>
      </c>
      <c r="D54" s="90" t="s">
        <v>22</v>
      </c>
      <c r="E54" s="91" t="s">
        <v>177</v>
      </c>
      <c r="F54" s="95">
        <v>0</v>
      </c>
      <c r="G54" s="95">
        <v>5</v>
      </c>
      <c r="H54" s="90"/>
      <c r="I54" s="92"/>
      <c r="J54" s="92"/>
      <c r="K54" s="92"/>
      <c r="L54" s="93">
        <f>IF(Data!$F54=0,50%,(Data!$F54-ROUNDDOWN(Data!$F54,0))/Data!$F54)</f>
        <v>0.5</v>
      </c>
      <c r="M54" s="93">
        <f>IF(Data!$G54=0,50%,(Data!$G54-ROUNDDOWN(Data!$G54,0))/Data!$G54)</f>
        <v>0</v>
      </c>
      <c r="N54" s="93">
        <f>IF(Data!$H54=0,50%,(Data!$H54-ROUNDDOWN(Data!$H54,0))/Data!$H54)</f>
        <v>0.5</v>
      </c>
      <c r="O54" s="94">
        <v>0</v>
      </c>
      <c r="P54" s="94">
        <f>Data!$O54</f>
        <v>0</v>
      </c>
      <c r="Q54" s="94">
        <f>Data!$O54</f>
        <v>0</v>
      </c>
      <c r="R54" s="95">
        <v>0</v>
      </c>
      <c r="S54" s="90"/>
      <c r="T54" s="90"/>
      <c r="U54" s="95">
        <v>1</v>
      </c>
      <c r="V54" s="95">
        <v>16</v>
      </c>
      <c r="W54" s="90"/>
      <c r="X54" s="95">
        <v>20</v>
      </c>
      <c r="Y54" s="95">
        <v>80</v>
      </c>
      <c r="Z54" s="90"/>
      <c r="AA54" s="96"/>
      <c r="AB54" s="90" t="s">
        <v>315</v>
      </c>
      <c r="AC54" s="90" t="str">
        <f>Data!$AB54</f>
        <v>Lisa's C1 gives her 2 energy per enemy hit with her held skill. Put this in "Bonus non-particle energy".</v>
      </c>
      <c r="AD54" s="91" t="s">
        <v>177</v>
      </c>
      <c r="AE54" s="90" t="str">
        <f>Data!$AD54</f>
        <v/>
      </c>
    </row>
    <row r="55" spans="1:31" ht="14.25" customHeight="1" x14ac:dyDescent="0.25">
      <c r="A55" s="90" t="s">
        <v>316</v>
      </c>
      <c r="B55" s="90" t="s">
        <v>46</v>
      </c>
      <c r="C55" s="90" t="s">
        <v>19</v>
      </c>
      <c r="D55" s="91" t="s">
        <v>22</v>
      </c>
      <c r="E55" s="91" t="s">
        <v>177</v>
      </c>
      <c r="F55" s="95">
        <v>4</v>
      </c>
      <c r="G55" s="95">
        <v>4</v>
      </c>
      <c r="H55" s="90"/>
      <c r="I55" s="92"/>
      <c r="J55" s="92"/>
      <c r="K55" s="92"/>
      <c r="L55" s="93">
        <f>IF(Data!$F55=0,50%,(Data!$F55-ROUNDDOWN(Data!$F55,0))/Data!$F55)</f>
        <v>0</v>
      </c>
      <c r="M55" s="93">
        <f>IF(Data!$G55=0,50%,(Data!$G55-ROUNDDOWN(Data!$G55,0))/Data!$G55)</f>
        <v>0</v>
      </c>
      <c r="N55" s="93">
        <f>IF(Data!$H55=0,50%,(Data!$H55-ROUNDDOWN(Data!$H55,0))/Data!$H55)</f>
        <v>0.5</v>
      </c>
      <c r="O55" s="94">
        <v>0</v>
      </c>
      <c r="P55" s="94">
        <f>IF(Data!$O55="", "", Data!$O55)</f>
        <v>0</v>
      </c>
      <c r="Q55" s="94">
        <v>0</v>
      </c>
      <c r="R55" s="95">
        <v>0</v>
      </c>
      <c r="S55" s="95">
        <v>0</v>
      </c>
      <c r="T55" s="90"/>
      <c r="U55" s="95">
        <v>12</v>
      </c>
      <c r="V55" s="95">
        <v>12</v>
      </c>
      <c r="W55" s="90"/>
      <c r="X55" s="95">
        <v>18</v>
      </c>
      <c r="Y55" s="95">
        <v>70</v>
      </c>
      <c r="Z55" s="90"/>
      <c r="AA55" s="96"/>
      <c r="AB55" s="91" t="s">
        <v>317</v>
      </c>
      <c r="AC55" s="90" t="str">
        <f>Data!$AB55</f>
        <v>Lynette's C4 gives her an extra charge on her elemental skill.</v>
      </c>
      <c r="AD55" s="91" t="s">
        <v>177</v>
      </c>
      <c r="AE55" s="90" t="str">
        <f>Data!$AD55</f>
        <v/>
      </c>
    </row>
    <row r="56" spans="1:31" ht="14.25" customHeight="1" x14ac:dyDescent="0.25">
      <c r="A56" s="90" t="s">
        <v>318</v>
      </c>
      <c r="B56" s="90" t="s">
        <v>63</v>
      </c>
      <c r="C56" s="90" t="s">
        <v>19</v>
      </c>
      <c r="D56" s="91" t="s">
        <v>177</v>
      </c>
      <c r="E56" s="91" t="s">
        <v>177</v>
      </c>
      <c r="F56" s="95">
        <v>5</v>
      </c>
      <c r="G56" s="90"/>
      <c r="H56" s="90"/>
      <c r="I56" s="92"/>
      <c r="J56" s="92"/>
      <c r="K56" s="92"/>
      <c r="L56" s="93">
        <f>IF(Data!$F56=0,50%,(Data!$F56-ROUNDDOWN(Data!$F56,0))/Data!$F56)</f>
        <v>0</v>
      </c>
      <c r="M56" s="93">
        <f>IF(Data!$G56=0,50%,(Data!$G56-ROUNDDOWN(Data!$G56,0))/Data!$G56)</f>
        <v>0.5</v>
      </c>
      <c r="N56" s="93">
        <f>IF(Data!$H56=0,50%,(Data!$H56-ROUNDDOWN(Data!$H56,0))/Data!$H56)</f>
        <v>0.5</v>
      </c>
      <c r="O56" s="94">
        <v>0</v>
      </c>
      <c r="P56" s="94">
        <v>0</v>
      </c>
      <c r="Q56" s="94">
        <v>0</v>
      </c>
      <c r="R56" s="95">
        <v>0</v>
      </c>
      <c r="S56" s="90"/>
      <c r="T56" s="90"/>
      <c r="U56" s="95">
        <v>15</v>
      </c>
      <c r="V56" s="90"/>
      <c r="W56" s="90"/>
      <c r="X56" s="95">
        <v>15</v>
      </c>
      <c r="Y56" s="95">
        <v>60</v>
      </c>
      <c r="Z56" s="90"/>
      <c r="AA56" s="96"/>
      <c r="AB56" s="90" t="s">
        <v>319</v>
      </c>
      <c r="AC56" s="90" t="str">
        <f>Data!$AB56</f>
        <v>Lyney gets 3 energy whenever he consumes HP using a fully-charged attack. Put this in "Bonus non-particle energy".</v>
      </c>
      <c r="AD56" s="91" t="s">
        <v>177</v>
      </c>
      <c r="AE56" s="90" t="str">
        <f>Data!$AD56</f>
        <v/>
      </c>
    </row>
    <row r="57" spans="1:31" ht="14.25" customHeight="1" x14ac:dyDescent="0.25">
      <c r="A57" s="90" t="s">
        <v>15</v>
      </c>
      <c r="B57" s="90" t="s">
        <v>63</v>
      </c>
      <c r="C57" s="90" t="s">
        <v>19</v>
      </c>
      <c r="D57" s="90"/>
      <c r="E57" s="90"/>
      <c r="F57" s="95">
        <v>5</v>
      </c>
      <c r="G57" s="90"/>
      <c r="H57" s="90"/>
      <c r="I57" s="92"/>
      <c r="J57" s="92"/>
      <c r="K57" s="92"/>
      <c r="L57" s="93">
        <v>0</v>
      </c>
      <c r="M57" s="93">
        <v>0</v>
      </c>
      <c r="N57" s="93">
        <v>0</v>
      </c>
      <c r="O57" s="94">
        <v>0</v>
      </c>
      <c r="P57" s="94">
        <v>0</v>
      </c>
      <c r="Q57" s="94">
        <v>0</v>
      </c>
      <c r="R57" s="95">
        <v>0</v>
      </c>
      <c r="S57" s="90"/>
      <c r="T57" s="90"/>
      <c r="U57" s="95">
        <v>15</v>
      </c>
      <c r="V57" s="90"/>
      <c r="W57" s="90"/>
      <c r="X57" s="99">
        <v>0</v>
      </c>
      <c r="Y57" s="95">
        <v>0</v>
      </c>
      <c r="Z57" s="90"/>
      <c r="AA57" s="96"/>
      <c r="AB57" s="90" t="s">
        <v>320</v>
      </c>
      <c r="AC57" s="90" t="s">
        <v>320</v>
      </c>
      <c r="AD57" s="90"/>
      <c r="AE57" s="90"/>
    </row>
    <row r="58" spans="1:31" ht="14.25" customHeight="1" x14ac:dyDescent="0.25">
      <c r="A58" s="90" t="s">
        <v>321</v>
      </c>
      <c r="B58" s="90" t="s">
        <v>48</v>
      </c>
      <c r="C58" s="90" t="s">
        <v>19</v>
      </c>
      <c r="D58" s="90" t="s">
        <v>22</v>
      </c>
      <c r="E58" s="90"/>
      <c r="F58" s="95">
        <v>4</v>
      </c>
      <c r="G58" s="95">
        <v>4</v>
      </c>
      <c r="H58" s="90"/>
      <c r="I58" s="92"/>
      <c r="J58" s="92"/>
      <c r="K58" s="92"/>
      <c r="L58" s="93">
        <f>IF(Data!$F58=0,50%,(Data!$F58-ROUNDDOWN(Data!$F58,0))/Data!$F58)</f>
        <v>0</v>
      </c>
      <c r="M58" s="93">
        <f>IF(Data!$G58=0,50%,(Data!$G58-ROUNDDOWN(Data!$G58,0))/Data!$G58)</f>
        <v>0</v>
      </c>
      <c r="N58" s="93">
        <f>IF(Data!$H58=0,50%,(Data!$H58-ROUNDDOWN(Data!$H58,0))/Data!$H58)</f>
        <v>0.5</v>
      </c>
      <c r="O58" s="94">
        <v>0</v>
      </c>
      <c r="P58" s="94">
        <v>0</v>
      </c>
      <c r="Q58" s="94">
        <v>0</v>
      </c>
      <c r="R58" s="95">
        <v>0</v>
      </c>
      <c r="S58" s="90"/>
      <c r="T58" s="90"/>
      <c r="U58" s="95">
        <v>15</v>
      </c>
      <c r="V58" s="95">
        <v>15</v>
      </c>
      <c r="W58" s="90"/>
      <c r="X58" s="99">
        <v>18</v>
      </c>
      <c r="Y58" s="95">
        <v>70</v>
      </c>
      <c r="Z58" s="90"/>
      <c r="AA58" s="96"/>
      <c r="AB58" s="90" t="s">
        <v>322</v>
      </c>
      <c r="AC58" s="90" t="s">
        <v>323</v>
      </c>
      <c r="AD58" s="91" t="s">
        <v>177</v>
      </c>
      <c r="AE58" s="90" t="str">
        <f>Data!$AD58</f>
        <v/>
      </c>
    </row>
    <row r="59" spans="1:31" ht="14.25" customHeight="1" x14ac:dyDescent="0.25">
      <c r="A59" s="90" t="s">
        <v>324</v>
      </c>
      <c r="B59" s="90" t="s">
        <v>56</v>
      </c>
      <c r="C59" s="90" t="s">
        <v>19</v>
      </c>
      <c r="D59" s="91" t="s">
        <v>177</v>
      </c>
      <c r="E59" s="91" t="s">
        <v>177</v>
      </c>
      <c r="F59" s="95">
        <v>3.33</v>
      </c>
      <c r="G59" s="90"/>
      <c r="H59" s="90"/>
      <c r="I59" s="92"/>
      <c r="J59" s="92"/>
      <c r="K59" s="92"/>
      <c r="L59" s="93">
        <f>IF(Data!$F59=0,50%,(Data!$F59-ROUNDDOWN(Data!$F59,0))/Data!$F59)</f>
        <v>9.9099099099099114E-2</v>
      </c>
      <c r="M59" s="93">
        <f>IF(Data!$G59=0,50%,(Data!$G59-ROUNDDOWN(Data!$G59,0))/Data!$G59)</f>
        <v>0.5</v>
      </c>
      <c r="N59" s="93">
        <f>IF(Data!$H59=0,50%,(Data!$H59-ROUNDDOWN(Data!$H59,0))/Data!$H59)</f>
        <v>0.5</v>
      </c>
      <c r="O59" s="94">
        <v>0</v>
      </c>
      <c r="P59" s="94">
        <f>Data!$O59</f>
        <v>0</v>
      </c>
      <c r="Q59" s="94">
        <f>Data!$O59</f>
        <v>0</v>
      </c>
      <c r="R59" s="95">
        <v>0</v>
      </c>
      <c r="S59" s="90"/>
      <c r="T59" s="90"/>
      <c r="U59" s="95">
        <v>12</v>
      </c>
      <c r="V59" s="90"/>
      <c r="W59" s="90"/>
      <c r="X59" s="95">
        <v>15</v>
      </c>
      <c r="Y59" s="95">
        <v>60</v>
      </c>
      <c r="Z59" s="90"/>
      <c r="AA59" s="96"/>
      <c r="AB59" s="90" t="s">
        <v>325</v>
      </c>
      <c r="AC59" s="90" t="str">
        <f>Data!$AB59</f>
        <v>Feed Mona's particles to whoever will be on field when her skill explodes.</v>
      </c>
      <c r="AD59" s="90" t="s">
        <v>325</v>
      </c>
      <c r="AE59" s="90" t="str">
        <f>Data!$AD59</f>
        <v>Feed Mona's particles to whoever will be on field when her skill explodes.</v>
      </c>
    </row>
    <row r="60" spans="1:31" ht="14.25" customHeight="1" x14ac:dyDescent="0.25">
      <c r="A60" s="90" t="s">
        <v>326</v>
      </c>
      <c r="B60" s="90" t="s">
        <v>56</v>
      </c>
      <c r="C60" s="90" t="s">
        <v>19</v>
      </c>
      <c r="D60" s="90"/>
      <c r="E60" s="90"/>
      <c r="F60" s="95">
        <v>4.5</v>
      </c>
      <c r="G60" s="90"/>
      <c r="H60" s="90"/>
      <c r="I60" s="92"/>
      <c r="J60" s="92"/>
      <c r="K60" s="92"/>
      <c r="L60" s="93">
        <v>0.25</v>
      </c>
      <c r="M60" s="93">
        <v>0</v>
      </c>
      <c r="N60" s="93">
        <v>0</v>
      </c>
      <c r="O60" s="94">
        <v>0</v>
      </c>
      <c r="P60" s="94">
        <v>0</v>
      </c>
      <c r="Q60" s="94">
        <v>0</v>
      </c>
      <c r="R60" s="95">
        <v>0</v>
      </c>
      <c r="S60" s="90"/>
      <c r="T60" s="90"/>
      <c r="U60" s="95">
        <v>6</v>
      </c>
      <c r="V60" s="90"/>
      <c r="W60" s="90"/>
      <c r="X60" s="99">
        <v>15</v>
      </c>
      <c r="Y60" s="95">
        <v>60</v>
      </c>
      <c r="Z60" s="90"/>
      <c r="AA60" s="96"/>
      <c r="AB60" s="90" t="s">
        <v>327</v>
      </c>
      <c r="AC60" s="90" t="s">
        <v>328</v>
      </c>
      <c r="AD60" s="90"/>
      <c r="AE60" s="90"/>
    </row>
    <row r="61" spans="1:31" ht="14.25" customHeight="1" x14ac:dyDescent="0.25">
      <c r="A61" s="90" t="s">
        <v>329</v>
      </c>
      <c r="B61" s="90" t="s">
        <v>51</v>
      </c>
      <c r="C61" s="90" t="s">
        <v>19</v>
      </c>
      <c r="D61" s="91" t="s">
        <v>22</v>
      </c>
      <c r="E61" s="91" t="s">
        <v>177</v>
      </c>
      <c r="F61" s="90"/>
      <c r="G61" s="90"/>
      <c r="H61" s="90"/>
      <c r="I61" s="92"/>
      <c r="J61" s="92"/>
      <c r="K61" s="92"/>
      <c r="L61" s="98">
        <v>0</v>
      </c>
      <c r="M61" s="98">
        <v>0</v>
      </c>
      <c r="N61" s="98">
        <v>0</v>
      </c>
      <c r="O61" s="94">
        <v>0.36</v>
      </c>
      <c r="P61" s="94">
        <v>0.36</v>
      </c>
      <c r="Q61" s="94">
        <v>0.36</v>
      </c>
      <c r="R61" s="95">
        <v>25</v>
      </c>
      <c r="S61" s="95">
        <v>25</v>
      </c>
      <c r="T61" s="90"/>
      <c r="U61" s="95">
        <v>5</v>
      </c>
      <c r="V61" s="95">
        <v>6</v>
      </c>
      <c r="W61" s="90"/>
      <c r="X61" s="95">
        <v>13.5</v>
      </c>
      <c r="Y61" s="95">
        <v>50</v>
      </c>
      <c r="Z61" s="90"/>
      <c r="AA61" s="96"/>
      <c r="AB61" s="90" t="s">
        <v>330</v>
      </c>
      <c r="AC61" s="90" t="str">
        <f>Data!$AB61</f>
        <v>Nahida's skill generates 3 particles every 8.25 seconds on average.</v>
      </c>
      <c r="AD61" s="90"/>
      <c r="AE61" s="90"/>
    </row>
    <row r="62" spans="1:31" ht="14.25" customHeight="1" x14ac:dyDescent="0.25">
      <c r="A62" s="90" t="s">
        <v>331</v>
      </c>
      <c r="B62" s="90" t="s">
        <v>54</v>
      </c>
      <c r="C62" s="90" t="s">
        <v>19</v>
      </c>
      <c r="D62" s="91" t="s">
        <v>177</v>
      </c>
      <c r="E62" s="91" t="s">
        <v>177</v>
      </c>
      <c r="F62" s="95">
        <v>3.5</v>
      </c>
      <c r="G62" s="90"/>
      <c r="H62" s="90"/>
      <c r="I62" s="92"/>
      <c r="J62" s="92"/>
      <c r="K62" s="92"/>
      <c r="L62" s="93">
        <f>IF(Data!$F62=0,50%,(Data!$F62-ROUNDDOWN(Data!$F62,0))/Data!$F62)</f>
        <v>0.14285714285714285</v>
      </c>
      <c r="M62" s="93">
        <f>IF(Data!$G62=0,50%,(Data!$G62-ROUNDDOWN(Data!$G62,0))/Data!$G62)</f>
        <v>0.5</v>
      </c>
      <c r="N62" s="93">
        <f>IF(Data!$H62=0,50%,(Data!$H62-ROUNDDOWN(Data!$H62,0))/Data!$H62)</f>
        <v>0.5</v>
      </c>
      <c r="O62" s="94">
        <v>0</v>
      </c>
      <c r="P62" s="94">
        <f>IF(Data!$O62="", "", Data!$O62)</f>
        <v>0</v>
      </c>
      <c r="Q62" s="94">
        <v>0</v>
      </c>
      <c r="R62" s="95">
        <v>0</v>
      </c>
      <c r="S62" s="90"/>
      <c r="T62" s="90"/>
      <c r="U62" s="95">
        <v>9</v>
      </c>
      <c r="V62" s="90"/>
      <c r="W62" s="90"/>
      <c r="X62" s="95">
        <v>15</v>
      </c>
      <c r="Y62" s="95">
        <v>60</v>
      </c>
      <c r="Z62" s="90"/>
      <c r="AA62" s="96"/>
      <c r="AB62" s="90" t="s">
        <v>332</v>
      </c>
      <c r="AC62" s="90" t="str">
        <f>Data!$AB62</f>
        <v>Navia's C1 gives her 3 flat energy per Crystal Shrapnel stack consumed, up to a maximum of 9. Put this in "Bonus non-particle energy".</v>
      </c>
      <c r="AD62" s="90"/>
      <c r="AE62" s="90"/>
    </row>
    <row r="63" spans="1:31" ht="14.25" customHeight="1" x14ac:dyDescent="0.25">
      <c r="A63" s="90" t="s">
        <v>333</v>
      </c>
      <c r="B63" s="90" t="s">
        <v>56</v>
      </c>
      <c r="C63" s="90" t="s">
        <v>19</v>
      </c>
      <c r="D63" s="91" t="s">
        <v>177</v>
      </c>
      <c r="E63" s="91" t="s">
        <v>177</v>
      </c>
      <c r="F63" s="95">
        <v>4</v>
      </c>
      <c r="G63" s="90"/>
      <c r="H63" s="90"/>
      <c r="I63" s="92"/>
      <c r="J63" s="92"/>
      <c r="K63" s="92"/>
      <c r="L63" s="93">
        <f>IF(Data!$F63=0,50%,(Data!$F63-ROUNDDOWN(Data!$F63,0))/Data!$F63)</f>
        <v>0</v>
      </c>
      <c r="M63" s="93">
        <f>IF(Data!$G63=0,50%,(Data!$G63-ROUNDDOWN(Data!$G63,0))/Data!$G63)</f>
        <v>0.5</v>
      </c>
      <c r="N63" s="93">
        <f>IF(Data!$H63=0,50%,(Data!$H63-ROUNDDOWN(Data!$H63,0))/Data!$H63)</f>
        <v>0.5</v>
      </c>
      <c r="O63" s="94">
        <v>0</v>
      </c>
      <c r="P63" s="94">
        <f>IF(Data!$O63="", "", Data!$O63)</f>
        <v>0</v>
      </c>
      <c r="Q63" s="94">
        <v>0</v>
      </c>
      <c r="R63" s="95">
        <v>0</v>
      </c>
      <c r="S63" s="90"/>
      <c r="T63" s="90"/>
      <c r="U63" s="95">
        <v>12</v>
      </c>
      <c r="V63" s="90"/>
      <c r="W63" s="90"/>
      <c r="X63" s="95">
        <v>18</v>
      </c>
      <c r="Y63" s="95">
        <v>70</v>
      </c>
      <c r="Z63" s="90"/>
      <c r="AA63" s="96"/>
      <c r="AB63" s="91" t="s">
        <v>177</v>
      </c>
      <c r="AC63" s="90" t="str">
        <f>Data!$AB63</f>
        <v/>
      </c>
      <c r="AD63" s="90"/>
      <c r="AE63" s="90"/>
    </row>
    <row r="64" spans="1:31" ht="14.25" customHeight="1" x14ac:dyDescent="0.25">
      <c r="A64" s="90" t="s">
        <v>334</v>
      </c>
      <c r="B64" s="90" t="s">
        <v>56</v>
      </c>
      <c r="C64" s="90" t="s">
        <v>19</v>
      </c>
      <c r="D64" s="91" t="s">
        <v>177</v>
      </c>
      <c r="E64" s="91" t="s">
        <v>177</v>
      </c>
      <c r="F64" s="95">
        <v>4.5</v>
      </c>
      <c r="G64" s="90"/>
      <c r="H64" s="90"/>
      <c r="I64" s="92"/>
      <c r="J64" s="97">
        <v>15</v>
      </c>
      <c r="K64" s="92"/>
      <c r="L64" s="93">
        <f>IF(Data!$F64=0,50%,(Data!$F64-ROUNDDOWN(Data!$F64,0))/Data!$F64)</f>
        <v>0.1111111111111111</v>
      </c>
      <c r="M64" s="93">
        <f>IF(Data!$G64=0,50%,(Data!$G64-ROUNDDOWN(Data!$G64,0))/Data!$G64)</f>
        <v>0.5</v>
      </c>
      <c r="N64" s="93">
        <f>IF(Data!$H64=0,50%,(Data!$H64-ROUNDDOWN(Data!$H64,0))/Data!$H64)</f>
        <v>0.5</v>
      </c>
      <c r="O64" s="94">
        <v>0</v>
      </c>
      <c r="P64" s="94">
        <v>0</v>
      </c>
      <c r="Q64" s="94">
        <f>Data!$O64</f>
        <v>0</v>
      </c>
      <c r="R64" s="95">
        <v>0</v>
      </c>
      <c r="S64" s="90"/>
      <c r="T64" s="90"/>
      <c r="U64" s="95">
        <v>18</v>
      </c>
      <c r="V64" s="90"/>
      <c r="W64" s="90"/>
      <c r="X64" s="95">
        <v>18</v>
      </c>
      <c r="Y64" s="95">
        <v>70</v>
      </c>
      <c r="Z64" s="90"/>
      <c r="AA64" s="96"/>
      <c r="AB64" s="91" t="s">
        <v>335</v>
      </c>
      <c r="AC64" s="90" t="str">
        <f>Data!$AB64</f>
        <v>Nilou's C4 gives her 15 energy per skill use. Put this in "Bonus non-particle energy".</v>
      </c>
      <c r="AD64" s="90"/>
      <c r="AE64" s="90"/>
    </row>
    <row r="65" spans="1:31" ht="14.25" customHeight="1" x14ac:dyDescent="0.25">
      <c r="A65" s="90" t="s">
        <v>336</v>
      </c>
      <c r="B65" s="90" t="s">
        <v>54</v>
      </c>
      <c r="C65" s="90" t="s">
        <v>19</v>
      </c>
      <c r="D65" s="91" t="s">
        <v>177</v>
      </c>
      <c r="E65" s="91" t="s">
        <v>177</v>
      </c>
      <c r="F65" s="95">
        <v>3.4</v>
      </c>
      <c r="G65" s="90"/>
      <c r="H65" s="90"/>
      <c r="I65" s="92"/>
      <c r="J65" s="92"/>
      <c r="K65" s="92"/>
      <c r="L65" s="93">
        <f>IF(Data!$F65=0,50%,(Data!$F65-ROUNDDOWN(Data!$F65,0))/Data!$F65)</f>
        <v>0.11764705882352938</v>
      </c>
      <c r="M65" s="93">
        <f>IF(Data!$G65=0,50%,(Data!$G65-ROUNDDOWN(Data!$G65,0))/Data!$G65)</f>
        <v>0.5</v>
      </c>
      <c r="N65" s="93">
        <f>IF(Data!$H65=0,50%,(Data!$H65-ROUNDDOWN(Data!$H65,0))/Data!$H65)</f>
        <v>0.5</v>
      </c>
      <c r="O65" s="94">
        <v>0</v>
      </c>
      <c r="P65" s="94">
        <f>Data!$O65</f>
        <v>0</v>
      </c>
      <c r="Q65" s="94">
        <f>Data!$O65</f>
        <v>0</v>
      </c>
      <c r="R65" s="95">
        <v>0</v>
      </c>
      <c r="S65" s="90"/>
      <c r="T65" s="90"/>
      <c r="U65" s="95">
        <v>12</v>
      </c>
      <c r="V65" s="90"/>
      <c r="W65" s="90"/>
      <c r="X65" s="95">
        <v>12</v>
      </c>
      <c r="Y65" s="95">
        <v>40</v>
      </c>
      <c r="Z65" s="90"/>
      <c r="AA65" s="96"/>
      <c r="AB65" s="90" t="s">
        <v>337</v>
      </c>
      <c r="AC65" s="90" t="str">
        <f>Data!$AB65</f>
        <v>Ningguang's skill only generates particles if she waits at least 6 seconds between skill uses. Do not include skill uses which do not generate particles.</v>
      </c>
      <c r="AD65" s="90"/>
      <c r="AE65" s="90"/>
    </row>
    <row r="66" spans="1:31" ht="14.25" customHeight="1" x14ac:dyDescent="0.25">
      <c r="A66" s="90" t="s">
        <v>338</v>
      </c>
      <c r="B66" s="90" t="s">
        <v>339</v>
      </c>
      <c r="C66" s="91" t="s">
        <v>177</v>
      </c>
      <c r="D66" s="91" t="s">
        <v>177</v>
      </c>
      <c r="E66" s="91" t="s">
        <v>177</v>
      </c>
      <c r="F66" s="90"/>
      <c r="G66" s="90"/>
      <c r="H66" s="90"/>
      <c r="I66" s="92"/>
      <c r="J66" s="92"/>
      <c r="K66" s="92"/>
      <c r="L66" s="96"/>
      <c r="M66" s="96"/>
      <c r="N66" s="96"/>
      <c r="O66" s="94">
        <v>0</v>
      </c>
      <c r="P66" s="94">
        <f>Data!$O66</f>
        <v>0</v>
      </c>
      <c r="Q66" s="94">
        <f>Data!$O66</f>
        <v>0</v>
      </c>
      <c r="R66" s="90"/>
      <c r="S66" s="90"/>
      <c r="T66" s="90"/>
      <c r="U66" s="90"/>
      <c r="V66" s="90"/>
      <c r="W66" s="90"/>
      <c r="X66" s="90"/>
      <c r="Y66" s="90"/>
      <c r="Z66" s="90"/>
      <c r="AA66" s="96"/>
      <c r="AB66" s="91" t="s">
        <v>177</v>
      </c>
      <c r="AC66" s="90" t="str">
        <f>Data!$AB66</f>
        <v/>
      </c>
      <c r="AD66" s="90"/>
      <c r="AE66" s="90"/>
    </row>
    <row r="67" spans="1:31" ht="14.25" customHeight="1" x14ac:dyDescent="0.25">
      <c r="A67" s="90" t="s">
        <v>340</v>
      </c>
      <c r="B67" s="90" t="s">
        <v>54</v>
      </c>
      <c r="C67" s="90" t="s">
        <v>19</v>
      </c>
      <c r="D67" s="91" t="s">
        <v>177</v>
      </c>
      <c r="E67" s="91" t="s">
        <v>177</v>
      </c>
      <c r="F67" s="90"/>
      <c r="G67" s="90"/>
      <c r="H67" s="90"/>
      <c r="I67" s="92"/>
      <c r="J67" s="92"/>
      <c r="K67" s="92"/>
      <c r="L67" s="93">
        <f>IF(Data!$F67=0,50%,(Data!$F67-ROUNDDOWN(Data!$F67,0))/Data!$F67)</f>
        <v>0.5</v>
      </c>
      <c r="M67" s="93">
        <f>IF(Data!$G67=0,50%,(Data!$G67-ROUNDDOWN(Data!$G67,0))/Data!$G67)</f>
        <v>0.5</v>
      </c>
      <c r="N67" s="93">
        <f>IF(Data!$H67=0,50%,(Data!$H67-ROUNDDOWN(Data!$H67,0))/Data!$H67)</f>
        <v>0.5</v>
      </c>
      <c r="O67" s="94">
        <v>0</v>
      </c>
      <c r="P67" s="94">
        <f>Data!$O67</f>
        <v>0</v>
      </c>
      <c r="Q67" s="94">
        <f>Data!$O67</f>
        <v>0</v>
      </c>
      <c r="R67" s="95">
        <v>0</v>
      </c>
      <c r="S67" s="90"/>
      <c r="T67" s="90"/>
      <c r="U67" s="95">
        <v>24</v>
      </c>
      <c r="V67" s="90"/>
      <c r="W67" s="90"/>
      <c r="X67" s="95">
        <v>15</v>
      </c>
      <c r="Y67" s="95">
        <v>60</v>
      </c>
      <c r="Z67" s="90"/>
      <c r="AA67" s="96"/>
      <c r="AB67" s="91" t="s">
        <v>341</v>
      </c>
      <c r="AC67" s="90" t="str">
        <f>Data!$AB67</f>
        <v>Noelle's burst typically lasts longer than 15 seconds due to hitlag, so you can burst every 20 seconds and still have full uptime.</v>
      </c>
      <c r="AD67" s="90"/>
      <c r="AE67" s="90"/>
    </row>
    <row r="68" spans="1:31" ht="14.25" customHeight="1" x14ac:dyDescent="0.25">
      <c r="A68" s="90" t="s">
        <v>342</v>
      </c>
      <c r="B68" s="90" t="s">
        <v>52</v>
      </c>
      <c r="C68" s="90" t="s">
        <v>19</v>
      </c>
      <c r="D68" s="90"/>
      <c r="E68" s="90"/>
      <c r="F68" s="95">
        <v>3</v>
      </c>
      <c r="G68" s="90"/>
      <c r="H68" s="90"/>
      <c r="I68" s="97">
        <v>9</v>
      </c>
      <c r="J68" s="92"/>
      <c r="K68" s="92"/>
      <c r="L68" s="93">
        <v>0</v>
      </c>
      <c r="M68" s="93">
        <v>0</v>
      </c>
      <c r="N68" s="93">
        <v>0</v>
      </c>
      <c r="O68" s="94">
        <v>0</v>
      </c>
      <c r="P68" s="94">
        <v>0</v>
      </c>
      <c r="Q68" s="94">
        <v>0</v>
      </c>
      <c r="R68" s="95">
        <v>0</v>
      </c>
      <c r="S68" s="90"/>
      <c r="T68" s="90"/>
      <c r="U68" s="95">
        <v>15</v>
      </c>
      <c r="V68" s="90"/>
      <c r="W68" s="90"/>
      <c r="X68" s="95">
        <v>15</v>
      </c>
      <c r="Y68" s="95">
        <v>60</v>
      </c>
      <c r="Z68" s="90"/>
      <c r="AA68" s="96"/>
      <c r="AB68" s="90" t="s">
        <v>343</v>
      </c>
      <c r="AC68" s="90" t="str">
        <f>AB68</f>
        <v>Ororon's C4 restores 8 flat energy after his burst. Ororon's A4 restores 3 energy 3 times to him and your on-fielder. The 9 energy from this is already considered in his skill. Put this in 'Bonus non-particle energy".</v>
      </c>
      <c r="AD68" s="90"/>
      <c r="AE68" s="90"/>
    </row>
    <row r="69" spans="1:31" ht="14.25" customHeight="1" x14ac:dyDescent="0.25">
      <c r="A69" s="90" t="s">
        <v>344</v>
      </c>
      <c r="B69" s="90" t="s">
        <v>48</v>
      </c>
      <c r="C69" s="90" t="s">
        <v>19</v>
      </c>
      <c r="D69" s="91" t="s">
        <v>177</v>
      </c>
      <c r="E69" s="91" t="s">
        <v>177</v>
      </c>
      <c r="F69" s="90"/>
      <c r="G69" s="90"/>
      <c r="H69" s="90"/>
      <c r="I69" s="92"/>
      <c r="J69" s="92"/>
      <c r="K69" s="92"/>
      <c r="L69" s="93">
        <f>IF(Data!$F69=0,50%,(Data!$F69-ROUNDDOWN(Data!$F69,0))/Data!$F69)</f>
        <v>0.5</v>
      </c>
      <c r="M69" s="93">
        <f>IF(Data!$G69=0,50%,(Data!$G69-ROUNDDOWN(Data!$G69,0))/Data!$G69)</f>
        <v>0.5</v>
      </c>
      <c r="N69" s="93">
        <f>IF(Data!$H69=0,50%,(Data!$H69-ROUNDDOWN(Data!$H69,0))/Data!$H69)</f>
        <v>0.5</v>
      </c>
      <c r="O69" s="94">
        <v>0</v>
      </c>
      <c r="P69" s="94">
        <f>Data!$O69</f>
        <v>0</v>
      </c>
      <c r="Q69" s="94">
        <f>Data!$O69</f>
        <v>0</v>
      </c>
      <c r="R69" s="95">
        <v>0</v>
      </c>
      <c r="S69" s="90"/>
      <c r="T69" s="90"/>
      <c r="U69" s="95">
        <v>30</v>
      </c>
      <c r="V69" s="90"/>
      <c r="W69" s="90"/>
      <c r="X69" s="95">
        <v>20</v>
      </c>
      <c r="Y69" s="95">
        <v>80</v>
      </c>
      <c r="Z69" s="90"/>
      <c r="AA69" s="96"/>
      <c r="AB69" s="90" t="s">
        <v>345</v>
      </c>
      <c r="AC69" s="90" t="str">
        <f>Data!$AB69</f>
        <v>Qiqi's C1 gives her 2 energy per hit with her Herald of Frost. Put this in "Bonus non-particle energy".</v>
      </c>
      <c r="AD69" s="90"/>
      <c r="AE69" s="90"/>
    </row>
    <row r="70" spans="1:31" ht="14.25" customHeight="1" x14ac:dyDescent="0.25">
      <c r="A70" s="90" t="s">
        <v>346</v>
      </c>
      <c r="B70" s="90" t="s">
        <v>52</v>
      </c>
      <c r="C70" s="90" t="s">
        <v>19</v>
      </c>
      <c r="D70" s="91" t="s">
        <v>177</v>
      </c>
      <c r="E70" s="91" t="s">
        <v>177</v>
      </c>
      <c r="F70" s="90"/>
      <c r="G70" s="90"/>
      <c r="H70" s="90"/>
      <c r="I70" s="92"/>
      <c r="J70" s="92"/>
      <c r="K70" s="92"/>
      <c r="L70" s="93">
        <f>IF(Data!$F70=0,50%,(Data!$F70-ROUNDDOWN(Data!$F70,0))/Data!$F70)</f>
        <v>0.5</v>
      </c>
      <c r="M70" s="93">
        <f>IF(Data!$G70=0,50%,(Data!$G70-ROUNDDOWN(Data!$G70,0))/Data!$G70)</f>
        <v>0.5</v>
      </c>
      <c r="N70" s="93">
        <f>IF(Data!$H70=0,50%,(Data!$H70-ROUNDDOWN(Data!$H70,0))/Data!$H70)</f>
        <v>0.5</v>
      </c>
      <c r="O70" s="94">
        <v>0.45</v>
      </c>
      <c r="P70" s="94">
        <f>Data!$O70</f>
        <v>0.45</v>
      </c>
      <c r="Q70" s="94">
        <f>Data!$O70</f>
        <v>0.45</v>
      </c>
      <c r="R70" s="95">
        <v>25</v>
      </c>
      <c r="S70" s="90"/>
      <c r="T70" s="90"/>
      <c r="U70" s="95">
        <v>10</v>
      </c>
      <c r="V70" s="90"/>
      <c r="W70" s="90"/>
      <c r="X70" s="95">
        <v>18</v>
      </c>
      <c r="Y70" s="95">
        <v>90</v>
      </c>
      <c r="Z70" s="90"/>
      <c r="AA70" s="96"/>
      <c r="AB70" s="90" t="s">
        <v>347</v>
      </c>
      <c r="AC70" s="90" t="str">
        <f>Data!$AB70</f>
        <v>Raiden's burst gives the entire team energy based on Raiden's ER, typically 20-25 energy. Put this in every character's "Bonus non-particle energy".</v>
      </c>
      <c r="AD70" s="90"/>
      <c r="AE70" s="90"/>
    </row>
    <row r="71" spans="1:31" ht="14.25" customHeight="1" x14ac:dyDescent="0.25">
      <c r="A71" s="90" t="s">
        <v>348</v>
      </c>
      <c r="B71" s="90" t="s">
        <v>52</v>
      </c>
      <c r="C71" s="90" t="s">
        <v>19</v>
      </c>
      <c r="D71" s="90" t="s">
        <v>22</v>
      </c>
      <c r="E71" s="91" t="s">
        <v>177</v>
      </c>
      <c r="F71" s="95">
        <v>3</v>
      </c>
      <c r="G71" s="95">
        <v>4</v>
      </c>
      <c r="H71" s="90"/>
      <c r="I71" s="92"/>
      <c r="J71" s="92"/>
      <c r="K71" s="92"/>
      <c r="L71" s="93">
        <f>IF(Data!$F71=0,50%,(Data!$F71-ROUNDDOWN(Data!$F71,0))/Data!$F71)</f>
        <v>0</v>
      </c>
      <c r="M71" s="93">
        <f>IF(Data!$G71=0,50%,(Data!$G71-ROUNDDOWN(Data!$G71,0))/Data!$G71)</f>
        <v>0</v>
      </c>
      <c r="N71" s="93">
        <f>IF(Data!$H71=0,50%,(Data!$H71-ROUNDDOWN(Data!$H71,0))/Data!$H71)</f>
        <v>0.5</v>
      </c>
      <c r="O71" s="94">
        <v>0</v>
      </c>
      <c r="P71" s="94">
        <f>Data!$O71</f>
        <v>0</v>
      </c>
      <c r="Q71" s="94">
        <f>Data!$O71</f>
        <v>0</v>
      </c>
      <c r="R71" s="95">
        <v>0</v>
      </c>
      <c r="S71" s="90"/>
      <c r="T71" s="90"/>
      <c r="U71" s="95">
        <v>6</v>
      </c>
      <c r="V71" s="95">
        <v>10</v>
      </c>
      <c r="W71" s="90"/>
      <c r="X71" s="95">
        <v>20</v>
      </c>
      <c r="Y71" s="95">
        <v>80</v>
      </c>
      <c r="Z71" s="95">
        <v>5</v>
      </c>
      <c r="AA71" s="93">
        <v>0.45</v>
      </c>
      <c r="AB71" s="90" t="s">
        <v>349</v>
      </c>
      <c r="AC71" s="90" t="str">
        <f>Data!$AB71</f>
        <v>Don't include Razor's skill uses during his burst, as they don't generate particles. Razor's burst cost is reduced by 5, and his ER needs reduced by 45%, to account for his talents.</v>
      </c>
      <c r="AD71" s="90"/>
      <c r="AE71" s="90"/>
    </row>
    <row r="72" spans="1:31" ht="14.25" customHeight="1" x14ac:dyDescent="0.25">
      <c r="A72" s="90" t="s">
        <v>350</v>
      </c>
      <c r="B72" s="90" t="s">
        <v>48</v>
      </c>
      <c r="C72" s="90" t="s">
        <v>19</v>
      </c>
      <c r="D72" s="91" t="s">
        <v>177</v>
      </c>
      <c r="E72" s="91" t="s">
        <v>177</v>
      </c>
      <c r="F72" s="95">
        <v>3</v>
      </c>
      <c r="G72" s="90"/>
      <c r="H72" s="90"/>
      <c r="I72" s="92"/>
      <c r="J72" s="92"/>
      <c r="K72" s="92"/>
      <c r="L72" s="93">
        <f>IF(Data!$F72=0,50%,(Data!$F72-ROUNDDOWN(Data!$F72,0))/Data!$F72)</f>
        <v>0</v>
      </c>
      <c r="M72" s="93">
        <f>IF(Data!$G72=0,50%,(Data!$G72-ROUNDDOWN(Data!$G72,0))/Data!$G72)</f>
        <v>0.5</v>
      </c>
      <c r="N72" s="93">
        <f>IF(Data!$H72=0,50%,(Data!$H72-ROUNDDOWN(Data!$H72,0))/Data!$H72)</f>
        <v>0.5</v>
      </c>
      <c r="O72" s="94">
        <v>0</v>
      </c>
      <c r="P72" s="94">
        <f>Data!$O72</f>
        <v>0</v>
      </c>
      <c r="Q72" s="94">
        <f>Data!$O72</f>
        <v>0</v>
      </c>
      <c r="R72" s="95">
        <v>0</v>
      </c>
      <c r="S72" s="90"/>
      <c r="T72" s="90"/>
      <c r="U72" s="95">
        <v>6</v>
      </c>
      <c r="V72" s="90"/>
      <c r="W72" s="90"/>
      <c r="X72" s="95">
        <v>15</v>
      </c>
      <c r="Y72" s="95">
        <v>60</v>
      </c>
      <c r="Z72" s="90"/>
      <c r="AA72" s="96"/>
      <c r="AB72" s="90" t="s">
        <v>351</v>
      </c>
      <c r="AC72" s="90" t="str">
        <f>Data!$AB72</f>
        <v>Rosaria's C4 gives her 5 energy when her skill crits. Put this in "Bonus non-particle energy".</v>
      </c>
      <c r="AD72" s="90"/>
      <c r="AE72" s="90"/>
    </row>
    <row r="73" spans="1:31" ht="14.25" customHeight="1" x14ac:dyDescent="0.25">
      <c r="A73" s="90" t="s">
        <v>352</v>
      </c>
      <c r="B73" s="90" t="s">
        <v>52</v>
      </c>
      <c r="C73" s="90" t="s">
        <v>240</v>
      </c>
      <c r="D73" s="91" t="s">
        <v>241</v>
      </c>
      <c r="E73" s="91" t="s">
        <v>177</v>
      </c>
      <c r="F73" s="95">
        <v>3</v>
      </c>
      <c r="G73" s="95">
        <v>0</v>
      </c>
      <c r="H73" s="90"/>
      <c r="I73" s="92"/>
      <c r="J73" s="92"/>
      <c r="K73" s="92"/>
      <c r="L73" s="93">
        <f>IF(Data!$F73=0,50%,(Data!$F73-ROUNDDOWN(Data!$F73,0))/Data!$F73)</f>
        <v>0</v>
      </c>
      <c r="M73" s="93">
        <f>IF(Data!$G73=0,50%,(Data!$G73-ROUNDDOWN(Data!$G73,0))/Data!$G73)</f>
        <v>0.5</v>
      </c>
      <c r="N73" s="93">
        <f>IF(Data!$H73=0,50%,(Data!$H73-ROUNDDOWN(Data!$H73,0))/Data!$H73)</f>
        <v>0.5</v>
      </c>
      <c r="O73" s="94">
        <v>0</v>
      </c>
      <c r="P73" s="94">
        <f>Data!$O73</f>
        <v>0</v>
      </c>
      <c r="Q73" s="94">
        <f>Data!$O73</f>
        <v>0</v>
      </c>
      <c r="R73" s="95">
        <v>0</v>
      </c>
      <c r="S73" s="90"/>
      <c r="T73" s="90"/>
      <c r="U73" s="95">
        <v>10</v>
      </c>
      <c r="V73" s="95">
        <v>10</v>
      </c>
      <c r="W73" s="90"/>
      <c r="X73" s="95">
        <v>20</v>
      </c>
      <c r="Y73" s="95">
        <v>80</v>
      </c>
      <c r="Z73" s="90"/>
      <c r="AA73" s="96"/>
      <c r="AB73" s="90" t="s">
        <v>353</v>
      </c>
      <c r="AC73" s="90" t="str">
        <f>Data!$AB73</f>
        <v>Sara only generates particles when she uses an aimed shot after her skill, even with C2. Sara's A4 gives the party 1.2 energy for every 100% ER she has. Put this in "Bonus non-particle energy".</v>
      </c>
      <c r="AD73" s="90"/>
      <c r="AE73" s="90"/>
    </row>
    <row r="74" spans="1:31" ht="14.25" customHeight="1" x14ac:dyDescent="0.25">
      <c r="A74" s="90" t="s">
        <v>354</v>
      </c>
      <c r="B74" s="90" t="s">
        <v>46</v>
      </c>
      <c r="C74" s="90" t="s">
        <v>19</v>
      </c>
      <c r="D74" s="90" t="s">
        <v>355</v>
      </c>
      <c r="E74" s="91" t="s">
        <v>204</v>
      </c>
      <c r="F74" s="95">
        <v>2</v>
      </c>
      <c r="G74" s="95">
        <v>3</v>
      </c>
      <c r="H74" s="95">
        <v>6</v>
      </c>
      <c r="I74" s="92"/>
      <c r="J74" s="92"/>
      <c r="K74" s="92"/>
      <c r="L74" s="93">
        <f>IF(Data!$F74=0,50%,(Data!$F74-ROUNDDOWN(Data!$F74,0))/Data!$F74)</f>
        <v>0</v>
      </c>
      <c r="M74" s="93">
        <f>IF(Data!$G74=0,50%,(Data!$G74-ROUNDDOWN(Data!$G74,0))/Data!$G74)</f>
        <v>0</v>
      </c>
      <c r="N74" s="93">
        <f>IF(Data!$H74=0,50%,(Data!$H74-ROUNDDOWN(Data!$H74,0))/Data!$H74)</f>
        <v>0</v>
      </c>
      <c r="O74" s="94">
        <v>0</v>
      </c>
      <c r="P74" s="94">
        <f>Data!$O74</f>
        <v>0</v>
      </c>
      <c r="Q74" s="94">
        <f>Data!$O74</f>
        <v>0</v>
      </c>
      <c r="R74" s="95">
        <v>0</v>
      </c>
      <c r="S74" s="90"/>
      <c r="T74" s="90"/>
      <c r="U74" s="95">
        <v>6</v>
      </c>
      <c r="V74" s="95">
        <v>6.5</v>
      </c>
      <c r="W74" s="95">
        <v>11</v>
      </c>
      <c r="X74" s="95">
        <v>20</v>
      </c>
      <c r="Y74" s="95">
        <v>80</v>
      </c>
      <c r="Z74" s="90"/>
      <c r="AA74" s="96"/>
      <c r="AB74" s="91" t="s">
        <v>177</v>
      </c>
      <c r="AC74" s="90" t="str">
        <f>Data!$AB74</f>
        <v/>
      </c>
      <c r="AD74" s="90"/>
      <c r="AE74" s="90"/>
    </row>
    <row r="75" spans="1:31" ht="14.25" customHeight="1" x14ac:dyDescent="0.25">
      <c r="A75" s="90" t="s">
        <v>356</v>
      </c>
      <c r="B75" s="90" t="s">
        <v>52</v>
      </c>
      <c r="C75" s="90" t="s">
        <v>19</v>
      </c>
      <c r="D75" s="90" t="s">
        <v>357</v>
      </c>
      <c r="E75" s="90" t="s">
        <v>358</v>
      </c>
      <c r="F75" s="95">
        <v>2</v>
      </c>
      <c r="G75" s="95">
        <v>0</v>
      </c>
      <c r="H75" s="95">
        <v>0</v>
      </c>
      <c r="I75" s="92"/>
      <c r="J75" s="97">
        <v>-10</v>
      </c>
      <c r="K75" s="97">
        <v>-20</v>
      </c>
      <c r="L75" s="93">
        <v>0</v>
      </c>
      <c r="M75" s="93">
        <v>0</v>
      </c>
      <c r="N75" s="93">
        <v>0</v>
      </c>
      <c r="O75" s="94">
        <v>0</v>
      </c>
      <c r="P75" s="94">
        <v>0</v>
      </c>
      <c r="Q75" s="94">
        <v>0</v>
      </c>
      <c r="R75" s="95">
        <v>0</v>
      </c>
      <c r="S75" s="90"/>
      <c r="T75" s="90"/>
      <c r="U75" s="95">
        <v>8</v>
      </c>
      <c r="V75" s="95">
        <v>0</v>
      </c>
      <c r="W75" s="95">
        <v>0</v>
      </c>
      <c r="X75" s="95">
        <v>15</v>
      </c>
      <c r="Y75" s="95">
        <v>60</v>
      </c>
      <c r="Z75" s="90"/>
      <c r="AA75" s="96"/>
      <c r="AB75" s="90" t="s">
        <v>359</v>
      </c>
      <c r="AC75" s="90" t="s">
        <v>360</v>
      </c>
      <c r="AD75" s="90"/>
      <c r="AE75" s="90"/>
    </row>
    <row r="76" spans="1:31" ht="14.25" customHeight="1" x14ac:dyDescent="0.25">
      <c r="A76" s="90" t="s">
        <v>361</v>
      </c>
      <c r="B76" s="90" t="s">
        <v>48</v>
      </c>
      <c r="C76" s="90" t="s">
        <v>19</v>
      </c>
      <c r="D76" s="90" t="s">
        <v>22</v>
      </c>
      <c r="E76" s="91" t="s">
        <v>177</v>
      </c>
      <c r="F76" s="95">
        <v>3</v>
      </c>
      <c r="G76" s="95">
        <v>4</v>
      </c>
      <c r="H76" s="90"/>
      <c r="I76" s="92"/>
      <c r="J76" s="92"/>
      <c r="K76" s="92"/>
      <c r="L76" s="93">
        <f>IF(Data!$F76=0,50%,(Data!$F76-ROUNDDOWN(Data!$F76,0))/Data!$F76)</f>
        <v>0</v>
      </c>
      <c r="M76" s="93">
        <f>IF(Data!$G76=0,50%,(Data!$G76-ROUNDDOWN(Data!$G76,0))/Data!$G76)</f>
        <v>0</v>
      </c>
      <c r="N76" s="93">
        <f>IF(Data!$H76=0,50%,(Data!$H76-ROUNDDOWN(Data!$H76,0))/Data!$H76)</f>
        <v>0.5</v>
      </c>
      <c r="O76" s="94">
        <v>0</v>
      </c>
      <c r="P76" s="94">
        <f>Data!$O76</f>
        <v>0</v>
      </c>
      <c r="Q76" s="94">
        <f>Data!$O76</f>
        <v>0</v>
      </c>
      <c r="R76" s="95">
        <v>0</v>
      </c>
      <c r="S76" s="90"/>
      <c r="T76" s="90"/>
      <c r="U76" s="95">
        <v>10</v>
      </c>
      <c r="V76" s="95">
        <v>15</v>
      </c>
      <c r="W76" s="90"/>
      <c r="X76" s="95">
        <v>20</v>
      </c>
      <c r="Y76" s="95">
        <v>80</v>
      </c>
      <c r="Z76" s="90"/>
      <c r="AA76" s="96"/>
      <c r="AB76" s="91" t="s">
        <v>177</v>
      </c>
      <c r="AC76" s="90" t="str">
        <f>Data!$AB76</f>
        <v/>
      </c>
      <c r="AD76" s="90"/>
      <c r="AE76" s="90"/>
    </row>
    <row r="77" spans="1:31" ht="14.25" customHeight="1" x14ac:dyDescent="0.25">
      <c r="A77" s="90" t="s">
        <v>362</v>
      </c>
      <c r="B77" s="90" t="str">
        <f t="shared" ref="B77:H77" si="4">B6</f>
        <v>Pyro</v>
      </c>
      <c r="C77" s="90" t="str">
        <f t="shared" si="4"/>
        <v>Press</v>
      </c>
      <c r="D77" s="90">
        <f t="shared" si="4"/>
        <v>0</v>
      </c>
      <c r="E77" s="90">
        <f t="shared" si="4"/>
        <v>0</v>
      </c>
      <c r="F77" s="90">
        <f t="shared" si="4"/>
        <v>5</v>
      </c>
      <c r="G77" s="90">
        <f t="shared" si="4"/>
        <v>0</v>
      </c>
      <c r="H77" s="90">
        <f t="shared" si="4"/>
        <v>0</v>
      </c>
      <c r="I77" s="92"/>
      <c r="J77" s="92"/>
      <c r="K77" s="92"/>
      <c r="L77" s="93">
        <f>IF(Data!$F77=0,50%,(Data!$F77-ROUNDDOWN(Data!$F77,0))/Data!$F77)</f>
        <v>0</v>
      </c>
      <c r="M77" s="93">
        <f>IF(Data!$G77=0,50%,(Data!$G77-ROUNDDOWN(Data!$G77,0))/Data!$G77)</f>
        <v>0.5</v>
      </c>
      <c r="N77" s="93">
        <f>IF(Data!$H77=0,50%,(Data!$H77-ROUNDDOWN(Data!$H77,0))/Data!$H77)</f>
        <v>0.5</v>
      </c>
      <c r="O77" s="94">
        <f t="shared" ref="O77:Y77" si="5">O6</f>
        <v>0</v>
      </c>
      <c r="P77" s="94">
        <f t="shared" si="5"/>
        <v>0</v>
      </c>
      <c r="Q77" s="94">
        <f t="shared" si="5"/>
        <v>0</v>
      </c>
      <c r="R77" s="95">
        <f t="shared" si="5"/>
        <v>0</v>
      </c>
      <c r="S77" s="95">
        <f t="shared" si="5"/>
        <v>0</v>
      </c>
      <c r="T77" s="95">
        <f t="shared" si="5"/>
        <v>0</v>
      </c>
      <c r="U77" s="95">
        <f t="shared" si="5"/>
        <v>30</v>
      </c>
      <c r="V77" s="95">
        <f t="shared" si="5"/>
        <v>0</v>
      </c>
      <c r="W77" s="95">
        <f t="shared" si="5"/>
        <v>0</v>
      </c>
      <c r="X77" s="95">
        <f t="shared" si="5"/>
        <v>15</v>
      </c>
      <c r="Y77" s="95">
        <f t="shared" si="5"/>
        <v>60</v>
      </c>
      <c r="Z77" s="90"/>
      <c r="AA77" s="96"/>
      <c r="AB77" s="91" t="s">
        <v>177</v>
      </c>
      <c r="AC77" s="90" t="str">
        <f>Data!$AB77</f>
        <v/>
      </c>
      <c r="AD77" s="90"/>
      <c r="AE77" s="90"/>
    </row>
    <row r="78" spans="1:31" ht="14.25" customHeight="1" x14ac:dyDescent="0.25">
      <c r="A78" s="90" t="s">
        <v>363</v>
      </c>
      <c r="B78" s="90" t="s">
        <v>56</v>
      </c>
      <c r="C78" s="90" t="s">
        <v>19</v>
      </c>
      <c r="D78" s="90" t="s">
        <v>22</v>
      </c>
      <c r="E78" s="90"/>
      <c r="F78" s="95">
        <v>4</v>
      </c>
      <c r="G78" s="95">
        <v>4</v>
      </c>
      <c r="H78" s="90"/>
      <c r="I78" s="96"/>
      <c r="J78" s="96"/>
      <c r="K78" s="96"/>
      <c r="L78" s="93">
        <v>0</v>
      </c>
      <c r="M78" s="93">
        <v>0</v>
      </c>
      <c r="N78" s="93">
        <v>0</v>
      </c>
      <c r="O78" s="94">
        <v>0</v>
      </c>
      <c r="P78" s="94">
        <v>0</v>
      </c>
      <c r="Q78" s="94">
        <v>0</v>
      </c>
      <c r="R78" s="95">
        <v>0</v>
      </c>
      <c r="S78" s="95">
        <v>0</v>
      </c>
      <c r="T78" s="90"/>
      <c r="U78" s="95">
        <v>18</v>
      </c>
      <c r="V78" s="95">
        <v>18</v>
      </c>
      <c r="W78" s="90"/>
      <c r="X78" s="95">
        <v>18</v>
      </c>
      <c r="Y78" s="95">
        <v>70</v>
      </c>
      <c r="Z78" s="90"/>
      <c r="AA78" s="96"/>
      <c r="AB78" s="90"/>
      <c r="AC78" s="90"/>
      <c r="AD78" s="90"/>
      <c r="AE78" s="90"/>
    </row>
    <row r="79" spans="1:31" ht="14.25" customHeight="1" x14ac:dyDescent="0.25">
      <c r="A79" s="90" t="s">
        <v>364</v>
      </c>
      <c r="B79" s="90" t="s">
        <v>46</v>
      </c>
      <c r="C79" s="90" t="s">
        <v>19</v>
      </c>
      <c r="D79" s="91" t="s">
        <v>177</v>
      </c>
      <c r="E79" s="91" t="s">
        <v>177</v>
      </c>
      <c r="F79" s="95">
        <v>4</v>
      </c>
      <c r="G79" s="90"/>
      <c r="H79" s="90"/>
      <c r="I79" s="92"/>
      <c r="J79" s="92"/>
      <c r="K79" s="92"/>
      <c r="L79" s="93">
        <f>IF(Data!$F79=0,50%,(Data!$F79-ROUNDDOWN(Data!$F79,0))/Data!$F79)</f>
        <v>0</v>
      </c>
      <c r="M79" s="93">
        <f>IF(Data!$G79=0,50%,(Data!$G79-ROUNDDOWN(Data!$G79,0))/Data!$G79)</f>
        <v>0.5</v>
      </c>
      <c r="N79" s="93">
        <f>IF(Data!$H79=0,50%,(Data!$H79-ROUNDDOWN(Data!$H79,0))/Data!$H79)</f>
        <v>0.5</v>
      </c>
      <c r="O79" s="94">
        <v>0</v>
      </c>
      <c r="P79" s="94">
        <f>Data!$O79</f>
        <v>0</v>
      </c>
      <c r="Q79" s="94">
        <f>Data!$O79</f>
        <v>0</v>
      </c>
      <c r="R79" s="95">
        <v>0</v>
      </c>
      <c r="S79" s="90"/>
      <c r="T79" s="90"/>
      <c r="U79" s="95">
        <v>15</v>
      </c>
      <c r="V79" s="90"/>
      <c r="W79" s="90"/>
      <c r="X79" s="95">
        <v>20</v>
      </c>
      <c r="Y79" s="95">
        <v>80</v>
      </c>
      <c r="Z79" s="91" t="s">
        <v>177</v>
      </c>
      <c r="AA79" s="96"/>
      <c r="AB79" s="90"/>
      <c r="AC79" s="90" t="str">
        <f>Data!$Z79</f>
        <v/>
      </c>
      <c r="AD79" s="90"/>
      <c r="AE79" s="90"/>
    </row>
    <row r="80" spans="1:31" ht="14.25" customHeight="1" x14ac:dyDescent="0.25">
      <c r="A80" s="90" t="s">
        <v>365</v>
      </c>
      <c r="B80" s="90" t="s">
        <v>56</v>
      </c>
      <c r="C80" s="90" t="s">
        <v>366</v>
      </c>
      <c r="D80" s="90" t="s">
        <v>367</v>
      </c>
      <c r="E80" s="90" t="s">
        <v>240</v>
      </c>
      <c r="F80" s="95">
        <v>3</v>
      </c>
      <c r="G80" s="95">
        <v>4</v>
      </c>
      <c r="H80" s="95">
        <v>1</v>
      </c>
      <c r="I80" s="92"/>
      <c r="J80" s="92"/>
      <c r="K80" s="92"/>
      <c r="L80" s="93">
        <f>IF(Data!$F80=0,50%,(Data!$F80-ROUNDDOWN(Data!$F80,0))/Data!$F80)</f>
        <v>0</v>
      </c>
      <c r="M80" s="93">
        <f>IF(Data!$G80=0,50%,(Data!$G80-ROUNDDOWN(Data!$G80,0))/Data!$G80)</f>
        <v>0</v>
      </c>
      <c r="N80" s="93">
        <f>IF(Data!$H80=0,50%,(Data!$H80-ROUNDDOWN(Data!$H80,0))/Data!$H80)</f>
        <v>0</v>
      </c>
      <c r="O80" s="94">
        <v>0</v>
      </c>
      <c r="P80" s="94">
        <f>Data!$O80</f>
        <v>0</v>
      </c>
      <c r="Q80" s="94">
        <f>Data!$O80</f>
        <v>0</v>
      </c>
      <c r="R80" s="95">
        <v>0</v>
      </c>
      <c r="S80" s="90"/>
      <c r="T80" s="90"/>
      <c r="U80" s="95">
        <v>13</v>
      </c>
      <c r="V80" s="95">
        <v>17</v>
      </c>
      <c r="W80" s="95">
        <v>3</v>
      </c>
      <c r="X80" s="95">
        <v>15</v>
      </c>
      <c r="Y80" s="95">
        <v>60</v>
      </c>
      <c r="Z80" s="90"/>
      <c r="AA80" s="96"/>
      <c r="AB80" s="90" t="s">
        <v>368</v>
      </c>
      <c r="AC80" s="90" t="str">
        <f>Data!$AB80</f>
        <v>If Tartaglia is using ranged burst, put 20 in "Bonus non-particle energy". Use the "Aimed Shot" skill in "Skill uses (other type)" for the number of aimed shots done in ranged form.</v>
      </c>
      <c r="AD80" s="90"/>
      <c r="AE80" s="90"/>
    </row>
    <row r="81" spans="1:31" ht="14.25" customHeight="1" x14ac:dyDescent="0.25">
      <c r="A81" s="90" t="s">
        <v>369</v>
      </c>
      <c r="B81" s="90" t="s">
        <v>51</v>
      </c>
      <c r="C81" s="90" t="s">
        <v>19</v>
      </c>
      <c r="D81" s="91" t="s">
        <v>177</v>
      </c>
      <c r="E81" s="91" t="s">
        <v>177</v>
      </c>
      <c r="F81" s="95">
        <v>3.5</v>
      </c>
      <c r="G81" s="90"/>
      <c r="H81" s="90"/>
      <c r="I81" s="92"/>
      <c r="J81" s="92"/>
      <c r="K81" s="92"/>
      <c r="L81" s="93">
        <f>IF(Data!$F81=0,50%,(Data!$F81-ROUNDDOWN(Data!$F81,0))/Data!$F81)</f>
        <v>0.14285714285714285</v>
      </c>
      <c r="M81" s="93">
        <f>IF(Data!$G81=0,50%,(Data!$G81-ROUNDDOWN(Data!$G81,0))/Data!$G81)</f>
        <v>0.5</v>
      </c>
      <c r="N81" s="93">
        <f>IF(Data!$H81=0,50%,(Data!$H81-ROUNDDOWN(Data!$H81,0))/Data!$H81)</f>
        <v>0.5</v>
      </c>
      <c r="O81" s="94">
        <v>0</v>
      </c>
      <c r="P81" s="94">
        <f>Data!$O81</f>
        <v>0</v>
      </c>
      <c r="Q81" s="94">
        <f>Data!$O81</f>
        <v>0</v>
      </c>
      <c r="R81" s="95">
        <v>0</v>
      </c>
      <c r="S81" s="90"/>
      <c r="T81" s="90"/>
      <c r="U81" s="95">
        <v>12</v>
      </c>
      <c r="V81" s="90"/>
      <c r="W81" s="90"/>
      <c r="X81" s="95">
        <v>12</v>
      </c>
      <c r="Y81" s="95">
        <v>40</v>
      </c>
      <c r="Z81" s="90"/>
      <c r="AA81" s="96"/>
      <c r="AB81" s="91" t="s">
        <v>177</v>
      </c>
      <c r="AC81" s="90" t="str">
        <f>Data!$AB81</f>
        <v/>
      </c>
      <c r="AD81" s="90"/>
      <c r="AE81" s="90"/>
    </row>
    <row r="82" spans="1:31" ht="14.25" customHeight="1" x14ac:dyDescent="0.25">
      <c r="A82" s="90" t="s">
        <v>370</v>
      </c>
      <c r="B82" s="90" t="s">
        <v>63</v>
      </c>
      <c r="C82" s="90" t="s">
        <v>19</v>
      </c>
      <c r="D82" s="91" t="s">
        <v>177</v>
      </c>
      <c r="E82" s="91" t="s">
        <v>177</v>
      </c>
      <c r="F82" s="95">
        <v>3.4</v>
      </c>
      <c r="G82" s="90"/>
      <c r="H82" s="90"/>
      <c r="I82" s="92"/>
      <c r="J82" s="92"/>
      <c r="K82" s="92"/>
      <c r="L82" s="93">
        <f>IF(Data!$F82=0,50%,(Data!$F82-ROUNDDOWN(Data!$F82,0))/Data!$F82)</f>
        <v>0.11764705882352938</v>
      </c>
      <c r="M82" s="93">
        <f>IF(Data!$G82=0,50%,(Data!$G82-ROUNDDOWN(Data!$G82,0))/Data!$G82)</f>
        <v>0.5</v>
      </c>
      <c r="N82" s="93">
        <f>IF(Data!$H82=0,50%,(Data!$H82-ROUNDDOWN(Data!$H82,0))/Data!$H82)</f>
        <v>0.5</v>
      </c>
      <c r="O82" s="94">
        <v>0</v>
      </c>
      <c r="P82" s="94">
        <f>Data!$O82</f>
        <v>0</v>
      </c>
      <c r="Q82" s="94">
        <f>Data!$O82</f>
        <v>0</v>
      </c>
      <c r="R82" s="95">
        <v>0</v>
      </c>
      <c r="S82" s="90"/>
      <c r="T82" s="90"/>
      <c r="U82" s="95">
        <v>15</v>
      </c>
      <c r="V82" s="90"/>
      <c r="W82" s="90"/>
      <c r="X82" s="95">
        <v>20</v>
      </c>
      <c r="Y82" s="95">
        <v>80</v>
      </c>
      <c r="Z82" s="90"/>
      <c r="AA82" s="96"/>
      <c r="AB82" s="90" t="s">
        <v>371</v>
      </c>
      <c r="AC82" s="90" t="s">
        <v>372</v>
      </c>
      <c r="AD82" s="90"/>
      <c r="AE82" s="90"/>
    </row>
    <row r="83" spans="1:31" ht="14.25" customHeight="1" x14ac:dyDescent="0.25">
      <c r="A83" s="90" t="s">
        <v>373</v>
      </c>
      <c r="B83" s="90" t="s">
        <v>46</v>
      </c>
      <c r="C83" s="90" t="s">
        <v>19</v>
      </c>
      <c r="D83" s="90" t="s">
        <v>22</v>
      </c>
      <c r="E83" s="91" t="s">
        <v>177</v>
      </c>
      <c r="F83" s="95">
        <v>2</v>
      </c>
      <c r="G83" s="95">
        <v>3.33</v>
      </c>
      <c r="H83" s="90"/>
      <c r="I83" s="92"/>
      <c r="J83" s="92"/>
      <c r="K83" s="92"/>
      <c r="L83" s="93">
        <f>IF(Data!$F83=0,50%,(Data!$F83-ROUNDDOWN(Data!$F83,0))/Data!$F83)</f>
        <v>0</v>
      </c>
      <c r="M83" s="93">
        <f>IF(Data!$G83=0,50%,(Data!$G83-ROUNDDOWN(Data!$G83,0))/Data!$G83)</f>
        <v>9.9099099099099114E-2</v>
      </c>
      <c r="N83" s="93">
        <f>IF(Data!$H83=0,50%,(Data!$H83-ROUNDDOWN(Data!$H83,0))/Data!$H83)</f>
        <v>0.5</v>
      </c>
      <c r="O83" s="94">
        <v>0</v>
      </c>
      <c r="P83" s="94">
        <f>Data!$O83</f>
        <v>0</v>
      </c>
      <c r="Q83" s="94">
        <f>Data!$O83</f>
        <v>0</v>
      </c>
      <c r="R83" s="95">
        <v>0</v>
      </c>
      <c r="S83" s="90"/>
      <c r="T83" s="90"/>
      <c r="U83" s="95">
        <v>5</v>
      </c>
      <c r="V83" s="95">
        <v>8</v>
      </c>
      <c r="W83" s="90"/>
      <c r="X83" s="95">
        <v>15</v>
      </c>
      <c r="Y83" s="95">
        <v>60</v>
      </c>
      <c r="Z83" s="90"/>
      <c r="AA83" s="96"/>
      <c r="AB83" s="91" t="s">
        <v>374</v>
      </c>
      <c r="AC83" s="90" t="str">
        <f>Data!$AB83</f>
        <v>Anemo Traveler's C2 is ignored, since it appears in their stats screen</v>
      </c>
      <c r="AD83" s="90"/>
      <c r="AE83" s="90"/>
    </row>
    <row r="84" spans="1:31" ht="14.25" customHeight="1" x14ac:dyDescent="0.25">
      <c r="A84" s="90" t="s">
        <v>375</v>
      </c>
      <c r="B84" s="90" t="s">
        <v>51</v>
      </c>
      <c r="C84" s="90" t="s">
        <v>19</v>
      </c>
      <c r="D84" s="91" t="s">
        <v>177</v>
      </c>
      <c r="E84" s="91" t="s">
        <v>177</v>
      </c>
      <c r="F84" s="95">
        <v>2.5</v>
      </c>
      <c r="G84" s="90"/>
      <c r="H84" s="90"/>
      <c r="I84" s="92"/>
      <c r="J84" s="92"/>
      <c r="K84" s="92"/>
      <c r="L84" s="93">
        <f>IF(Data!$F84=0,50%,(Data!$F84-ROUNDDOWN(Data!$F84,0))/Data!$F84)</f>
        <v>0.2</v>
      </c>
      <c r="M84" s="93">
        <f>IF(Data!$G84=0,50%,(Data!$G84-ROUNDDOWN(Data!$G84,0))/Data!$G84)</f>
        <v>0.5</v>
      </c>
      <c r="N84" s="93">
        <f>IF(Data!$H84=0,50%,(Data!$H84-ROUNDDOWN(Data!$H84,0))/Data!$H84)</f>
        <v>0.5</v>
      </c>
      <c r="O84" s="94">
        <v>0</v>
      </c>
      <c r="P84" s="94">
        <f>Data!$O84</f>
        <v>0</v>
      </c>
      <c r="Q84" s="94">
        <f>Data!$O84</f>
        <v>0</v>
      </c>
      <c r="R84" s="90"/>
      <c r="S84" s="90"/>
      <c r="T84" s="90"/>
      <c r="U84" s="95">
        <v>8</v>
      </c>
      <c r="V84" s="90"/>
      <c r="W84" s="90"/>
      <c r="X84" s="95">
        <v>20</v>
      </c>
      <c r="Y84" s="95">
        <v>80</v>
      </c>
      <c r="Z84" s="90"/>
      <c r="AA84" s="96"/>
      <c r="AB84" s="91" t="s">
        <v>376</v>
      </c>
      <c r="AC84" s="90" t="str">
        <f>Data!$AB84</f>
        <v>Dendro Traveler's C1 is already factored in and does not need to be added to "Bonus non-particle energy".</v>
      </c>
      <c r="AD84" s="90"/>
      <c r="AE84" s="90"/>
    </row>
    <row r="85" spans="1:31" ht="14.25" customHeight="1" x14ac:dyDescent="0.25">
      <c r="A85" s="90" t="s">
        <v>377</v>
      </c>
      <c r="B85" s="90" t="s">
        <v>52</v>
      </c>
      <c r="C85" s="90" t="s">
        <v>19</v>
      </c>
      <c r="D85" s="91" t="s">
        <v>177</v>
      </c>
      <c r="E85" s="91" t="s">
        <v>177</v>
      </c>
      <c r="F85" s="95">
        <v>1</v>
      </c>
      <c r="G85" s="90"/>
      <c r="H85" s="90"/>
      <c r="I85" s="92"/>
      <c r="J85" s="92"/>
      <c r="K85" s="92"/>
      <c r="L85" s="93">
        <f>IF(Data!$F85=0,50%,(Data!$F85-ROUNDDOWN(Data!$F85,0))/Data!$F85)</f>
        <v>0</v>
      </c>
      <c r="M85" s="93">
        <f>IF(Data!$G85=0,50%,(Data!$G85-ROUNDDOWN(Data!$G85,0))/Data!$G85)</f>
        <v>0.5</v>
      </c>
      <c r="N85" s="93">
        <f>IF(Data!$H85=0,50%,(Data!$H85-ROUNDDOWN(Data!$H85,0))/Data!$H85)</f>
        <v>0.5</v>
      </c>
      <c r="O85" s="94">
        <v>0</v>
      </c>
      <c r="P85" s="94">
        <f>Data!$O85</f>
        <v>0</v>
      </c>
      <c r="Q85" s="94">
        <f>Data!$O85</f>
        <v>0</v>
      </c>
      <c r="R85" s="95">
        <v>0</v>
      </c>
      <c r="S85" s="90"/>
      <c r="T85" s="90"/>
      <c r="U85" s="95">
        <v>13.5</v>
      </c>
      <c r="V85" s="90"/>
      <c r="W85" s="90"/>
      <c r="X85" s="95">
        <v>20</v>
      </c>
      <c r="Y85" s="95">
        <v>80</v>
      </c>
      <c r="Z85" s="90"/>
      <c r="AA85" s="96"/>
      <c r="AB85" s="90" t="s">
        <v>378</v>
      </c>
      <c r="AC85" s="90" t="str">
        <f>Data!$AB85</f>
        <v>Electro Traveler's skill generates 12 energy. Their burst gives about 16 energy. Put these in the "Bonus non-particle energy" of whoever uses them. Also consider the amulet ER bonus.</v>
      </c>
      <c r="AD85" s="90"/>
      <c r="AE85" s="90"/>
    </row>
    <row r="86" spans="1:31" ht="14.25" customHeight="1" x14ac:dyDescent="0.25">
      <c r="A86" s="90" t="s">
        <v>379</v>
      </c>
      <c r="B86" s="90" t="s">
        <v>54</v>
      </c>
      <c r="C86" s="90" t="s">
        <v>19</v>
      </c>
      <c r="D86" s="91" t="s">
        <v>177</v>
      </c>
      <c r="E86" s="91" t="s">
        <v>177</v>
      </c>
      <c r="F86" s="95">
        <v>3.33</v>
      </c>
      <c r="G86" s="90"/>
      <c r="H86" s="90"/>
      <c r="I86" s="92"/>
      <c r="J86" s="92"/>
      <c r="K86" s="92"/>
      <c r="L86" s="93">
        <f>IF(Data!$F86=0,50%,(Data!$F86-ROUNDDOWN(Data!$F86,0))/Data!$F86)</f>
        <v>9.9099099099099114E-2</v>
      </c>
      <c r="M86" s="93">
        <f>IF(Data!$G86=0,50%,(Data!$G86-ROUNDDOWN(Data!$G86,0))/Data!$G86)</f>
        <v>0.5</v>
      </c>
      <c r="N86" s="93">
        <f>IF(Data!$H86=0,50%,(Data!$H86-ROUNDDOWN(Data!$H86,0))/Data!$H86)</f>
        <v>0.5</v>
      </c>
      <c r="O86" s="94">
        <v>0</v>
      </c>
      <c r="P86" s="94">
        <f>Data!$O86</f>
        <v>0</v>
      </c>
      <c r="Q86" s="94">
        <f>Data!$O86</f>
        <v>0</v>
      </c>
      <c r="R86" s="95">
        <v>0</v>
      </c>
      <c r="S86" s="90"/>
      <c r="T86" s="90"/>
      <c r="U86" s="95">
        <v>6</v>
      </c>
      <c r="V86" s="90"/>
      <c r="W86" s="90"/>
      <c r="X86" s="95">
        <v>15</v>
      </c>
      <c r="Y86" s="95">
        <v>60</v>
      </c>
      <c r="Z86" s="90"/>
      <c r="AA86" s="96"/>
      <c r="AB86" s="90" t="s">
        <v>380</v>
      </c>
      <c r="AC86" s="90" t="s">
        <v>381</v>
      </c>
      <c r="AD86" s="90"/>
      <c r="AE86" s="90"/>
    </row>
    <row r="87" spans="1:31" ht="14.25" customHeight="1" x14ac:dyDescent="0.25">
      <c r="A87" s="90" t="s">
        <v>382</v>
      </c>
      <c r="B87" s="90" t="s">
        <v>56</v>
      </c>
      <c r="C87" s="90" t="s">
        <v>19</v>
      </c>
      <c r="D87" s="91" t="s">
        <v>22</v>
      </c>
      <c r="E87" s="91" t="s">
        <v>177</v>
      </c>
      <c r="F87" s="95">
        <v>3.33</v>
      </c>
      <c r="G87" s="95">
        <v>3.33</v>
      </c>
      <c r="H87" s="90"/>
      <c r="I87" s="92"/>
      <c r="J87" s="92"/>
      <c r="K87" s="92"/>
      <c r="L87" s="93">
        <f>IF(Data!$F87=0,50%,(Data!$F87-ROUNDDOWN(Data!$F87,0))/Data!$F87)</f>
        <v>9.9099099099099114E-2</v>
      </c>
      <c r="M87" s="93">
        <f>IF(Data!$G87=0,50%,(Data!$G87-ROUNDDOWN(Data!$G87,0))/Data!$G87)</f>
        <v>9.9099099099099114E-2</v>
      </c>
      <c r="N87" s="93">
        <f>IF(Data!$H87=0,50%,(Data!$H87-ROUNDDOWN(Data!$H87,0))/Data!$H87)</f>
        <v>0.5</v>
      </c>
      <c r="O87" s="94">
        <v>0</v>
      </c>
      <c r="P87" s="94">
        <f>IF(Data!$O87="", "", Data!$O87)</f>
        <v>0</v>
      </c>
      <c r="Q87" s="94">
        <f>0.45/1.5 + 0.45*3/15</f>
        <v>0.39</v>
      </c>
      <c r="R87" s="95">
        <v>0</v>
      </c>
      <c r="S87" s="90"/>
      <c r="T87" s="90"/>
      <c r="U87" s="95">
        <v>10</v>
      </c>
      <c r="V87" s="95">
        <v>10</v>
      </c>
      <c r="W87" s="90"/>
      <c r="X87" s="95">
        <v>20</v>
      </c>
      <c r="Y87" s="95">
        <v>80</v>
      </c>
      <c r="Z87" s="90"/>
      <c r="AA87" s="96"/>
      <c r="AB87" s="90" t="s">
        <v>383</v>
      </c>
      <c r="AC87" s="90" t="str">
        <f>Data!$AB87</f>
        <v>Hydro Traveler's C1 gives 2-8 energy when holding the elemental skill. Put this in "Bonus non-particle energy".</v>
      </c>
      <c r="AD87" s="90"/>
      <c r="AE87" s="90"/>
    </row>
    <row r="88" spans="1:31" ht="14.25" customHeight="1" x14ac:dyDescent="0.25">
      <c r="A88" s="90" t="s">
        <v>18</v>
      </c>
      <c r="B88" s="90" t="s">
        <v>63</v>
      </c>
      <c r="C88" s="90" t="s">
        <v>31</v>
      </c>
      <c r="D88" s="90"/>
      <c r="E88" s="90"/>
      <c r="F88" s="95">
        <v>1</v>
      </c>
      <c r="G88" s="95"/>
      <c r="H88" s="90"/>
      <c r="I88" s="92"/>
      <c r="J88" s="92"/>
      <c r="K88" s="92"/>
      <c r="L88" s="93">
        <v>0</v>
      </c>
      <c r="M88" s="93">
        <v>0</v>
      </c>
      <c r="N88" s="93">
        <v>0</v>
      </c>
      <c r="O88" s="94">
        <v>0</v>
      </c>
      <c r="P88" s="94">
        <v>0</v>
      </c>
      <c r="Q88" s="94">
        <v>0</v>
      </c>
      <c r="R88" s="95">
        <v>0</v>
      </c>
      <c r="S88" s="90"/>
      <c r="T88" s="90"/>
      <c r="U88" s="95">
        <v>2.9</v>
      </c>
      <c r="V88" s="95"/>
      <c r="W88" s="90"/>
      <c r="X88" s="95">
        <v>18</v>
      </c>
      <c r="Y88" s="95">
        <v>70</v>
      </c>
      <c r="Z88" s="90"/>
      <c r="AA88" s="96"/>
      <c r="AB88" s="90" t="s">
        <v>384</v>
      </c>
      <c r="AC88" s="90"/>
      <c r="AD88" s="90"/>
      <c r="AE88" s="90"/>
    </row>
    <row r="89" spans="1:31" ht="14.25" customHeight="1" x14ac:dyDescent="0.25">
      <c r="A89" s="90" t="s">
        <v>385</v>
      </c>
      <c r="B89" s="90" t="s">
        <v>46</v>
      </c>
      <c r="C89" s="90" t="s">
        <v>19</v>
      </c>
      <c r="D89" s="90" t="s">
        <v>22</v>
      </c>
      <c r="E89" s="91" t="s">
        <v>177</v>
      </c>
      <c r="F89" s="95">
        <v>3</v>
      </c>
      <c r="G89" s="95">
        <v>4</v>
      </c>
      <c r="H89" s="90"/>
      <c r="I89" s="92"/>
      <c r="J89" s="92"/>
      <c r="K89" s="92"/>
      <c r="L89" s="93">
        <f>IF(Data!$F89=0,50%,(Data!$F89-ROUNDDOWN(Data!$F89,0))/Data!$F89)</f>
        <v>0</v>
      </c>
      <c r="M89" s="93">
        <f>IF(Data!$G89=0,50%,(Data!$G89-ROUNDDOWN(Data!$G89,0))/Data!$G89)</f>
        <v>0</v>
      </c>
      <c r="N89" s="93">
        <v>0</v>
      </c>
      <c r="O89" s="94">
        <v>0</v>
      </c>
      <c r="P89" s="94">
        <f>Data!$O89</f>
        <v>0</v>
      </c>
      <c r="Q89" s="94">
        <f>Data!$O89</f>
        <v>0</v>
      </c>
      <c r="R89" s="95">
        <v>0</v>
      </c>
      <c r="S89" s="90"/>
      <c r="T89" s="90"/>
      <c r="U89" s="95">
        <v>6</v>
      </c>
      <c r="V89" s="95">
        <v>15</v>
      </c>
      <c r="W89" s="90"/>
      <c r="X89" s="95">
        <v>15</v>
      </c>
      <c r="Y89" s="95">
        <v>60</v>
      </c>
      <c r="Z89" s="95">
        <v>15</v>
      </c>
      <c r="AA89" s="96"/>
      <c r="AB89" s="90" t="s">
        <v>386</v>
      </c>
      <c r="AC89" s="90" t="str">
        <f>Data!$AB89</f>
        <v>Venti's burst cost is reduced by 15 due to his A4 passive. It also gives energy to any characters of the element absorbed by the burst. Put this in those characters' "Bonus non-particle energy".</v>
      </c>
      <c r="AD89" s="90"/>
      <c r="AE89" s="90"/>
    </row>
    <row r="90" spans="1:31" ht="14.25" customHeight="1" x14ac:dyDescent="0.25">
      <c r="A90" s="90" t="s">
        <v>387</v>
      </c>
      <c r="B90" s="90" t="s">
        <v>46</v>
      </c>
      <c r="C90" s="90" t="s">
        <v>388</v>
      </c>
      <c r="D90" s="91" t="s">
        <v>389</v>
      </c>
      <c r="E90" s="91" t="s">
        <v>177</v>
      </c>
      <c r="F90" s="95">
        <v>4</v>
      </c>
      <c r="G90" s="95">
        <v>3</v>
      </c>
      <c r="H90" s="90"/>
      <c r="I90" s="92"/>
      <c r="J90" s="92"/>
      <c r="K90" s="92"/>
      <c r="L90" s="93">
        <f>IF(Data!$F90=0,50%,(Data!$F90-ROUNDDOWN(Data!$F90,0))/Data!$F90)</f>
        <v>0</v>
      </c>
      <c r="M90" s="93">
        <f>IF(Data!$G90=0,50%,(Data!$G90-ROUNDDOWN(Data!$G90,0))/Data!$G90)</f>
        <v>0</v>
      </c>
      <c r="N90" s="93">
        <v>0</v>
      </c>
      <c r="O90" s="94">
        <v>0</v>
      </c>
      <c r="P90" s="94">
        <v>0</v>
      </c>
      <c r="Q90" s="94">
        <v>0</v>
      </c>
      <c r="R90" s="95">
        <v>0</v>
      </c>
      <c r="S90" s="90"/>
      <c r="T90" s="90"/>
      <c r="U90" s="95">
        <v>6</v>
      </c>
      <c r="V90" s="90"/>
      <c r="W90" s="90"/>
      <c r="X90" s="95">
        <v>15</v>
      </c>
      <c r="Y90" s="95">
        <v>60</v>
      </c>
      <c r="Z90" s="90"/>
      <c r="AA90" s="96"/>
      <c r="AB90" s="90" t="s">
        <v>390</v>
      </c>
      <c r="AC90" s="90" t="str">
        <f>Data!$AB90</f>
        <v>If Wanderer absorbs Electro with his skill, he will gain approximately 13 energy per skill use. Put this in "Bonus non-particle energy".</v>
      </c>
      <c r="AD90" s="90"/>
      <c r="AE90" s="90"/>
    </row>
    <row r="91" spans="1:31" ht="14.25" customHeight="1" x14ac:dyDescent="0.25">
      <c r="A91" s="90" t="s">
        <v>391</v>
      </c>
      <c r="B91" s="90" t="s">
        <v>48</v>
      </c>
      <c r="C91" s="90" t="s">
        <v>392</v>
      </c>
      <c r="D91" s="90" t="s">
        <v>393</v>
      </c>
      <c r="E91" s="90"/>
      <c r="F91" s="95">
        <v>1</v>
      </c>
      <c r="G91" s="95">
        <v>1</v>
      </c>
      <c r="H91" s="90"/>
      <c r="I91" s="92"/>
      <c r="J91" s="92"/>
      <c r="K91" s="92"/>
      <c r="L91" s="93">
        <v>0</v>
      </c>
      <c r="M91" s="93">
        <f>IF(Data!$G91=0,50%,(Data!$G91-ROUNDDOWN(Data!$G91,0))/Data!$G91)</f>
        <v>0</v>
      </c>
      <c r="N91" s="93">
        <v>0</v>
      </c>
      <c r="O91" s="94">
        <v>0</v>
      </c>
      <c r="P91" s="94">
        <v>0</v>
      </c>
      <c r="Q91" s="94">
        <v>0</v>
      </c>
      <c r="R91" s="95">
        <v>0</v>
      </c>
      <c r="S91" s="90"/>
      <c r="T91" s="90"/>
      <c r="U91" s="95">
        <v>2</v>
      </c>
      <c r="V91" s="95">
        <v>5</v>
      </c>
      <c r="W91" s="90"/>
      <c r="X91" s="95">
        <v>15</v>
      </c>
      <c r="Y91" s="95">
        <v>60</v>
      </c>
      <c r="Z91" s="90"/>
      <c r="AA91" s="96"/>
      <c r="AB91" s="90" t="s">
        <v>394</v>
      </c>
      <c r="AC91" s="90" t="str">
        <f>AB91</f>
        <v>Wriothesley generates 1 particle on-hit from his normal attack during his skill if above 50% HP with a 2s ICD. Rebuke: Vaulting Fist shares this ICD and will generate 1 Elemental Particle on-hit.</v>
      </c>
      <c r="AD91" s="90"/>
      <c r="AE91" s="90"/>
    </row>
    <row r="92" spans="1:31" ht="14.25" customHeight="1" x14ac:dyDescent="0.25">
      <c r="A92" s="90" t="s">
        <v>395</v>
      </c>
      <c r="B92" s="90" t="s">
        <v>63</v>
      </c>
      <c r="C92" s="90" t="s">
        <v>19</v>
      </c>
      <c r="D92" s="91" t="s">
        <v>177</v>
      </c>
      <c r="E92" s="91" t="s">
        <v>177</v>
      </c>
      <c r="F92" s="90"/>
      <c r="G92" s="90"/>
      <c r="H92" s="90"/>
      <c r="I92" s="92"/>
      <c r="J92" s="92"/>
      <c r="K92" s="92"/>
      <c r="L92" s="98">
        <v>0</v>
      </c>
      <c r="M92" s="98">
        <v>0</v>
      </c>
      <c r="N92" s="98">
        <v>0</v>
      </c>
      <c r="O92" s="94">
        <v>0.5</v>
      </c>
      <c r="P92" s="94">
        <f>Data!$O92</f>
        <v>0.5</v>
      </c>
      <c r="Q92" s="94">
        <f>Data!$O92</f>
        <v>0.5</v>
      </c>
      <c r="R92" s="95">
        <v>8</v>
      </c>
      <c r="S92" s="90"/>
      <c r="T92" s="90"/>
      <c r="U92" s="95">
        <v>12</v>
      </c>
      <c r="V92" s="90"/>
      <c r="W92" s="90"/>
      <c r="X92" s="95">
        <v>20</v>
      </c>
      <c r="Y92" s="95">
        <v>80</v>
      </c>
      <c r="Z92" s="90"/>
      <c r="AA92" s="96"/>
      <c r="AB92" s="90" t="s">
        <v>396</v>
      </c>
      <c r="AC92" s="90" t="str">
        <f>Data!$AB92</f>
        <v>Xiangling's Guoba is assumed to hit 4 times. If you want to assume it only hits twice, count that as 0.5 skill uses. Gouba's particles are distributed based on time spent on field.</v>
      </c>
      <c r="AD92" s="90"/>
      <c r="AE92" s="90"/>
    </row>
    <row r="93" spans="1:31" ht="14.25" customHeight="1" x14ac:dyDescent="0.25">
      <c r="A93" s="90" t="s">
        <v>397</v>
      </c>
      <c r="B93" s="90" t="s">
        <v>46</v>
      </c>
      <c r="C93" s="90" t="s">
        <v>19</v>
      </c>
      <c r="D93" s="90"/>
      <c r="E93" s="90"/>
      <c r="F93" s="95">
        <v>5</v>
      </c>
      <c r="G93" s="90"/>
      <c r="H93" s="90"/>
      <c r="I93" s="92"/>
      <c r="J93" s="92"/>
      <c r="K93" s="92"/>
      <c r="L93" s="93">
        <v>0</v>
      </c>
      <c r="M93" s="93">
        <v>0</v>
      </c>
      <c r="N93" s="93">
        <v>0</v>
      </c>
      <c r="O93" s="94">
        <v>0</v>
      </c>
      <c r="P93" s="94">
        <v>0</v>
      </c>
      <c r="Q93" s="94">
        <v>0</v>
      </c>
      <c r="R93" s="95">
        <v>0</v>
      </c>
      <c r="S93" s="90"/>
      <c r="T93" s="90"/>
      <c r="U93" s="95">
        <v>12</v>
      </c>
      <c r="V93" s="90"/>
      <c r="W93" s="90"/>
      <c r="X93" s="95">
        <v>18</v>
      </c>
      <c r="Y93" s="95">
        <v>70</v>
      </c>
      <c r="Z93" s="90"/>
      <c r="AA93" s="96"/>
      <c r="AB93" s="90" t="s">
        <v>398</v>
      </c>
      <c r="AC93" s="90" t="str">
        <f>AB93</f>
        <v>Xianyun generates particles when using her special plunge attack, Driftcloud Wave, after using her skill.</v>
      </c>
      <c r="AD93" s="90"/>
      <c r="AE93" s="90"/>
    </row>
    <row r="94" spans="1:31" ht="14.25" customHeight="1" x14ac:dyDescent="0.25">
      <c r="A94" s="90" t="s">
        <v>399</v>
      </c>
      <c r="B94" s="90" t="s">
        <v>46</v>
      </c>
      <c r="C94" s="90" t="s">
        <v>19</v>
      </c>
      <c r="D94" s="91" t="s">
        <v>177</v>
      </c>
      <c r="E94" s="91" t="s">
        <v>177</v>
      </c>
      <c r="F94" s="95">
        <v>3</v>
      </c>
      <c r="G94" s="90"/>
      <c r="H94" s="90"/>
      <c r="I94" s="92"/>
      <c r="J94" s="92"/>
      <c r="K94" s="92"/>
      <c r="L94" s="93">
        <f>IF(Data!$F94=0,50%,(Data!$F94-ROUNDDOWN(Data!$F94,0))/Data!$F94)</f>
        <v>0</v>
      </c>
      <c r="M94" s="93">
        <f>IF(Data!$G94=0,50%,(Data!$G94-ROUNDDOWN(Data!$G94,0))/Data!$G94)</f>
        <v>0.5</v>
      </c>
      <c r="N94" s="93">
        <f>IF(Data!$H94=0,50%,(Data!$H94-ROUNDDOWN(Data!$H94,0))/Data!$H94)</f>
        <v>0.5</v>
      </c>
      <c r="O94" s="94">
        <v>0</v>
      </c>
      <c r="P94" s="94">
        <f>Data!$O94</f>
        <v>0</v>
      </c>
      <c r="Q94" s="94">
        <f>Data!$O94</f>
        <v>0</v>
      </c>
      <c r="R94" s="95">
        <v>0</v>
      </c>
      <c r="S94" s="90"/>
      <c r="T94" s="90"/>
      <c r="U94" s="95">
        <v>10</v>
      </c>
      <c r="V94" s="90"/>
      <c r="W94" s="90"/>
      <c r="X94" s="95">
        <v>18</v>
      </c>
      <c r="Y94" s="95">
        <v>70</v>
      </c>
      <c r="Z94" s="90"/>
      <c r="AA94" s="96"/>
      <c r="AB94" s="91" t="s">
        <v>177</v>
      </c>
      <c r="AC94" s="90" t="str">
        <f>Data!$AB94</f>
        <v/>
      </c>
      <c r="AD94" s="90"/>
      <c r="AE94" s="90"/>
    </row>
    <row r="95" spans="1:31" ht="14.25" customHeight="1" x14ac:dyDescent="0.25">
      <c r="A95" s="90" t="s">
        <v>400</v>
      </c>
      <c r="B95" s="90" t="s">
        <v>54</v>
      </c>
      <c r="C95" s="90" t="s">
        <v>19</v>
      </c>
      <c r="D95" s="90"/>
      <c r="E95" s="90"/>
      <c r="F95" s="95">
        <v>4</v>
      </c>
      <c r="G95" s="90"/>
      <c r="H95" s="90"/>
      <c r="I95" s="92"/>
      <c r="J95" s="92"/>
      <c r="K95" s="92"/>
      <c r="L95" s="93">
        <v>0</v>
      </c>
      <c r="M95" s="93">
        <v>0</v>
      </c>
      <c r="N95" s="93">
        <v>0</v>
      </c>
      <c r="O95" s="94">
        <v>0</v>
      </c>
      <c r="P95" s="94">
        <v>0</v>
      </c>
      <c r="Q95" s="94">
        <v>0</v>
      </c>
      <c r="R95" s="95">
        <v>0</v>
      </c>
      <c r="S95" s="90"/>
      <c r="T95" s="90"/>
      <c r="U95" s="95">
        <v>7</v>
      </c>
      <c r="V95" s="90"/>
      <c r="W95" s="90"/>
      <c r="X95" s="95">
        <v>15</v>
      </c>
      <c r="Y95" s="95">
        <v>60</v>
      </c>
      <c r="Z95" s="90"/>
      <c r="AA95" s="96"/>
      <c r="AB95" s="90" t="s">
        <v>401</v>
      </c>
      <c r="AC95" s="90" t="str">
        <f>AB95</f>
        <v>Xilonen can trigger Nightsoul Burst an additional time due to her A4 passive. Add 6 flat energy per Skill if using Scroll. Put this in "Bonus non-particle energy".</v>
      </c>
      <c r="AD95" s="90"/>
      <c r="AE95" s="90"/>
    </row>
    <row r="96" spans="1:31" ht="14.25" customHeight="1" x14ac:dyDescent="0.25">
      <c r="A96" s="90" t="s">
        <v>402</v>
      </c>
      <c r="B96" s="90" t="s">
        <v>56</v>
      </c>
      <c r="C96" s="90" t="s">
        <v>19</v>
      </c>
      <c r="D96" s="91" t="s">
        <v>177</v>
      </c>
      <c r="E96" s="91" t="s">
        <v>177</v>
      </c>
      <c r="F96" s="95">
        <v>5</v>
      </c>
      <c r="G96" s="90"/>
      <c r="H96" s="90"/>
      <c r="I96" s="92"/>
      <c r="J96" s="92"/>
      <c r="K96" s="92"/>
      <c r="L96" s="93">
        <f>IF(Data!$F96=0,50%,(Data!$F96-ROUNDDOWN(Data!$F96,0))/Data!$F96)</f>
        <v>0</v>
      </c>
      <c r="M96" s="93">
        <f>IF(Data!$G96=0,50%,(Data!$G96-ROUNDDOWN(Data!$G96,0))/Data!$G96)</f>
        <v>0.5</v>
      </c>
      <c r="N96" s="93">
        <f>IF(Data!$H96=0,50%,(Data!$H96-ROUNDDOWN(Data!$H96,0))/Data!$H96)</f>
        <v>0.5</v>
      </c>
      <c r="O96" s="94">
        <v>0</v>
      </c>
      <c r="P96" s="94">
        <f>Data!$O96</f>
        <v>0</v>
      </c>
      <c r="Q96" s="94">
        <f>Data!$O96</f>
        <v>0</v>
      </c>
      <c r="R96" s="95">
        <v>0</v>
      </c>
      <c r="S96" s="90"/>
      <c r="T96" s="90"/>
      <c r="U96" s="95">
        <v>21</v>
      </c>
      <c r="V96" s="90"/>
      <c r="W96" s="90"/>
      <c r="X96" s="95">
        <v>20</v>
      </c>
      <c r="Y96" s="95">
        <v>80</v>
      </c>
      <c r="Z96" s="90"/>
      <c r="AA96" s="96"/>
      <c r="AB96" s="90" t="s">
        <v>403</v>
      </c>
      <c r="AC96" s="90" t="s">
        <v>404</v>
      </c>
      <c r="AD96" s="90"/>
      <c r="AE96" s="90"/>
    </row>
    <row r="97" spans="1:31" ht="14.25" customHeight="1" x14ac:dyDescent="0.25">
      <c r="A97" s="90" t="s">
        <v>405</v>
      </c>
      <c r="B97" s="90" t="s">
        <v>63</v>
      </c>
      <c r="C97" s="90" t="s">
        <v>19</v>
      </c>
      <c r="D97" s="91" t="s">
        <v>177</v>
      </c>
      <c r="E97" s="91" t="s">
        <v>177</v>
      </c>
      <c r="F97" s="95">
        <v>4</v>
      </c>
      <c r="G97" s="90"/>
      <c r="H97" s="90"/>
      <c r="I97" s="92"/>
      <c r="J97" s="92"/>
      <c r="K97" s="92"/>
      <c r="L97" s="93">
        <f>IF(Data!$F97=0,50%,(Data!$F97-ROUNDDOWN(Data!$F97,0))/Data!$F97)</f>
        <v>0</v>
      </c>
      <c r="M97" s="93">
        <f>IF(Data!$G97=0,50%,(Data!$G97-ROUNDDOWN(Data!$G97,0))/Data!$G97)</f>
        <v>0.5</v>
      </c>
      <c r="N97" s="93">
        <f>IF(Data!$H97=0,50%,(Data!$H97-ROUNDDOWN(Data!$H97,0))/Data!$H97)</f>
        <v>0.5</v>
      </c>
      <c r="O97" s="94">
        <v>0</v>
      </c>
      <c r="P97" s="94">
        <f>Data!$O97</f>
        <v>0</v>
      </c>
      <c r="Q97" s="94">
        <f>Data!$O97</f>
        <v>0</v>
      </c>
      <c r="R97" s="95">
        <v>0</v>
      </c>
      <c r="S97" s="90"/>
      <c r="T97" s="90"/>
      <c r="U97" s="95">
        <v>18</v>
      </c>
      <c r="V97" s="90"/>
      <c r="W97" s="90"/>
      <c r="X97" s="95">
        <v>15</v>
      </c>
      <c r="Y97" s="95">
        <v>60</v>
      </c>
      <c r="Z97" s="90"/>
      <c r="AA97" s="96"/>
      <c r="AB97" s="91" t="s">
        <v>177</v>
      </c>
      <c r="AC97" s="90" t="str">
        <f>Data!$AB97</f>
        <v/>
      </c>
      <c r="AD97" s="90"/>
      <c r="AE97" s="90"/>
    </row>
    <row r="98" spans="1:31" ht="14.25" customHeight="1" x14ac:dyDescent="0.25">
      <c r="A98" s="90" t="s">
        <v>406</v>
      </c>
      <c r="B98" s="90" t="s">
        <v>52</v>
      </c>
      <c r="C98" s="90" t="s">
        <v>407</v>
      </c>
      <c r="D98" s="91" t="s">
        <v>177</v>
      </c>
      <c r="E98" s="91" t="s">
        <v>177</v>
      </c>
      <c r="F98" s="90"/>
      <c r="G98" s="90"/>
      <c r="H98" s="90"/>
      <c r="I98" s="92"/>
      <c r="J98" s="92"/>
      <c r="K98" s="92"/>
      <c r="L98" s="98">
        <v>0</v>
      </c>
      <c r="M98" s="98">
        <v>0</v>
      </c>
      <c r="N98" s="98">
        <v>0</v>
      </c>
      <c r="O98" s="94">
        <v>0.36</v>
      </c>
      <c r="P98" s="94">
        <f>Data!$O98</f>
        <v>0.36</v>
      </c>
      <c r="Q98" s="94">
        <f>Data!$O98</f>
        <v>0.36</v>
      </c>
      <c r="R98" s="95">
        <v>14</v>
      </c>
      <c r="S98" s="90"/>
      <c r="T98" s="90"/>
      <c r="U98" s="95">
        <v>4</v>
      </c>
      <c r="V98" s="90"/>
      <c r="W98" s="90"/>
      <c r="X98" s="95">
        <v>22</v>
      </c>
      <c r="Y98" s="95">
        <v>90</v>
      </c>
      <c r="Z98" s="90"/>
      <c r="AA98" s="96"/>
      <c r="AB98" s="91" t="s">
        <v>408</v>
      </c>
      <c r="AC98" s="90" t="str">
        <f>Data!$AB98</f>
        <v>One use of Yae's skill represents all 3 totems. Yae generates a particle once per 2.5-3s, 2.75s is assumed as average. Yae's C1 gives her up to 24 flat energy.</v>
      </c>
      <c r="AD98" s="90"/>
      <c r="AE98" s="90"/>
    </row>
    <row r="99" spans="1:31" ht="14.25" customHeight="1" x14ac:dyDescent="0.25">
      <c r="A99" s="90" t="s">
        <v>409</v>
      </c>
      <c r="B99" s="90" t="s">
        <v>63</v>
      </c>
      <c r="C99" s="90" t="s">
        <v>19</v>
      </c>
      <c r="D99" s="91" t="s">
        <v>177</v>
      </c>
      <c r="E99" s="91" t="s">
        <v>177</v>
      </c>
      <c r="F99" s="95">
        <v>3</v>
      </c>
      <c r="G99" s="90"/>
      <c r="H99" s="90"/>
      <c r="I99" s="92"/>
      <c r="J99" s="92"/>
      <c r="K99" s="92"/>
      <c r="L99" s="93">
        <f>IF(Data!$F99=0,50%,(Data!$F99-ROUNDDOWN(Data!$F99,0))/Data!$F99)</f>
        <v>0</v>
      </c>
      <c r="M99" s="93">
        <f>IF(Data!$G99=0,50%,(Data!$G99-ROUNDDOWN(Data!$G99,0))/Data!$G99)</f>
        <v>0.5</v>
      </c>
      <c r="N99" s="93">
        <f>IF(Data!$H99=0,50%,(Data!$H99-ROUNDDOWN(Data!$H99,0))/Data!$H99)</f>
        <v>0.5</v>
      </c>
      <c r="O99" s="94">
        <v>0</v>
      </c>
      <c r="P99" s="94">
        <f>Data!$O99</f>
        <v>0</v>
      </c>
      <c r="Q99" s="94">
        <f>Data!$O99</f>
        <v>0</v>
      </c>
      <c r="R99" s="95">
        <v>0</v>
      </c>
      <c r="S99" s="90"/>
      <c r="T99" s="90"/>
      <c r="U99" s="95">
        <v>9</v>
      </c>
      <c r="V99" s="90"/>
      <c r="W99" s="90"/>
      <c r="X99" s="95">
        <v>20</v>
      </c>
      <c r="Y99" s="95">
        <v>80</v>
      </c>
      <c r="Z99" s="90"/>
      <c r="AA99" s="96"/>
      <c r="AB99" s="91" t="s">
        <v>177</v>
      </c>
      <c r="AC99" s="90" t="str">
        <f>Data!$AB99</f>
        <v/>
      </c>
      <c r="AD99" s="90"/>
      <c r="AE99" s="90"/>
    </row>
    <row r="100" spans="1:31" ht="14.25" customHeight="1" x14ac:dyDescent="0.25">
      <c r="A100" s="90" t="s">
        <v>410</v>
      </c>
      <c r="B100" s="90" t="s">
        <v>51</v>
      </c>
      <c r="C100" s="90" t="s">
        <v>19</v>
      </c>
      <c r="D100" s="91" t="s">
        <v>22</v>
      </c>
      <c r="E100" s="91" t="s">
        <v>177</v>
      </c>
      <c r="F100" s="90"/>
      <c r="G100" s="90"/>
      <c r="H100" s="90"/>
      <c r="I100" s="92"/>
      <c r="J100" s="92"/>
      <c r="K100" s="92"/>
      <c r="L100" s="98">
        <v>0</v>
      </c>
      <c r="M100" s="98">
        <v>0</v>
      </c>
      <c r="N100" s="98">
        <v>0</v>
      </c>
      <c r="O100" s="94">
        <v>0.5</v>
      </c>
      <c r="P100" s="94">
        <v>0.5</v>
      </c>
      <c r="Q100" s="94">
        <v>0</v>
      </c>
      <c r="R100" s="95">
        <v>10</v>
      </c>
      <c r="S100" s="95">
        <v>10</v>
      </c>
      <c r="T100" s="90"/>
      <c r="U100" s="95">
        <v>15</v>
      </c>
      <c r="V100" s="95">
        <v>15</v>
      </c>
      <c r="W100" s="90"/>
      <c r="X100" s="95">
        <v>20</v>
      </c>
      <c r="Y100" s="95">
        <v>80</v>
      </c>
      <c r="Z100" s="90"/>
      <c r="AA100" s="96"/>
      <c r="AB100" s="91" t="s">
        <v>411</v>
      </c>
      <c r="AC100" s="90" t="str">
        <f>Data!$AB100</f>
        <v>Yaoyao's C2 gives her 15 flat energy if she stays on field during her burst. Put this in "Bonus non-particle energy". Yaoyao's radishes only generate particles if the explosion hits an enemy.</v>
      </c>
      <c r="AD100" s="90"/>
      <c r="AE100" s="90"/>
    </row>
    <row r="101" spans="1:31" ht="14.25" customHeight="1" x14ac:dyDescent="0.25">
      <c r="A101" s="90" t="s">
        <v>412</v>
      </c>
      <c r="B101" s="90" t="s">
        <v>56</v>
      </c>
      <c r="C101" s="90" t="s">
        <v>19</v>
      </c>
      <c r="D101" s="91" t="s">
        <v>177</v>
      </c>
      <c r="E101" s="91" t="s">
        <v>177</v>
      </c>
      <c r="F101" s="95">
        <v>4</v>
      </c>
      <c r="G101" s="90"/>
      <c r="H101" s="90"/>
      <c r="I101" s="92"/>
      <c r="J101" s="92"/>
      <c r="K101" s="92"/>
      <c r="L101" s="93">
        <f>IF(Data!$F101=0,50%,(Data!$F101-ROUNDDOWN(Data!$F101,0))/Data!$F101)</f>
        <v>0</v>
      </c>
      <c r="M101" s="93">
        <f>IF(Data!$G101=0,50%,(Data!$G101-ROUNDDOWN(Data!$G101,0))/Data!$G101)</f>
        <v>0.5</v>
      </c>
      <c r="N101" s="93">
        <f>IF(Data!$H101=0,50%,(Data!$H101-ROUNDDOWN(Data!$H101,0))/Data!$H101)</f>
        <v>0.5</v>
      </c>
      <c r="O101" s="94">
        <v>0</v>
      </c>
      <c r="P101" s="94">
        <f>Data!$O101</f>
        <v>0</v>
      </c>
      <c r="Q101" s="94">
        <f>Data!$O101</f>
        <v>0</v>
      </c>
      <c r="R101" s="90"/>
      <c r="S101" s="90"/>
      <c r="T101" s="90"/>
      <c r="U101" s="95">
        <v>10</v>
      </c>
      <c r="V101" s="90"/>
      <c r="W101" s="90"/>
      <c r="X101" s="95">
        <v>18</v>
      </c>
      <c r="Y101" s="95">
        <v>70</v>
      </c>
      <c r="Z101" s="90"/>
      <c r="AA101" s="96"/>
      <c r="AB101" s="91" t="s">
        <v>177</v>
      </c>
      <c r="AC101" s="90" t="str">
        <f>Data!$AB101</f>
        <v/>
      </c>
      <c r="AD101" s="90"/>
      <c r="AE101" s="90"/>
    </row>
    <row r="102" spans="1:31" ht="14.25" customHeight="1" x14ac:dyDescent="0.25">
      <c r="A102" s="90" t="s">
        <v>413</v>
      </c>
      <c r="B102" s="90" t="s">
        <v>63</v>
      </c>
      <c r="C102" s="90" t="s">
        <v>19</v>
      </c>
      <c r="D102" s="91" t="s">
        <v>177</v>
      </c>
      <c r="E102" s="91" t="s">
        <v>177</v>
      </c>
      <c r="F102" s="95">
        <v>4</v>
      </c>
      <c r="G102" s="90"/>
      <c r="H102" s="90"/>
      <c r="I102" s="92"/>
      <c r="J102" s="92"/>
      <c r="K102" s="92"/>
      <c r="L102" s="93">
        <f>IF(Data!$F102=0,50%,(Data!$F102-ROUNDDOWN(Data!$F102,0))/Data!$F102)</f>
        <v>0</v>
      </c>
      <c r="M102" s="93">
        <f>IF(Data!$G102=0,50%,(Data!$G102-ROUNDDOWN(Data!$G102,0))/Data!$G102)</f>
        <v>0.5</v>
      </c>
      <c r="N102" s="93">
        <f>IF(Data!$H102=0,50%,(Data!$H102-ROUNDDOWN(Data!$H102,0))/Data!$H102)</f>
        <v>0.5</v>
      </c>
      <c r="O102" s="94">
        <v>0</v>
      </c>
      <c r="P102" s="94">
        <f>Data!$O102</f>
        <v>0</v>
      </c>
      <c r="Q102" s="94">
        <f>Data!$O102</f>
        <v>0</v>
      </c>
      <c r="R102" s="95">
        <v>0</v>
      </c>
      <c r="S102" s="90"/>
      <c r="T102" s="90"/>
      <c r="U102" s="95">
        <v>18</v>
      </c>
      <c r="V102" s="90"/>
      <c r="W102" s="90"/>
      <c r="X102" s="95">
        <v>15</v>
      </c>
      <c r="Y102" s="95">
        <v>60</v>
      </c>
      <c r="Z102" s="90"/>
      <c r="AA102" s="96"/>
      <c r="AB102" s="90" t="s">
        <v>414</v>
      </c>
      <c r="AC102" s="90" t="str">
        <f>Data!$AB102</f>
        <v>Yoimiya Skill can sometimes make 5 particles. If you want to assume this put 1.25 in Skill uses.</v>
      </c>
      <c r="AD102" s="90"/>
      <c r="AE102" s="90"/>
    </row>
    <row r="103" spans="1:31" ht="14.25" customHeight="1" x14ac:dyDescent="0.25">
      <c r="A103" s="90" t="s">
        <v>415</v>
      </c>
      <c r="B103" s="90" t="s">
        <v>46</v>
      </c>
      <c r="C103" s="90" t="s">
        <v>19</v>
      </c>
      <c r="D103" s="90"/>
      <c r="E103" s="90"/>
      <c r="F103" s="95">
        <v>4</v>
      </c>
      <c r="G103" s="90"/>
      <c r="H103" s="90"/>
      <c r="I103" s="92"/>
      <c r="J103" s="92"/>
      <c r="K103" s="92"/>
      <c r="L103" s="93">
        <v>0</v>
      </c>
      <c r="M103" s="93">
        <v>0</v>
      </c>
      <c r="N103" s="93">
        <v>0</v>
      </c>
      <c r="O103" s="94">
        <v>0</v>
      </c>
      <c r="P103" s="94">
        <v>0</v>
      </c>
      <c r="Q103" s="94">
        <v>0</v>
      </c>
      <c r="R103" s="95">
        <v>0</v>
      </c>
      <c r="S103" s="90"/>
      <c r="T103" s="90"/>
      <c r="U103" s="95">
        <v>15</v>
      </c>
      <c r="V103" s="90"/>
      <c r="W103" s="90"/>
      <c r="X103" s="95">
        <v>15</v>
      </c>
      <c r="Y103" s="95">
        <v>60</v>
      </c>
      <c r="Z103" s="90"/>
      <c r="AA103" s="96"/>
      <c r="AB103" s="90" t="s">
        <v>416</v>
      </c>
      <c r="AC103" s="90" t="str">
        <f>Data!$AB103</f>
        <v>Mizuki's skill only generates energy when she is on-field. Mizuki's C4 restores 20 energy per Burst. Put this in "Bonus non-particle energy".</v>
      </c>
      <c r="AD103" s="90"/>
      <c r="AE103" s="90"/>
    </row>
    <row r="104" spans="1:31" ht="14.25" customHeight="1" x14ac:dyDescent="0.25">
      <c r="A104" s="90" t="s">
        <v>417</v>
      </c>
      <c r="B104" s="90" t="s">
        <v>54</v>
      </c>
      <c r="C104" s="90" t="s">
        <v>19</v>
      </c>
      <c r="D104" s="90" t="s">
        <v>418</v>
      </c>
      <c r="E104" s="91" t="s">
        <v>419</v>
      </c>
      <c r="F104" s="95">
        <v>2</v>
      </c>
      <c r="G104" s="95">
        <v>2.5</v>
      </c>
      <c r="H104" s="95">
        <v>3</v>
      </c>
      <c r="I104" s="92"/>
      <c r="J104" s="92"/>
      <c r="K104" s="92"/>
      <c r="L104" s="93">
        <f>IF(Data!$F104=0,50%,(Data!$F104-ROUNDDOWN(Data!$F104,0))/Data!$F104)</f>
        <v>0</v>
      </c>
      <c r="M104" s="93">
        <f>IF(Data!$G104=0,50%,(Data!$G104-ROUNDDOWN(Data!$G104,0))/Data!$G104)</f>
        <v>0.2</v>
      </c>
      <c r="N104" s="93">
        <f>IF(Data!$H104=0,50%,(Data!$H104-ROUNDDOWN(Data!$H104,0))/Data!$H104)</f>
        <v>0</v>
      </c>
      <c r="O104" s="94">
        <v>0</v>
      </c>
      <c r="P104" s="94">
        <f>Data!$O104</f>
        <v>0</v>
      </c>
      <c r="Q104" s="94">
        <f>Data!$O104</f>
        <v>0</v>
      </c>
      <c r="R104" s="95">
        <v>0</v>
      </c>
      <c r="S104" s="90"/>
      <c r="T104" s="90"/>
      <c r="U104" s="95">
        <v>9</v>
      </c>
      <c r="V104" s="95">
        <v>9</v>
      </c>
      <c r="W104" s="95">
        <v>9</v>
      </c>
      <c r="X104" s="95">
        <v>15</v>
      </c>
      <c r="Y104" s="95">
        <v>60</v>
      </c>
      <c r="Z104" s="90"/>
      <c r="AA104" s="96"/>
      <c r="AB104" s="91" t="s">
        <v>177</v>
      </c>
      <c r="AC104" s="90" t="str">
        <f>Data!$AB104</f>
        <v/>
      </c>
      <c r="AD104" s="90"/>
      <c r="AE104" s="90"/>
    </row>
    <row r="105" spans="1:31" ht="14.25" customHeight="1" x14ac:dyDescent="0.25">
      <c r="A105" s="90" t="s">
        <v>420</v>
      </c>
      <c r="B105" s="90" t="s">
        <v>54</v>
      </c>
      <c r="C105" s="90" t="s">
        <v>19</v>
      </c>
      <c r="D105" s="90" t="s">
        <v>22</v>
      </c>
      <c r="E105" s="91" t="s">
        <v>421</v>
      </c>
      <c r="F105" s="90"/>
      <c r="G105" s="90"/>
      <c r="H105" s="90"/>
      <c r="I105" s="92"/>
      <c r="J105" s="92"/>
      <c r="K105" s="92"/>
      <c r="L105" s="93">
        <f>IF(Data!$F105=0,50%,(Data!$F105-ROUNDDOWN(Data!$F105,0))/Data!$F105)</f>
        <v>0.5</v>
      </c>
      <c r="M105" s="93">
        <f>IF(Data!$G105=0,50%,(Data!$G105-ROUNDDOWN(Data!$G105,0))/Data!$G105)</f>
        <v>0.5</v>
      </c>
      <c r="N105" s="93">
        <f>IF(Data!$H105=0,50%,(Data!$H105-ROUNDDOWN(Data!$H105,0))/Data!$H105)</f>
        <v>0.5</v>
      </c>
      <c r="O105" s="94">
        <v>0.25</v>
      </c>
      <c r="P105" s="94">
        <f>Data!$O105</f>
        <v>0.25</v>
      </c>
      <c r="Q105" s="94">
        <f>Data!$O105</f>
        <v>0.25</v>
      </c>
      <c r="R105" s="95">
        <v>30</v>
      </c>
      <c r="S105" s="95">
        <v>30</v>
      </c>
      <c r="T105" s="95">
        <v>0</v>
      </c>
      <c r="U105" s="95">
        <v>4</v>
      </c>
      <c r="V105" s="95">
        <v>12</v>
      </c>
      <c r="W105" s="95">
        <v>12</v>
      </c>
      <c r="X105" s="95">
        <v>12</v>
      </c>
      <c r="Y105" s="95">
        <v>40</v>
      </c>
      <c r="Z105" s="90"/>
      <c r="AA105" s="96"/>
      <c r="AB105" s="91" t="s">
        <v>422</v>
      </c>
      <c r="AC105" s="90" t="str">
        <f>Data!$AB105</f>
        <v>Zhongli's pillar is assumed to hit on every pulse, and distributes its particles based on time spent on field. If you don't want the pillar to hit, put "miss pillar".</v>
      </c>
      <c r="AD105" s="90"/>
      <c r="AE105" s="90"/>
    </row>
    <row r="106" spans="1:31" ht="14.25" customHeight="1" x14ac:dyDescent="0.25">
      <c r="A106" s="90"/>
      <c r="B106" s="90"/>
      <c r="C106" s="90"/>
      <c r="D106" s="90"/>
      <c r="E106" s="90"/>
      <c r="F106" s="95"/>
      <c r="G106" s="90"/>
      <c r="H106" s="90"/>
      <c r="I106" s="92"/>
      <c r="J106" s="92"/>
      <c r="K106" s="92"/>
      <c r="L106" s="93"/>
      <c r="M106" s="93"/>
      <c r="N106" s="93"/>
      <c r="O106" s="94"/>
      <c r="P106" s="94"/>
      <c r="Q106" s="94"/>
      <c r="R106" s="95"/>
      <c r="S106" s="90"/>
      <c r="T106" s="90"/>
      <c r="U106" s="95"/>
      <c r="V106" s="90"/>
      <c r="W106" s="90"/>
      <c r="X106" s="99"/>
      <c r="Y106" s="95"/>
      <c r="Z106" s="90"/>
      <c r="AA106" s="96"/>
      <c r="AB106" s="90"/>
      <c r="AC106" s="90" t="s">
        <v>328</v>
      </c>
      <c r="AD106" s="90"/>
      <c r="AE106" s="90"/>
    </row>
    <row r="107" spans="1:31" ht="14.25" customHeight="1" x14ac:dyDescent="0.25"/>
    <row r="108" spans="1:31" ht="14.25" customHeight="1" x14ac:dyDescent="0.25">
      <c r="F108" s="10" t="s">
        <v>423</v>
      </c>
      <c r="G108" s="10" t="s">
        <v>424</v>
      </c>
      <c r="H108" s="10" t="s">
        <v>425</v>
      </c>
      <c r="I108" s="100"/>
      <c r="J108" s="100"/>
      <c r="K108" s="100"/>
      <c r="L108" s="10" t="s">
        <v>426</v>
      </c>
      <c r="M108" s="10"/>
      <c r="N108" s="10"/>
      <c r="O108" s="101" t="s">
        <v>427</v>
      </c>
      <c r="P108" s="101"/>
      <c r="Q108" s="101"/>
      <c r="R108" s="10" t="s">
        <v>428</v>
      </c>
      <c r="S108" s="10"/>
      <c r="T108" s="10"/>
      <c r="U108" s="10" t="s">
        <v>429</v>
      </c>
      <c r="V108" s="10"/>
      <c r="W108" s="10"/>
      <c r="X108" s="10"/>
      <c r="Y108" s="10"/>
      <c r="Z108" s="10" t="s">
        <v>430</v>
      </c>
      <c r="AA108" s="10" t="s">
        <v>431</v>
      </c>
      <c r="AB108" s="10" t="s">
        <v>432</v>
      </c>
      <c r="AC108" s="10" t="s">
        <v>433</v>
      </c>
    </row>
    <row r="109" spans="1:31" ht="14.25" customHeight="1" x14ac:dyDescent="0.25"/>
    <row r="110" spans="1:31" ht="14.25" customHeight="1" x14ac:dyDescent="0.25"/>
    <row r="111" spans="1:31" ht="14.25" customHeight="1" x14ac:dyDescent="0.25"/>
    <row r="112" spans="1:31" ht="14.25" customHeight="1" x14ac:dyDescent="0.25"/>
    <row r="113" spans="1:14" ht="14.25" customHeight="1" x14ac:dyDescent="0.25"/>
    <row r="114" spans="1:14" ht="14.25" customHeight="1" x14ac:dyDescent="0.25"/>
    <row r="115" spans="1:14" ht="14.25" customHeight="1" x14ac:dyDescent="0.25">
      <c r="N115" t="str">
        <f>INDEX(Data!$AB$2:$AB$106,MATCH('Energy Recharge Calculator'!$N$7,Data!$A$2:$A$106,0))</f>
        <v/>
      </c>
    </row>
    <row r="116" spans="1:14" ht="14.25" customHeight="1" x14ac:dyDescent="0.25"/>
    <row r="117" spans="1:14" ht="14.25" customHeight="1" x14ac:dyDescent="0.25"/>
    <row r="118" spans="1:14" ht="14.25" customHeight="1" x14ac:dyDescent="0.25"/>
    <row r="119" spans="1:14" ht="14.25" customHeight="1" x14ac:dyDescent="0.25"/>
    <row r="120" spans="1:14" ht="14.25" customHeight="1" x14ac:dyDescent="0.25"/>
    <row r="121" spans="1:14" ht="14.25" customHeight="1" x14ac:dyDescent="0.25">
      <c r="A121" s="132" cm="1">
        <f t="array" ref="A121:A225">Data!$AA$2:$AA$106</f>
        <v>0</v>
      </c>
      <c r="H121" s="132" cm="1">
        <f t="array" ref="H121:H225">Data!$AA$2:$AA$106</f>
        <v>0</v>
      </c>
      <c r="I121" s="132" cm="1">
        <f t="array" ref="I121:I225">Data!$AA$2:$AA$106</f>
        <v>0</v>
      </c>
    </row>
    <row r="122" spans="1:14" ht="14.25" customHeight="1" x14ac:dyDescent="0.25">
      <c r="A122">
        <v>0</v>
      </c>
      <c r="H122">
        <v>0</v>
      </c>
      <c r="I122">
        <v>0</v>
      </c>
    </row>
    <row r="123" spans="1:14" ht="14.25" customHeight="1" x14ac:dyDescent="0.25">
      <c r="A123">
        <v>0</v>
      </c>
      <c r="H123">
        <v>0</v>
      </c>
      <c r="I123">
        <v>0</v>
      </c>
    </row>
    <row r="124" spans="1:14" ht="14.25" customHeight="1" x14ac:dyDescent="0.25">
      <c r="A124">
        <v>0</v>
      </c>
      <c r="H124">
        <v>0</v>
      </c>
      <c r="I124">
        <v>0</v>
      </c>
    </row>
    <row r="125" spans="1:14" ht="14.25" customHeight="1" x14ac:dyDescent="0.25">
      <c r="A125">
        <v>0</v>
      </c>
      <c r="H125">
        <v>0</v>
      </c>
      <c r="I125">
        <v>0</v>
      </c>
      <c r="N125" s="132" cm="1">
        <f t="array" ref="N125:N229">(Data!$AA$2:$AA$106)</f>
        <v>0</v>
      </c>
    </row>
    <row r="126" spans="1:14" ht="14.25" customHeight="1" x14ac:dyDescent="0.25">
      <c r="A126">
        <v>0</v>
      </c>
      <c r="H126">
        <v>0</v>
      </c>
      <c r="I126">
        <v>0</v>
      </c>
      <c r="N126">
        <v>0</v>
      </c>
    </row>
    <row r="127" spans="1:14" ht="14.25" customHeight="1" x14ac:dyDescent="0.25">
      <c r="A127">
        <v>0</v>
      </c>
      <c r="H127">
        <v>0</v>
      </c>
      <c r="I127">
        <v>0</v>
      </c>
      <c r="N127">
        <v>0</v>
      </c>
    </row>
    <row r="128" spans="1:14" ht="14.25" customHeight="1" x14ac:dyDescent="0.25">
      <c r="A128">
        <v>0</v>
      </c>
      <c r="H128">
        <v>0</v>
      </c>
      <c r="I128">
        <v>0</v>
      </c>
      <c r="N128">
        <v>0</v>
      </c>
    </row>
    <row r="129" spans="1:27" ht="14.25" customHeight="1" x14ac:dyDescent="0.25">
      <c r="A129">
        <v>0</v>
      </c>
      <c r="H129">
        <v>0</v>
      </c>
      <c r="I129">
        <v>0</v>
      </c>
      <c r="N129">
        <v>0</v>
      </c>
    </row>
    <row r="130" spans="1:27" ht="14.25" customHeight="1" x14ac:dyDescent="0.25">
      <c r="A130">
        <v>0</v>
      </c>
      <c r="H130">
        <v>0</v>
      </c>
      <c r="I130">
        <v>0</v>
      </c>
      <c r="N130">
        <v>0</v>
      </c>
    </row>
    <row r="131" spans="1:27" ht="14.25" customHeight="1" x14ac:dyDescent="0.25">
      <c r="A131">
        <v>0</v>
      </c>
      <c r="H131">
        <v>0</v>
      </c>
      <c r="I131">
        <v>0</v>
      </c>
      <c r="N131">
        <v>0</v>
      </c>
    </row>
    <row r="132" spans="1:27" ht="14.25" customHeight="1" x14ac:dyDescent="0.25">
      <c r="A132">
        <v>0</v>
      </c>
      <c r="H132">
        <v>0</v>
      </c>
      <c r="I132">
        <v>0</v>
      </c>
      <c r="N132">
        <v>0</v>
      </c>
    </row>
    <row r="133" spans="1:27" ht="14.25" customHeight="1" x14ac:dyDescent="0.25">
      <c r="A133">
        <v>0</v>
      </c>
      <c r="H133">
        <v>0</v>
      </c>
      <c r="I133">
        <v>0</v>
      </c>
      <c r="N133">
        <v>0</v>
      </c>
    </row>
    <row r="134" spans="1:27" ht="14.25" customHeight="1" x14ac:dyDescent="0.25">
      <c r="A134">
        <v>0</v>
      </c>
      <c r="B134" s="178" t="s">
        <v>434</v>
      </c>
      <c r="C134" s="11" t="s">
        <v>435</v>
      </c>
      <c r="D134" s="11">
        <v>3</v>
      </c>
      <c r="H134">
        <v>0</v>
      </c>
      <c r="I134" s="100">
        <v>0</v>
      </c>
      <c r="J134" s="100"/>
      <c r="K134" s="100"/>
      <c r="N134">
        <v>0</v>
      </c>
      <c r="O134" s="103"/>
      <c r="P134" s="101"/>
      <c r="Q134" s="101"/>
      <c r="AA134" s="15"/>
    </row>
    <row r="135" spans="1:27" ht="14.25" customHeight="1" x14ac:dyDescent="0.25">
      <c r="A135">
        <v>0</v>
      </c>
      <c r="B135" s="154"/>
      <c r="C135" s="11" t="s">
        <v>436</v>
      </c>
      <c r="D135" s="11">
        <v>2</v>
      </c>
      <c r="H135">
        <v>0</v>
      </c>
      <c r="I135" s="100">
        <v>0</v>
      </c>
      <c r="J135" s="100"/>
      <c r="K135" s="100"/>
      <c r="N135">
        <v>0</v>
      </c>
      <c r="O135" s="103"/>
      <c r="P135" s="101"/>
      <c r="Q135" s="101"/>
      <c r="AA135" s="15"/>
    </row>
    <row r="136" spans="1:27" ht="14.25" customHeight="1" x14ac:dyDescent="0.25">
      <c r="A136">
        <v>0</v>
      </c>
      <c r="B136" s="154"/>
      <c r="C136" s="11" t="s">
        <v>437</v>
      </c>
      <c r="D136" s="11">
        <v>1</v>
      </c>
      <c r="H136">
        <v>0</v>
      </c>
      <c r="I136" s="100">
        <v>0</v>
      </c>
      <c r="J136" s="100"/>
      <c r="K136" s="100"/>
      <c r="N136">
        <v>0</v>
      </c>
      <c r="O136" s="103"/>
      <c r="P136" s="101"/>
      <c r="Q136" s="101"/>
      <c r="AA136" s="15"/>
    </row>
    <row r="137" spans="1:27" ht="14.25" customHeight="1" x14ac:dyDescent="0.25">
      <c r="A137">
        <v>0</v>
      </c>
      <c r="B137" s="154"/>
      <c r="C137" s="11" t="s">
        <v>438</v>
      </c>
      <c r="D137" s="11">
        <v>6</v>
      </c>
      <c r="H137">
        <v>0</v>
      </c>
      <c r="I137" s="100">
        <v>0</v>
      </c>
      <c r="J137" s="100"/>
      <c r="K137" s="100"/>
      <c r="N137">
        <v>0</v>
      </c>
      <c r="O137" s="103"/>
      <c r="P137" s="101"/>
      <c r="Q137" s="101"/>
      <c r="AA137" s="15"/>
    </row>
    <row r="138" spans="1:27" ht="14.25" customHeight="1" x14ac:dyDescent="0.25">
      <c r="A138">
        <v>0</v>
      </c>
      <c r="B138" s="178" t="s">
        <v>439</v>
      </c>
      <c r="C138" s="11" t="s">
        <v>435</v>
      </c>
      <c r="D138" s="11">
        <f>D134*OffField</f>
        <v>1.7999999999999998</v>
      </c>
      <c r="H138">
        <v>0</v>
      </c>
      <c r="I138" s="100">
        <v>0</v>
      </c>
      <c r="J138" s="100"/>
      <c r="K138" s="100"/>
      <c r="N138">
        <v>0</v>
      </c>
      <c r="O138" s="103"/>
      <c r="P138" s="101"/>
      <c r="Q138" s="101"/>
      <c r="AA138" s="15"/>
    </row>
    <row r="139" spans="1:27" ht="14.25" customHeight="1" x14ac:dyDescent="0.25">
      <c r="A139">
        <v>0</v>
      </c>
      <c r="B139" s="154"/>
      <c r="C139" s="11" t="s">
        <v>436</v>
      </c>
      <c r="D139" s="11">
        <f>D135*OffField</f>
        <v>1.2</v>
      </c>
      <c r="H139">
        <v>0</v>
      </c>
      <c r="I139" s="100">
        <v>0</v>
      </c>
      <c r="J139" s="100"/>
      <c r="K139" s="100"/>
      <c r="N139">
        <v>0</v>
      </c>
      <c r="O139" s="103"/>
      <c r="P139" s="101"/>
      <c r="Q139" s="101"/>
      <c r="AA139" s="15"/>
    </row>
    <row r="140" spans="1:27" ht="14.25" customHeight="1" x14ac:dyDescent="0.25">
      <c r="A140">
        <v>0</v>
      </c>
      <c r="B140" s="154"/>
      <c r="C140" s="11" t="s">
        <v>437</v>
      </c>
      <c r="D140" s="11">
        <f>D136*OffField</f>
        <v>0.6</v>
      </c>
      <c r="H140">
        <v>0</v>
      </c>
      <c r="I140" s="100">
        <v>0</v>
      </c>
      <c r="J140" s="100"/>
      <c r="K140" s="100"/>
      <c r="N140">
        <v>0</v>
      </c>
      <c r="O140" s="103"/>
      <c r="P140" s="101"/>
      <c r="Q140" s="101"/>
      <c r="AA140" s="15"/>
    </row>
    <row r="141" spans="1:27" ht="14.25" customHeight="1" x14ac:dyDescent="0.25">
      <c r="A141">
        <v>0</v>
      </c>
      <c r="B141" s="154"/>
      <c r="C141" s="11" t="s">
        <v>438</v>
      </c>
      <c r="D141" s="11">
        <f>D137*OffField</f>
        <v>3.5999999999999996</v>
      </c>
      <c r="H141">
        <v>0</v>
      </c>
      <c r="I141" s="100">
        <v>0</v>
      </c>
      <c r="J141" s="100"/>
      <c r="K141" s="100"/>
      <c r="N141">
        <v>0</v>
      </c>
      <c r="O141" s="103"/>
      <c r="P141" s="101"/>
      <c r="Q141" s="101"/>
      <c r="AA141" s="15"/>
    </row>
    <row r="142" spans="1:27" ht="14.25" customHeight="1" x14ac:dyDescent="0.25">
      <c r="A142">
        <v>0</v>
      </c>
      <c r="H142">
        <v>0</v>
      </c>
      <c r="I142" s="100">
        <v>0</v>
      </c>
      <c r="J142" s="100"/>
      <c r="K142" s="100"/>
      <c r="N142">
        <v>0</v>
      </c>
      <c r="O142" s="103"/>
      <c r="P142" s="101"/>
      <c r="Q142" s="101"/>
      <c r="AA142" s="15"/>
    </row>
    <row r="143" spans="1:27" ht="14.25" hidden="1" customHeight="1" x14ac:dyDescent="0.25">
      <c r="A143">
        <v>0</v>
      </c>
      <c r="C143" s="11" t="s">
        <v>440</v>
      </c>
      <c r="D143" s="11">
        <v>7</v>
      </c>
      <c r="H143">
        <v>0</v>
      </c>
      <c r="I143" s="100">
        <v>0</v>
      </c>
      <c r="J143" s="100"/>
      <c r="K143" s="100"/>
      <c r="N143">
        <v>0</v>
      </c>
      <c r="O143" s="103"/>
      <c r="P143" s="101"/>
      <c r="Q143" s="101"/>
      <c r="AA143" s="15"/>
    </row>
    <row r="144" spans="1:27" ht="14.25" hidden="1" customHeight="1" x14ac:dyDescent="0.25">
      <c r="A144">
        <v>0</v>
      </c>
      <c r="C144" s="11" t="s">
        <v>441</v>
      </c>
      <c r="D144" s="11">
        <v>90</v>
      </c>
      <c r="H144">
        <v>0</v>
      </c>
      <c r="I144" s="100">
        <v>0</v>
      </c>
      <c r="J144" s="100"/>
      <c r="K144" s="100"/>
      <c r="N144">
        <v>0</v>
      </c>
      <c r="O144" s="103"/>
      <c r="P144" s="101"/>
      <c r="Q144" s="101"/>
      <c r="AA144" s="15"/>
    </row>
    <row r="145" spans="1:27" ht="14.25" hidden="1" customHeight="1" x14ac:dyDescent="0.25">
      <c r="A145">
        <v>0</v>
      </c>
      <c r="H145">
        <v>0</v>
      </c>
      <c r="I145" s="100">
        <v>0</v>
      </c>
      <c r="J145" s="100"/>
      <c r="K145" s="100"/>
      <c r="N145">
        <v>0</v>
      </c>
      <c r="O145" s="103"/>
      <c r="P145" s="101"/>
      <c r="Q145" s="101"/>
      <c r="AA145" s="15"/>
    </row>
    <row r="146" spans="1:27" ht="14.25" customHeight="1" x14ac:dyDescent="0.25">
      <c r="A146">
        <v>0</v>
      </c>
      <c r="C146" s="11" t="s">
        <v>435</v>
      </c>
      <c r="D146" s="11">
        <v>3</v>
      </c>
      <c r="H146">
        <v>0</v>
      </c>
      <c r="I146" s="100">
        <v>0</v>
      </c>
      <c r="J146" s="100"/>
      <c r="K146" s="100"/>
      <c r="N146">
        <v>0</v>
      </c>
      <c r="O146" s="103"/>
      <c r="P146" s="101"/>
      <c r="Q146" s="101"/>
      <c r="AA146" s="15"/>
    </row>
    <row r="147" spans="1:27" ht="14.25" customHeight="1" x14ac:dyDescent="0.25">
      <c r="A147">
        <v>0</v>
      </c>
      <c r="C147" s="11" t="s">
        <v>436</v>
      </c>
      <c r="D147" s="11">
        <v>2</v>
      </c>
      <c r="H147">
        <v>0</v>
      </c>
      <c r="I147" s="100">
        <v>0</v>
      </c>
      <c r="J147" s="100"/>
      <c r="K147" s="100"/>
      <c r="N147">
        <v>0</v>
      </c>
      <c r="O147" s="103"/>
      <c r="P147" s="101"/>
      <c r="Q147" s="101"/>
      <c r="AA147" s="15"/>
    </row>
    <row r="148" spans="1:27" ht="14.25" customHeight="1" x14ac:dyDescent="0.25">
      <c r="A148">
        <v>0</v>
      </c>
      <c r="C148" s="11" t="s">
        <v>437</v>
      </c>
      <c r="D148" s="11">
        <v>1</v>
      </c>
      <c r="H148">
        <v>0</v>
      </c>
      <c r="I148" s="100">
        <v>0</v>
      </c>
      <c r="J148" s="100"/>
      <c r="K148" s="100"/>
      <c r="N148">
        <v>0</v>
      </c>
      <c r="O148" s="103"/>
      <c r="P148" s="101"/>
      <c r="Q148" s="101"/>
      <c r="AA148" s="15"/>
    </row>
    <row r="149" spans="1:27" ht="14.25" customHeight="1" x14ac:dyDescent="0.25">
      <c r="A149">
        <v>0</v>
      </c>
      <c r="C149" s="11" t="s">
        <v>434</v>
      </c>
      <c r="D149" s="11">
        <v>1</v>
      </c>
      <c r="H149">
        <v>0</v>
      </c>
      <c r="I149" s="100">
        <v>0</v>
      </c>
      <c r="J149" s="100"/>
      <c r="K149" s="100"/>
      <c r="N149">
        <v>0</v>
      </c>
      <c r="O149" s="103"/>
      <c r="P149" s="101"/>
      <c r="Q149" s="101"/>
      <c r="AA149" s="15"/>
    </row>
    <row r="150" spans="1:27" ht="14.25" customHeight="1" x14ac:dyDescent="0.25">
      <c r="A150">
        <v>0</v>
      </c>
      <c r="C150" s="11" t="s">
        <v>439</v>
      </c>
      <c r="D150" s="11">
        <f>0.6+MIN(2,COUNTIF('Energy Recharge Calculator'!E7:N7,"Nobody"))*0.1</f>
        <v>0.6</v>
      </c>
      <c r="H150">
        <v>0</v>
      </c>
      <c r="I150" s="100">
        <v>0</v>
      </c>
      <c r="J150" s="100"/>
      <c r="K150" s="100"/>
      <c r="N150">
        <v>0</v>
      </c>
      <c r="O150" s="103"/>
      <c r="P150" s="101"/>
      <c r="Q150" s="101"/>
      <c r="AA150" s="15"/>
    </row>
    <row r="151" spans="1:27" ht="14.25" customHeight="1" x14ac:dyDescent="0.25">
      <c r="A151">
        <v>0</v>
      </c>
      <c r="H151">
        <v>0</v>
      </c>
      <c r="I151" s="100">
        <v>0</v>
      </c>
      <c r="J151" s="100"/>
      <c r="K151" s="100"/>
      <c r="N151">
        <v>0</v>
      </c>
      <c r="O151" s="103"/>
      <c r="P151" s="101"/>
      <c r="Q151" s="101"/>
      <c r="AA151" s="15"/>
    </row>
    <row r="152" spans="1:27" ht="14.25" customHeight="1" x14ac:dyDescent="0.25">
      <c r="A152">
        <v>0</v>
      </c>
      <c r="H152">
        <v>0</v>
      </c>
      <c r="I152" s="100">
        <v>0</v>
      </c>
      <c r="J152" s="100"/>
      <c r="K152" s="100"/>
      <c r="N152">
        <v>0</v>
      </c>
      <c r="O152" s="103"/>
      <c r="P152" s="101"/>
      <c r="Q152" s="101"/>
      <c r="AA152" s="15"/>
    </row>
    <row r="153" spans="1:27" ht="14.25" customHeight="1" x14ac:dyDescent="0.25">
      <c r="A153">
        <v>0</v>
      </c>
      <c r="H153">
        <v>0</v>
      </c>
      <c r="I153" s="100">
        <v>0</v>
      </c>
      <c r="J153" s="100"/>
      <c r="K153" s="100"/>
      <c r="N153">
        <v>0</v>
      </c>
      <c r="O153" s="103"/>
      <c r="P153" s="101"/>
      <c r="Q153" s="101"/>
      <c r="AA153" s="15"/>
    </row>
    <row r="154" spans="1:27" ht="14.25" customHeight="1" x14ac:dyDescent="0.25">
      <c r="A154">
        <v>0</v>
      </c>
      <c r="H154">
        <v>0</v>
      </c>
      <c r="I154" s="100">
        <v>0</v>
      </c>
      <c r="J154" s="100"/>
      <c r="K154" s="100"/>
      <c r="N154">
        <v>0</v>
      </c>
      <c r="O154" s="103"/>
      <c r="P154" s="101"/>
      <c r="Q154" s="101"/>
      <c r="AA154" s="15"/>
    </row>
    <row r="155" spans="1:27" ht="14.25" customHeight="1" x14ac:dyDescent="0.25">
      <c r="A155">
        <v>0</v>
      </c>
      <c r="H155">
        <v>0</v>
      </c>
      <c r="I155" s="100">
        <v>0</v>
      </c>
      <c r="J155" s="100"/>
      <c r="K155" s="100"/>
      <c r="N155">
        <v>0</v>
      </c>
      <c r="O155" s="103"/>
      <c r="P155" s="101"/>
      <c r="Q155" s="101"/>
      <c r="AA155" s="15"/>
    </row>
    <row r="156" spans="1:27" ht="14.25" customHeight="1" x14ac:dyDescent="0.25">
      <c r="A156">
        <v>0</v>
      </c>
      <c r="H156">
        <v>0</v>
      </c>
      <c r="I156" s="100">
        <v>0</v>
      </c>
      <c r="J156" s="100"/>
      <c r="K156" s="100"/>
      <c r="N156">
        <v>0</v>
      </c>
      <c r="O156" s="103"/>
      <c r="P156" s="101"/>
      <c r="Q156" s="101"/>
      <c r="AA156" s="15"/>
    </row>
    <row r="157" spans="1:27" ht="14.25" customHeight="1" x14ac:dyDescent="0.25">
      <c r="A157">
        <v>0</v>
      </c>
      <c r="H157">
        <v>0</v>
      </c>
      <c r="I157" s="100">
        <v>0</v>
      </c>
      <c r="J157" s="100"/>
      <c r="K157" s="100"/>
      <c r="N157">
        <v>0</v>
      </c>
      <c r="O157" s="103"/>
      <c r="P157" s="101"/>
      <c r="Q157" s="101"/>
      <c r="AA157" s="15"/>
    </row>
    <row r="158" spans="1:27" ht="14.25" customHeight="1" x14ac:dyDescent="0.25">
      <c r="A158">
        <v>0</v>
      </c>
      <c r="H158">
        <v>0</v>
      </c>
      <c r="I158" s="100">
        <v>0</v>
      </c>
      <c r="J158" s="100"/>
      <c r="K158" s="100"/>
      <c r="N158">
        <v>0</v>
      </c>
      <c r="O158" s="103"/>
      <c r="P158" s="101"/>
      <c r="Q158" s="101"/>
      <c r="AA158" s="15"/>
    </row>
    <row r="159" spans="1:27" ht="14.25" customHeight="1" x14ac:dyDescent="0.25">
      <c r="A159">
        <v>0</v>
      </c>
      <c r="H159">
        <v>0</v>
      </c>
      <c r="I159" s="100">
        <v>0</v>
      </c>
      <c r="J159" s="100"/>
      <c r="K159" s="100"/>
      <c r="N159">
        <v>0</v>
      </c>
      <c r="O159" s="103"/>
      <c r="P159" s="101"/>
      <c r="Q159" s="101"/>
      <c r="AA159" s="15"/>
    </row>
    <row r="160" spans="1:27" ht="14.25" customHeight="1" x14ac:dyDescent="0.25">
      <c r="A160">
        <v>0</v>
      </c>
      <c r="H160">
        <v>0</v>
      </c>
      <c r="I160" s="100">
        <v>0</v>
      </c>
      <c r="J160" s="100"/>
      <c r="K160" s="100"/>
      <c r="N160">
        <v>0</v>
      </c>
      <c r="O160" s="103"/>
      <c r="P160" s="101"/>
      <c r="Q160" s="101"/>
      <c r="AA160" s="15"/>
    </row>
    <row r="161" spans="1:27" ht="14.25" customHeight="1" x14ac:dyDescent="0.25">
      <c r="A161">
        <v>0</v>
      </c>
      <c r="H161">
        <v>0</v>
      </c>
      <c r="I161" s="100">
        <v>0</v>
      </c>
      <c r="J161" s="100"/>
      <c r="K161" s="100"/>
      <c r="N161">
        <v>0</v>
      </c>
      <c r="O161" s="103"/>
      <c r="P161" s="101"/>
      <c r="Q161" s="101"/>
      <c r="AA161" s="15"/>
    </row>
    <row r="162" spans="1:27" ht="14.25" customHeight="1" x14ac:dyDescent="0.25">
      <c r="A162">
        <v>0</v>
      </c>
      <c r="H162">
        <v>0</v>
      </c>
      <c r="I162" s="100">
        <v>0</v>
      </c>
      <c r="J162" s="100"/>
      <c r="K162" s="100"/>
      <c r="N162">
        <v>0</v>
      </c>
      <c r="O162" s="103"/>
      <c r="P162" s="101"/>
      <c r="Q162" s="101"/>
      <c r="AA162" s="15"/>
    </row>
    <row r="163" spans="1:27" ht="14.25" customHeight="1" x14ac:dyDescent="0.25">
      <c r="A163">
        <v>0</v>
      </c>
      <c r="H163">
        <v>0</v>
      </c>
      <c r="I163" s="100">
        <v>0</v>
      </c>
      <c r="J163" s="100"/>
      <c r="K163" s="100"/>
      <c r="N163">
        <v>0</v>
      </c>
      <c r="O163" s="103"/>
      <c r="P163" s="101"/>
      <c r="Q163" s="101"/>
      <c r="AA163" s="15"/>
    </row>
    <row r="164" spans="1:27" ht="14.25" customHeight="1" x14ac:dyDescent="0.25">
      <c r="A164">
        <v>0</v>
      </c>
      <c r="H164">
        <v>0</v>
      </c>
      <c r="I164" s="100">
        <v>0</v>
      </c>
      <c r="J164" s="100"/>
      <c r="K164" s="100"/>
      <c r="N164">
        <v>0</v>
      </c>
      <c r="O164" s="103"/>
      <c r="P164" s="101"/>
      <c r="Q164" s="101"/>
      <c r="AA164" s="15"/>
    </row>
    <row r="165" spans="1:27" ht="14.25" customHeight="1" x14ac:dyDescent="0.25">
      <c r="A165">
        <v>0</v>
      </c>
      <c r="H165">
        <v>0</v>
      </c>
      <c r="I165" s="100">
        <v>0</v>
      </c>
      <c r="J165" s="100"/>
      <c r="K165" s="100"/>
      <c r="N165">
        <v>0</v>
      </c>
      <c r="O165" s="103"/>
      <c r="P165" s="101"/>
      <c r="Q165" s="101"/>
      <c r="AA165" s="15"/>
    </row>
    <row r="166" spans="1:27" ht="14.25" customHeight="1" x14ac:dyDescent="0.25">
      <c r="A166">
        <v>0</v>
      </c>
      <c r="H166">
        <v>0</v>
      </c>
      <c r="I166" s="100">
        <v>0</v>
      </c>
      <c r="J166" s="100"/>
      <c r="K166" s="100"/>
      <c r="N166">
        <v>0</v>
      </c>
      <c r="O166" s="103"/>
      <c r="P166" s="101"/>
      <c r="Q166" s="101"/>
      <c r="AA166" s="15"/>
    </row>
    <row r="167" spans="1:27" ht="14.25" customHeight="1" x14ac:dyDescent="0.25">
      <c r="A167">
        <v>0</v>
      </c>
      <c r="H167">
        <v>0</v>
      </c>
      <c r="I167" s="100">
        <v>0</v>
      </c>
      <c r="J167" s="100"/>
      <c r="K167" s="100"/>
      <c r="N167">
        <v>0</v>
      </c>
      <c r="O167" s="103"/>
      <c r="P167" s="101"/>
      <c r="Q167" s="101"/>
      <c r="AA167" s="15"/>
    </row>
    <row r="168" spans="1:27" ht="14.25" customHeight="1" x14ac:dyDescent="0.25">
      <c r="A168">
        <v>0</v>
      </c>
      <c r="H168">
        <v>0</v>
      </c>
      <c r="I168" s="100">
        <v>0</v>
      </c>
      <c r="J168" s="100"/>
      <c r="K168" s="100"/>
      <c r="N168">
        <v>0</v>
      </c>
      <c r="O168" s="103"/>
      <c r="P168" s="101"/>
      <c r="Q168" s="101"/>
      <c r="AA168" s="15"/>
    </row>
    <row r="169" spans="1:27" ht="14.25" customHeight="1" x14ac:dyDescent="0.25">
      <c r="A169">
        <v>0</v>
      </c>
      <c r="H169">
        <v>0</v>
      </c>
      <c r="I169" s="100">
        <v>0</v>
      </c>
      <c r="J169" s="100"/>
      <c r="K169" s="100"/>
      <c r="N169">
        <v>0</v>
      </c>
      <c r="O169" s="103"/>
      <c r="P169" s="101"/>
      <c r="Q169" s="101"/>
      <c r="AA169" s="15"/>
    </row>
    <row r="170" spans="1:27" ht="14.25" customHeight="1" x14ac:dyDescent="0.25">
      <c r="A170">
        <v>0</v>
      </c>
      <c r="H170">
        <v>0</v>
      </c>
      <c r="I170" s="100">
        <v>0</v>
      </c>
      <c r="J170" s="100"/>
      <c r="K170" s="100"/>
      <c r="N170">
        <v>0</v>
      </c>
      <c r="O170" s="103"/>
      <c r="P170" s="101"/>
      <c r="Q170" s="101"/>
      <c r="AA170" s="15"/>
    </row>
    <row r="171" spans="1:27" ht="14.25" customHeight="1" x14ac:dyDescent="0.25">
      <c r="A171">
        <v>0</v>
      </c>
      <c r="H171">
        <v>0</v>
      </c>
      <c r="I171" s="100">
        <v>0</v>
      </c>
      <c r="J171" s="100"/>
      <c r="K171" s="100"/>
      <c r="N171">
        <v>0</v>
      </c>
      <c r="O171" s="103"/>
      <c r="P171" s="101"/>
      <c r="Q171" s="101"/>
      <c r="AA171" s="15"/>
    </row>
    <row r="172" spans="1:27" ht="14.25" customHeight="1" x14ac:dyDescent="0.25">
      <c r="A172">
        <v>0</v>
      </c>
      <c r="H172">
        <v>0</v>
      </c>
      <c r="I172" s="100">
        <v>0</v>
      </c>
      <c r="J172" s="100"/>
      <c r="K172" s="100"/>
      <c r="N172">
        <v>0</v>
      </c>
      <c r="O172" s="103"/>
      <c r="P172" s="101"/>
      <c r="Q172" s="101"/>
      <c r="AA172" s="15"/>
    </row>
    <row r="173" spans="1:27" ht="14.25" customHeight="1" x14ac:dyDescent="0.25">
      <c r="A173">
        <v>0</v>
      </c>
      <c r="H173">
        <v>0</v>
      </c>
      <c r="I173" s="100">
        <v>0</v>
      </c>
      <c r="J173" s="100"/>
      <c r="K173" s="100"/>
      <c r="N173">
        <v>0</v>
      </c>
      <c r="O173" s="103"/>
      <c r="P173" s="101"/>
      <c r="Q173" s="101"/>
      <c r="AA173" s="15"/>
    </row>
    <row r="174" spans="1:27" ht="14.25" customHeight="1" x14ac:dyDescent="0.25">
      <c r="A174">
        <v>0</v>
      </c>
      <c r="H174">
        <v>0</v>
      </c>
      <c r="I174" s="100">
        <v>0</v>
      </c>
      <c r="J174" s="100"/>
      <c r="K174" s="100"/>
      <c r="N174">
        <v>0</v>
      </c>
      <c r="O174" s="103"/>
      <c r="P174" s="101"/>
      <c r="Q174" s="101"/>
      <c r="AA174" s="15"/>
    </row>
    <row r="175" spans="1:27" ht="14.25" customHeight="1" x14ac:dyDescent="0.25">
      <c r="A175">
        <v>0</v>
      </c>
      <c r="H175">
        <v>0</v>
      </c>
      <c r="I175" s="100">
        <v>0</v>
      </c>
      <c r="J175" s="100"/>
      <c r="K175" s="100"/>
      <c r="N175">
        <v>0</v>
      </c>
      <c r="O175" s="103"/>
      <c r="P175" s="101"/>
      <c r="Q175" s="101"/>
      <c r="AA175" s="15"/>
    </row>
    <row r="176" spans="1:27" ht="14.25" customHeight="1" x14ac:dyDescent="0.25">
      <c r="A176">
        <v>0</v>
      </c>
      <c r="H176">
        <v>0</v>
      </c>
      <c r="I176" s="100">
        <v>0</v>
      </c>
      <c r="J176" s="100"/>
      <c r="K176" s="100"/>
      <c r="N176">
        <v>0</v>
      </c>
      <c r="O176" s="103"/>
      <c r="P176" s="101"/>
      <c r="Q176" s="101"/>
      <c r="AA176" s="15"/>
    </row>
    <row r="177" spans="1:27" ht="14.25" customHeight="1" x14ac:dyDescent="0.25">
      <c r="A177">
        <v>0</v>
      </c>
      <c r="H177">
        <v>0</v>
      </c>
      <c r="I177" s="100">
        <v>0</v>
      </c>
      <c r="J177" s="100"/>
      <c r="K177" s="100"/>
      <c r="N177">
        <v>0</v>
      </c>
      <c r="O177" s="103"/>
      <c r="P177" s="101"/>
      <c r="Q177" s="101"/>
      <c r="AA177" s="15"/>
    </row>
    <row r="178" spans="1:27" ht="14.25" customHeight="1" x14ac:dyDescent="0.25">
      <c r="A178">
        <v>0</v>
      </c>
      <c r="H178">
        <v>0</v>
      </c>
      <c r="I178" s="100">
        <v>0</v>
      </c>
      <c r="J178" s="100"/>
      <c r="K178" s="100"/>
      <c r="N178">
        <v>0</v>
      </c>
      <c r="O178" s="103"/>
      <c r="P178" s="101"/>
      <c r="Q178" s="101"/>
      <c r="AA178" s="15"/>
    </row>
    <row r="179" spans="1:27" ht="14.25" customHeight="1" x14ac:dyDescent="0.25">
      <c r="A179">
        <v>0</v>
      </c>
      <c r="H179">
        <v>0</v>
      </c>
      <c r="I179" s="100">
        <v>0</v>
      </c>
      <c r="J179" s="100"/>
      <c r="K179" s="100"/>
      <c r="N179">
        <v>0</v>
      </c>
      <c r="O179" s="103"/>
      <c r="P179" s="101"/>
      <c r="Q179" s="101"/>
      <c r="AA179" s="15"/>
    </row>
    <row r="180" spans="1:27" ht="14.25" customHeight="1" x14ac:dyDescent="0.25">
      <c r="A180">
        <v>0</v>
      </c>
      <c r="H180">
        <v>0</v>
      </c>
      <c r="I180" s="100">
        <v>0</v>
      </c>
      <c r="J180" s="100"/>
      <c r="K180" s="100"/>
      <c r="N180">
        <v>0</v>
      </c>
      <c r="O180" s="103"/>
      <c r="P180" s="101"/>
      <c r="Q180" s="101"/>
      <c r="AA180" s="15"/>
    </row>
    <row r="181" spans="1:27" ht="14.25" customHeight="1" x14ac:dyDescent="0.25">
      <c r="A181">
        <v>0</v>
      </c>
      <c r="H181">
        <v>0</v>
      </c>
      <c r="I181" s="100">
        <v>0</v>
      </c>
      <c r="J181" s="100"/>
      <c r="K181" s="100"/>
      <c r="N181">
        <v>0</v>
      </c>
      <c r="O181" s="103"/>
      <c r="P181" s="101"/>
      <c r="Q181" s="101"/>
      <c r="AA181" s="15"/>
    </row>
    <row r="182" spans="1:27" ht="14.25" customHeight="1" x14ac:dyDescent="0.25">
      <c r="A182">
        <v>0</v>
      </c>
      <c r="H182">
        <v>0</v>
      </c>
      <c r="I182" s="100">
        <v>0</v>
      </c>
      <c r="J182" s="100"/>
      <c r="K182" s="100"/>
      <c r="N182">
        <v>0</v>
      </c>
      <c r="O182" s="103"/>
      <c r="P182" s="101"/>
      <c r="Q182" s="101"/>
      <c r="AA182" s="15"/>
    </row>
    <row r="183" spans="1:27" ht="14.25" customHeight="1" x14ac:dyDescent="0.25">
      <c r="A183">
        <v>0</v>
      </c>
      <c r="H183">
        <v>0</v>
      </c>
      <c r="I183" s="100">
        <v>0</v>
      </c>
      <c r="J183" s="100"/>
      <c r="K183" s="100"/>
      <c r="N183">
        <v>0</v>
      </c>
      <c r="O183" s="103"/>
      <c r="P183" s="101"/>
      <c r="Q183" s="101"/>
      <c r="AA183" s="15"/>
    </row>
    <row r="184" spans="1:27" ht="14.25" customHeight="1" x14ac:dyDescent="0.25">
      <c r="A184">
        <v>0</v>
      </c>
      <c r="H184">
        <v>0</v>
      </c>
      <c r="I184" s="100">
        <v>0</v>
      </c>
      <c r="J184" s="100"/>
      <c r="K184" s="100"/>
      <c r="N184">
        <v>0</v>
      </c>
      <c r="O184" s="103"/>
      <c r="P184" s="101"/>
      <c r="Q184" s="101"/>
      <c r="AA184" s="15"/>
    </row>
    <row r="185" spans="1:27" ht="14.25" customHeight="1" x14ac:dyDescent="0.25">
      <c r="A185">
        <v>0</v>
      </c>
      <c r="H185">
        <v>0</v>
      </c>
      <c r="I185" s="100">
        <v>0</v>
      </c>
      <c r="J185" s="100"/>
      <c r="K185" s="100"/>
      <c r="N185">
        <v>0</v>
      </c>
      <c r="O185" s="103"/>
      <c r="P185" s="101"/>
      <c r="Q185" s="101"/>
      <c r="AA185" s="15"/>
    </row>
    <row r="186" spans="1:27" ht="14.25" customHeight="1" x14ac:dyDescent="0.25">
      <c r="A186">
        <v>0</v>
      </c>
      <c r="H186">
        <v>0</v>
      </c>
      <c r="I186" s="100">
        <v>0</v>
      </c>
      <c r="J186" s="100"/>
      <c r="K186" s="100"/>
      <c r="N186">
        <v>0</v>
      </c>
      <c r="O186" s="103"/>
      <c r="P186" s="101"/>
      <c r="Q186" s="101"/>
      <c r="AA186" s="15"/>
    </row>
    <row r="187" spans="1:27" ht="14.25" customHeight="1" x14ac:dyDescent="0.25">
      <c r="A187">
        <v>0</v>
      </c>
      <c r="H187">
        <v>0</v>
      </c>
      <c r="I187" s="100">
        <v>0</v>
      </c>
      <c r="J187" s="100"/>
      <c r="K187" s="100"/>
      <c r="N187">
        <v>0</v>
      </c>
      <c r="O187" s="103"/>
      <c r="P187" s="101"/>
      <c r="Q187" s="101"/>
      <c r="AA187" s="15"/>
    </row>
    <row r="188" spans="1:27" ht="14.25" customHeight="1" x14ac:dyDescent="0.25">
      <c r="A188">
        <v>0</v>
      </c>
      <c r="H188">
        <v>0</v>
      </c>
      <c r="I188" s="100">
        <v>0</v>
      </c>
      <c r="J188" s="100"/>
      <c r="K188" s="100"/>
      <c r="N188">
        <v>0</v>
      </c>
      <c r="O188" s="103"/>
      <c r="P188" s="101"/>
      <c r="Q188" s="101"/>
      <c r="AA188" s="15"/>
    </row>
    <row r="189" spans="1:27" ht="14.25" customHeight="1" x14ac:dyDescent="0.25">
      <c r="A189">
        <v>0</v>
      </c>
      <c r="H189">
        <v>0</v>
      </c>
      <c r="I189" s="100">
        <v>0</v>
      </c>
      <c r="J189" s="100"/>
      <c r="K189" s="100"/>
      <c r="N189">
        <v>0</v>
      </c>
      <c r="O189" s="103"/>
      <c r="P189" s="101"/>
      <c r="Q189" s="101"/>
      <c r="AA189" s="15"/>
    </row>
    <row r="190" spans="1:27" ht="14.25" customHeight="1" x14ac:dyDescent="0.25">
      <c r="A190">
        <v>0.45</v>
      </c>
      <c r="H190">
        <v>0.45</v>
      </c>
      <c r="I190" s="100">
        <v>0.45</v>
      </c>
      <c r="J190" s="100"/>
      <c r="K190" s="100"/>
      <c r="N190">
        <v>0</v>
      </c>
      <c r="O190" s="103"/>
      <c r="P190" s="101"/>
      <c r="Q190" s="101"/>
      <c r="AA190" s="15"/>
    </row>
    <row r="191" spans="1:27" ht="14.25" customHeight="1" x14ac:dyDescent="0.25">
      <c r="A191">
        <v>0</v>
      </c>
      <c r="H191">
        <v>0</v>
      </c>
      <c r="I191" s="100">
        <v>0</v>
      </c>
      <c r="J191" s="100"/>
      <c r="K191" s="100"/>
      <c r="N191">
        <v>0</v>
      </c>
      <c r="O191" s="103"/>
      <c r="P191" s="101"/>
      <c r="Q191" s="101"/>
      <c r="AA191" s="15"/>
    </row>
    <row r="192" spans="1:27" ht="14.25" customHeight="1" x14ac:dyDescent="0.25">
      <c r="A192">
        <v>0</v>
      </c>
      <c r="H192">
        <v>0</v>
      </c>
      <c r="I192" s="100">
        <v>0</v>
      </c>
      <c r="J192" s="100"/>
      <c r="K192" s="100"/>
      <c r="N192">
        <v>0</v>
      </c>
      <c r="O192" s="103"/>
      <c r="P192" s="101"/>
      <c r="Q192" s="101"/>
      <c r="AA192" s="15"/>
    </row>
    <row r="193" spans="1:27" ht="14.25" customHeight="1" x14ac:dyDescent="0.25">
      <c r="A193">
        <v>0</v>
      </c>
      <c r="H193">
        <v>0</v>
      </c>
      <c r="I193" s="100">
        <v>0</v>
      </c>
      <c r="J193" s="100"/>
      <c r="K193" s="100"/>
      <c r="N193">
        <v>0</v>
      </c>
      <c r="O193" s="103"/>
      <c r="P193" s="101"/>
      <c r="Q193" s="101"/>
      <c r="AA193" s="15"/>
    </row>
    <row r="194" spans="1:27" ht="14.25" customHeight="1" x14ac:dyDescent="0.25">
      <c r="A194">
        <v>0</v>
      </c>
      <c r="H194">
        <v>0</v>
      </c>
      <c r="I194" s="100">
        <v>0</v>
      </c>
      <c r="J194" s="100"/>
      <c r="K194" s="100"/>
      <c r="N194">
        <v>0.45</v>
      </c>
      <c r="O194" s="103"/>
      <c r="P194" s="101"/>
      <c r="Q194" s="101"/>
      <c r="AA194" s="15"/>
    </row>
    <row r="195" spans="1:27" ht="14.25" customHeight="1" x14ac:dyDescent="0.25">
      <c r="A195">
        <v>0</v>
      </c>
      <c r="H195">
        <v>0</v>
      </c>
      <c r="I195" s="100">
        <v>0</v>
      </c>
      <c r="J195" s="100"/>
      <c r="K195" s="100"/>
      <c r="N195">
        <v>0</v>
      </c>
      <c r="O195" s="103"/>
      <c r="P195" s="101"/>
      <c r="Q195" s="101"/>
      <c r="AA195" s="15"/>
    </row>
    <row r="196" spans="1:27" ht="14.25" customHeight="1" x14ac:dyDescent="0.25">
      <c r="A196">
        <v>0</v>
      </c>
      <c r="F196">
        <f>(121-190)</f>
        <v>-69</v>
      </c>
      <c r="H196">
        <v>0</v>
      </c>
      <c r="I196" s="100">
        <v>0</v>
      </c>
      <c r="J196" s="100"/>
      <c r="K196" s="100"/>
      <c r="N196">
        <v>0</v>
      </c>
      <c r="O196" s="103"/>
      <c r="P196" s="101"/>
      <c r="Q196" s="101"/>
      <c r="AA196" s="15"/>
    </row>
    <row r="197" spans="1:27" ht="14.25" customHeight="1" x14ac:dyDescent="0.25">
      <c r="A197">
        <v>0</v>
      </c>
      <c r="H197">
        <v>0</v>
      </c>
      <c r="I197" s="100">
        <v>0</v>
      </c>
      <c r="J197" s="100"/>
      <c r="K197" s="100"/>
      <c r="N197">
        <v>0</v>
      </c>
      <c r="O197" s="103"/>
      <c r="P197" s="101"/>
      <c r="Q197" s="101"/>
      <c r="AA197" s="15"/>
    </row>
    <row r="198" spans="1:27" ht="14.25" customHeight="1" x14ac:dyDescent="0.25">
      <c r="A198">
        <v>0</v>
      </c>
      <c r="H198">
        <v>0</v>
      </c>
      <c r="I198" s="100">
        <v>0</v>
      </c>
      <c r="J198" s="100"/>
      <c r="K198" s="100"/>
      <c r="N198">
        <v>0</v>
      </c>
      <c r="O198" s="103"/>
      <c r="P198" s="101"/>
      <c r="Q198" s="101"/>
      <c r="AA198" s="15"/>
    </row>
    <row r="199" spans="1:27" ht="14.25" customHeight="1" x14ac:dyDescent="0.25">
      <c r="A199">
        <v>0</v>
      </c>
      <c r="H199">
        <v>0</v>
      </c>
      <c r="I199" s="100">
        <v>0</v>
      </c>
      <c r="J199" s="100"/>
      <c r="K199" s="100"/>
      <c r="N199">
        <v>0</v>
      </c>
      <c r="O199" s="103"/>
      <c r="P199" s="101"/>
      <c r="Q199" s="101"/>
      <c r="AA199" s="15"/>
    </row>
    <row r="200" spans="1:27" ht="14.25" customHeight="1" x14ac:dyDescent="0.25">
      <c r="A200">
        <v>0</v>
      </c>
      <c r="H200">
        <v>0</v>
      </c>
      <c r="I200" s="100">
        <v>0</v>
      </c>
      <c r="J200" s="100"/>
      <c r="K200" s="100"/>
      <c r="N200">
        <v>0</v>
      </c>
      <c r="O200" s="103"/>
      <c r="P200" s="101"/>
      <c r="Q200" s="101"/>
      <c r="AA200" s="15"/>
    </row>
    <row r="201" spans="1:27" ht="14.25" customHeight="1" x14ac:dyDescent="0.25">
      <c r="A201">
        <v>0</v>
      </c>
      <c r="H201">
        <v>0</v>
      </c>
      <c r="I201" s="100">
        <v>0</v>
      </c>
      <c r="J201" s="100"/>
      <c r="K201" s="100"/>
      <c r="N201">
        <v>0</v>
      </c>
      <c r="O201" s="103"/>
      <c r="P201" s="101"/>
      <c r="Q201" s="101"/>
      <c r="AA201" s="15"/>
    </row>
    <row r="202" spans="1:27" ht="14.25" customHeight="1" x14ac:dyDescent="0.25">
      <c r="A202">
        <v>0</v>
      </c>
      <c r="H202">
        <v>0</v>
      </c>
      <c r="I202" s="100">
        <v>0</v>
      </c>
      <c r="J202" s="100"/>
      <c r="K202" s="100"/>
      <c r="N202">
        <v>0</v>
      </c>
      <c r="O202" s="103"/>
      <c r="P202" s="101"/>
      <c r="Q202" s="101"/>
      <c r="AA202" s="15"/>
    </row>
    <row r="203" spans="1:27" ht="14.25" customHeight="1" x14ac:dyDescent="0.25">
      <c r="A203">
        <v>0</v>
      </c>
      <c r="H203">
        <v>0</v>
      </c>
      <c r="I203" s="100">
        <v>0</v>
      </c>
      <c r="J203" s="100"/>
      <c r="K203" s="100"/>
      <c r="N203">
        <v>0</v>
      </c>
      <c r="O203" s="103"/>
      <c r="P203" s="101"/>
      <c r="Q203" s="101"/>
      <c r="AA203" s="15"/>
    </row>
    <row r="204" spans="1:27" ht="14.25" customHeight="1" x14ac:dyDescent="0.25">
      <c r="A204">
        <v>0</v>
      </c>
      <c r="H204">
        <v>0</v>
      </c>
      <c r="I204" s="100">
        <v>0</v>
      </c>
      <c r="J204" s="100"/>
      <c r="K204" s="100"/>
      <c r="N204">
        <v>0</v>
      </c>
      <c r="O204" s="103"/>
      <c r="P204" s="101"/>
      <c r="Q204" s="101"/>
      <c r="AA204" s="15"/>
    </row>
    <row r="205" spans="1:27" ht="14.25" customHeight="1" x14ac:dyDescent="0.25">
      <c r="A205">
        <v>0</v>
      </c>
      <c r="H205">
        <v>0</v>
      </c>
      <c r="I205" s="100">
        <v>0</v>
      </c>
      <c r="J205" s="100"/>
      <c r="K205" s="100"/>
      <c r="N205">
        <v>0</v>
      </c>
      <c r="O205" s="103"/>
      <c r="P205" s="101"/>
      <c r="Q205" s="101"/>
      <c r="AA205" s="15"/>
    </row>
    <row r="206" spans="1:27" ht="14.25" customHeight="1" x14ac:dyDescent="0.25">
      <c r="A206">
        <v>0</v>
      </c>
      <c r="H206">
        <v>0</v>
      </c>
      <c r="I206" s="100">
        <v>0</v>
      </c>
      <c r="J206" s="100"/>
      <c r="K206" s="100"/>
      <c r="N206">
        <v>0</v>
      </c>
      <c r="O206" s="103"/>
      <c r="P206" s="101"/>
      <c r="Q206" s="101"/>
      <c r="AA206" s="15"/>
    </row>
    <row r="207" spans="1:27" ht="14.25" customHeight="1" x14ac:dyDescent="0.25">
      <c r="A207">
        <v>0</v>
      </c>
      <c r="H207">
        <v>0</v>
      </c>
      <c r="I207" s="100">
        <v>0</v>
      </c>
      <c r="J207" s="100"/>
      <c r="K207" s="100"/>
      <c r="N207">
        <v>0</v>
      </c>
      <c r="O207" s="103"/>
      <c r="P207" s="101"/>
      <c r="Q207" s="101"/>
      <c r="AA207" s="15"/>
    </row>
    <row r="208" spans="1:27" ht="14.25" customHeight="1" x14ac:dyDescent="0.25">
      <c r="A208">
        <v>0</v>
      </c>
      <c r="H208">
        <v>0</v>
      </c>
      <c r="I208" s="100">
        <v>0</v>
      </c>
      <c r="J208" s="100"/>
      <c r="K208" s="100"/>
      <c r="N208">
        <v>0</v>
      </c>
      <c r="O208" s="103"/>
      <c r="P208" s="101"/>
      <c r="Q208" s="101"/>
      <c r="AA208" s="15"/>
    </row>
    <row r="209" spans="1:27" ht="14.25" customHeight="1" x14ac:dyDescent="0.25">
      <c r="A209">
        <v>0</v>
      </c>
      <c r="H209">
        <v>0</v>
      </c>
      <c r="I209" s="100">
        <v>0</v>
      </c>
      <c r="J209" s="100"/>
      <c r="K209" s="100"/>
      <c r="N209">
        <v>0</v>
      </c>
      <c r="O209" s="103"/>
      <c r="P209" s="101"/>
      <c r="Q209" s="101"/>
      <c r="AA209" s="15"/>
    </row>
    <row r="210" spans="1:27" ht="14.25" customHeight="1" x14ac:dyDescent="0.25">
      <c r="A210">
        <v>0</v>
      </c>
      <c r="H210">
        <v>0</v>
      </c>
      <c r="I210" s="100">
        <v>0</v>
      </c>
      <c r="J210" s="100"/>
      <c r="K210" s="100"/>
      <c r="N210">
        <v>0</v>
      </c>
      <c r="O210" s="103"/>
      <c r="P210" s="101"/>
      <c r="Q210" s="101"/>
      <c r="AA210" s="15"/>
    </row>
    <row r="211" spans="1:27" ht="14.25" customHeight="1" x14ac:dyDescent="0.25">
      <c r="A211">
        <v>0</v>
      </c>
      <c r="H211">
        <v>0</v>
      </c>
      <c r="I211" s="100">
        <v>0</v>
      </c>
      <c r="J211" s="100"/>
      <c r="K211" s="100"/>
      <c r="N211">
        <v>0</v>
      </c>
      <c r="O211" s="103"/>
      <c r="P211" s="101"/>
      <c r="Q211" s="101"/>
      <c r="AA211" s="15"/>
    </row>
    <row r="212" spans="1:27" ht="14.25" customHeight="1" x14ac:dyDescent="0.25">
      <c r="A212">
        <v>0</v>
      </c>
      <c r="H212">
        <v>0</v>
      </c>
      <c r="I212" s="100">
        <v>0</v>
      </c>
      <c r="J212" s="100"/>
      <c r="K212" s="100"/>
      <c r="N212">
        <v>0</v>
      </c>
      <c r="O212" s="103"/>
      <c r="P212" s="101"/>
      <c r="Q212" s="101"/>
      <c r="AA212" s="15"/>
    </row>
    <row r="213" spans="1:27" ht="14.25" customHeight="1" x14ac:dyDescent="0.25">
      <c r="A213">
        <v>0</v>
      </c>
      <c r="H213">
        <v>0</v>
      </c>
      <c r="I213" s="100">
        <v>0</v>
      </c>
      <c r="J213" s="100"/>
      <c r="K213" s="100"/>
      <c r="N213">
        <v>0</v>
      </c>
      <c r="O213" s="103"/>
      <c r="P213" s="101"/>
      <c r="Q213" s="101"/>
      <c r="AA213" s="15"/>
    </row>
    <row r="214" spans="1:27" ht="14.25" customHeight="1" x14ac:dyDescent="0.25">
      <c r="A214">
        <v>0</v>
      </c>
      <c r="H214">
        <v>0</v>
      </c>
      <c r="I214" s="100">
        <v>0</v>
      </c>
      <c r="J214" s="100"/>
      <c r="K214" s="100"/>
      <c r="N214">
        <v>0</v>
      </c>
      <c r="O214" s="103"/>
      <c r="P214" s="101"/>
      <c r="Q214" s="101"/>
      <c r="AA214" s="15"/>
    </row>
    <row r="215" spans="1:27" ht="14.25" customHeight="1" x14ac:dyDescent="0.25">
      <c r="A215">
        <v>0</v>
      </c>
      <c r="H215">
        <v>0</v>
      </c>
      <c r="I215" s="100">
        <v>0</v>
      </c>
      <c r="J215" s="100"/>
      <c r="K215" s="100"/>
      <c r="N215">
        <v>0</v>
      </c>
      <c r="O215" s="103"/>
      <c r="P215" s="101"/>
      <c r="Q215" s="101"/>
      <c r="AA215" s="15"/>
    </row>
    <row r="216" spans="1:27" ht="14.25" customHeight="1" x14ac:dyDescent="0.25">
      <c r="A216">
        <v>0</v>
      </c>
      <c r="H216">
        <v>0</v>
      </c>
      <c r="I216" s="100">
        <v>0</v>
      </c>
      <c r="J216" s="100"/>
      <c r="K216" s="100"/>
      <c r="N216">
        <v>0</v>
      </c>
      <c r="O216" s="103"/>
      <c r="P216" s="101"/>
      <c r="Q216" s="101"/>
      <c r="AA216" s="15"/>
    </row>
    <row r="217" spans="1:27" ht="14.25" customHeight="1" x14ac:dyDescent="0.25">
      <c r="A217">
        <v>0</v>
      </c>
      <c r="H217">
        <v>0</v>
      </c>
      <c r="I217" s="100">
        <v>0</v>
      </c>
      <c r="J217" s="100"/>
      <c r="K217" s="100"/>
      <c r="N217">
        <v>0</v>
      </c>
      <c r="O217" s="103"/>
      <c r="P217" s="101"/>
      <c r="Q217" s="101"/>
      <c r="AA217" s="15"/>
    </row>
    <row r="218" spans="1:27" ht="14.25" customHeight="1" x14ac:dyDescent="0.25">
      <c r="A218">
        <v>0</v>
      </c>
      <c r="H218">
        <v>0</v>
      </c>
      <c r="I218" s="100">
        <v>0</v>
      </c>
      <c r="J218" s="100"/>
      <c r="K218" s="100"/>
      <c r="N218">
        <v>0</v>
      </c>
      <c r="O218" s="103"/>
      <c r="P218" s="101"/>
      <c r="Q218" s="101"/>
      <c r="AA218" s="15"/>
    </row>
    <row r="219" spans="1:27" ht="14.25" customHeight="1" x14ac:dyDescent="0.25">
      <c r="A219">
        <v>0</v>
      </c>
      <c r="H219">
        <v>0</v>
      </c>
      <c r="I219" s="100">
        <v>0</v>
      </c>
      <c r="J219" s="100"/>
      <c r="K219" s="100"/>
      <c r="N219">
        <v>0</v>
      </c>
      <c r="O219" s="103"/>
      <c r="P219" s="101"/>
      <c r="Q219" s="101"/>
      <c r="AA219" s="15"/>
    </row>
    <row r="220" spans="1:27" ht="14.25" customHeight="1" x14ac:dyDescent="0.25">
      <c r="A220">
        <v>0</v>
      </c>
      <c r="H220">
        <v>0</v>
      </c>
      <c r="I220" s="100">
        <v>0</v>
      </c>
      <c r="J220" s="100"/>
      <c r="K220" s="100"/>
      <c r="N220">
        <v>0</v>
      </c>
      <c r="O220" s="103"/>
      <c r="P220" s="101"/>
      <c r="Q220" s="101"/>
      <c r="AA220" s="15"/>
    </row>
    <row r="221" spans="1:27" ht="14.25" customHeight="1" x14ac:dyDescent="0.25">
      <c r="A221">
        <v>0</v>
      </c>
      <c r="H221">
        <v>0</v>
      </c>
      <c r="I221" s="100">
        <v>0</v>
      </c>
      <c r="J221" s="100"/>
      <c r="K221" s="100"/>
      <c r="N221">
        <v>0</v>
      </c>
      <c r="O221" s="103"/>
      <c r="P221" s="101"/>
      <c r="Q221" s="101"/>
      <c r="AA221" s="15"/>
    </row>
    <row r="222" spans="1:27" ht="14.25" customHeight="1" x14ac:dyDescent="0.25">
      <c r="A222">
        <v>0</v>
      </c>
      <c r="H222">
        <v>0</v>
      </c>
      <c r="I222" s="100">
        <v>0</v>
      </c>
      <c r="J222" s="100"/>
      <c r="K222" s="100"/>
      <c r="N222">
        <v>0</v>
      </c>
      <c r="O222" s="103"/>
      <c r="P222" s="101"/>
      <c r="Q222" s="101"/>
      <c r="AA222" s="15"/>
    </row>
    <row r="223" spans="1:27" ht="14.25" customHeight="1" x14ac:dyDescent="0.25">
      <c r="A223">
        <v>0</v>
      </c>
      <c r="H223">
        <v>0</v>
      </c>
      <c r="I223" s="100">
        <v>0</v>
      </c>
      <c r="J223" s="100"/>
      <c r="K223" s="100"/>
      <c r="N223">
        <v>0</v>
      </c>
      <c r="O223" s="103"/>
      <c r="P223" s="101"/>
      <c r="Q223" s="101"/>
      <c r="AA223" s="15"/>
    </row>
    <row r="224" spans="1:27" ht="14.25" customHeight="1" x14ac:dyDescent="0.25">
      <c r="A224">
        <v>0</v>
      </c>
      <c r="H224">
        <v>0</v>
      </c>
      <c r="I224" s="100">
        <v>0</v>
      </c>
      <c r="J224" s="100"/>
      <c r="K224" s="100"/>
      <c r="N224">
        <v>0</v>
      </c>
      <c r="O224" s="103"/>
      <c r="P224" s="101"/>
      <c r="Q224" s="101"/>
      <c r="AA224" s="15"/>
    </row>
    <row r="225" spans="1:27" ht="14.25" customHeight="1" x14ac:dyDescent="0.25">
      <c r="A225">
        <v>0</v>
      </c>
      <c r="H225">
        <v>0</v>
      </c>
      <c r="I225" s="100">
        <v>0</v>
      </c>
      <c r="J225" s="100"/>
      <c r="K225" s="100"/>
      <c r="N225">
        <v>0</v>
      </c>
      <c r="O225" s="103"/>
      <c r="P225" s="101"/>
      <c r="Q225" s="101"/>
      <c r="AA225" s="15"/>
    </row>
    <row r="226" spans="1:27" ht="14.25" customHeight="1" x14ac:dyDescent="0.25">
      <c r="I226" s="100"/>
      <c r="J226" s="100"/>
      <c r="K226" s="100"/>
      <c r="N226">
        <v>0</v>
      </c>
      <c r="O226" s="103"/>
      <c r="P226" s="101"/>
      <c r="Q226" s="101"/>
      <c r="AA226" s="15"/>
    </row>
    <row r="227" spans="1:27" ht="14.25" customHeight="1" x14ac:dyDescent="0.25">
      <c r="I227" s="100"/>
      <c r="J227" s="100"/>
      <c r="K227" s="100"/>
      <c r="N227">
        <v>0</v>
      </c>
      <c r="O227" s="103"/>
      <c r="P227" s="101"/>
      <c r="Q227" s="101"/>
      <c r="AA227" s="15"/>
    </row>
    <row r="228" spans="1:27" ht="14.25" customHeight="1" x14ac:dyDescent="0.25">
      <c r="I228" s="100"/>
      <c r="J228" s="100"/>
      <c r="K228" s="100"/>
      <c r="N228">
        <v>0</v>
      </c>
      <c r="O228" s="103"/>
      <c r="P228" s="101"/>
      <c r="Q228" s="101"/>
      <c r="AA228" s="15"/>
    </row>
    <row r="229" spans="1:27" ht="14.25" customHeight="1" x14ac:dyDescent="0.25">
      <c r="I229" s="100"/>
      <c r="J229" s="100"/>
      <c r="K229" s="100"/>
      <c r="N229">
        <v>0</v>
      </c>
      <c r="O229" s="103"/>
      <c r="P229" s="101"/>
      <c r="Q229" s="101"/>
      <c r="AA229" s="15"/>
    </row>
    <row r="230" spans="1:27" ht="14.25" customHeight="1" x14ac:dyDescent="0.25">
      <c r="I230" s="100"/>
      <c r="J230" s="100"/>
      <c r="K230" s="100"/>
      <c r="O230" s="103"/>
      <c r="P230" s="101"/>
      <c r="Q230" s="101"/>
      <c r="AA230" s="15"/>
    </row>
    <row r="231" spans="1:27" ht="14.25" customHeight="1" x14ac:dyDescent="0.25">
      <c r="I231" s="100"/>
      <c r="J231" s="100"/>
      <c r="K231" s="100"/>
      <c r="O231" s="103"/>
      <c r="P231" s="101"/>
      <c r="Q231" s="101"/>
      <c r="AA231" s="15"/>
    </row>
    <row r="232" spans="1:27" ht="14.25" customHeight="1" x14ac:dyDescent="0.25">
      <c r="I232" s="100"/>
      <c r="J232" s="100"/>
      <c r="K232" s="100"/>
      <c r="O232" s="103"/>
      <c r="P232" s="101"/>
      <c r="Q232" s="101"/>
      <c r="AA232" s="15"/>
    </row>
    <row r="233" spans="1:27" ht="14.25" customHeight="1" x14ac:dyDescent="0.25">
      <c r="I233" s="100"/>
      <c r="J233" s="100"/>
      <c r="K233" s="100"/>
      <c r="O233" s="103"/>
      <c r="P233" s="101"/>
      <c r="Q233" s="101"/>
      <c r="AA233" s="15"/>
    </row>
    <row r="234" spans="1:27" ht="14.25" customHeight="1" x14ac:dyDescent="0.25">
      <c r="I234" s="100"/>
      <c r="J234" s="100"/>
      <c r="K234" s="100"/>
      <c r="O234" s="103"/>
      <c r="P234" s="101"/>
      <c r="Q234" s="101"/>
      <c r="AA234" s="15"/>
    </row>
    <row r="235" spans="1:27" ht="14.25" customHeight="1" x14ac:dyDescent="0.25">
      <c r="I235" s="100"/>
      <c r="J235" s="100"/>
      <c r="K235" s="100"/>
      <c r="O235" s="103"/>
      <c r="P235" s="101"/>
      <c r="Q235" s="101"/>
      <c r="AA235" s="15"/>
    </row>
    <row r="236" spans="1:27" ht="14.25" customHeight="1" x14ac:dyDescent="0.25">
      <c r="I236" s="100"/>
      <c r="J236" s="100"/>
      <c r="K236" s="100"/>
      <c r="O236" s="103"/>
      <c r="P236" s="101"/>
      <c r="Q236" s="101"/>
      <c r="AA236" s="15"/>
    </row>
    <row r="237" spans="1:27" ht="14.25" customHeight="1" x14ac:dyDescent="0.25">
      <c r="I237" s="100"/>
      <c r="J237" s="100"/>
      <c r="K237" s="100"/>
      <c r="O237" s="103"/>
      <c r="P237" s="101"/>
      <c r="Q237" s="101"/>
      <c r="AA237" s="15"/>
    </row>
    <row r="238" spans="1:27" ht="14.25" customHeight="1" x14ac:dyDescent="0.25">
      <c r="I238" s="100"/>
      <c r="J238" s="100"/>
      <c r="K238" s="100"/>
      <c r="O238" s="103"/>
      <c r="P238" s="101"/>
      <c r="Q238" s="101"/>
      <c r="AA238" s="15"/>
    </row>
    <row r="239" spans="1:27" ht="14.25" customHeight="1" x14ac:dyDescent="0.25">
      <c r="I239" s="100"/>
      <c r="J239" s="100"/>
      <c r="K239" s="100"/>
      <c r="O239" s="103"/>
      <c r="P239" s="101"/>
      <c r="Q239" s="101"/>
      <c r="AA239" s="15"/>
    </row>
    <row r="240" spans="1:27" ht="14.25" customHeight="1" x14ac:dyDescent="0.25">
      <c r="I240" s="100"/>
      <c r="J240" s="100"/>
      <c r="K240" s="100"/>
      <c r="O240" s="103"/>
      <c r="P240" s="101"/>
      <c r="Q240" s="101"/>
      <c r="AA240" s="15"/>
    </row>
    <row r="241" spans="9:27" ht="14.25" customHeight="1" x14ac:dyDescent="0.25">
      <c r="I241" s="100"/>
      <c r="J241" s="100"/>
      <c r="K241" s="100"/>
      <c r="O241" s="103"/>
      <c r="P241" s="101"/>
      <c r="Q241" s="101"/>
      <c r="AA241" s="15"/>
    </row>
    <row r="242" spans="9:27" ht="14.25" customHeight="1" x14ac:dyDescent="0.25">
      <c r="I242" s="100"/>
      <c r="J242" s="100"/>
      <c r="K242" s="100"/>
      <c r="O242" s="103"/>
      <c r="P242" s="101"/>
      <c r="Q242" s="101"/>
      <c r="AA242" s="15"/>
    </row>
    <row r="243" spans="9:27" ht="14.25" customHeight="1" x14ac:dyDescent="0.25">
      <c r="I243" s="100"/>
      <c r="J243" s="100"/>
      <c r="K243" s="100"/>
      <c r="O243" s="103"/>
      <c r="P243" s="101"/>
      <c r="Q243" s="101"/>
      <c r="AA243" s="15"/>
    </row>
    <row r="244" spans="9:27" ht="14.25" customHeight="1" x14ac:dyDescent="0.25">
      <c r="I244" s="100"/>
      <c r="J244" s="100"/>
      <c r="K244" s="100"/>
      <c r="O244" s="103"/>
      <c r="P244" s="101"/>
      <c r="Q244" s="101"/>
      <c r="AA244" s="15"/>
    </row>
    <row r="245" spans="9:27" ht="14.25" customHeight="1" x14ac:dyDescent="0.25">
      <c r="I245" s="100"/>
      <c r="J245" s="100"/>
      <c r="K245" s="100"/>
      <c r="O245" s="103"/>
      <c r="P245" s="101"/>
      <c r="Q245" s="101"/>
      <c r="AA245" s="15"/>
    </row>
    <row r="246" spans="9:27" ht="14.25" customHeight="1" x14ac:dyDescent="0.25">
      <c r="I246" s="100"/>
      <c r="J246" s="100"/>
      <c r="K246" s="100"/>
      <c r="O246" s="103"/>
      <c r="P246" s="101"/>
      <c r="Q246" s="101"/>
      <c r="AA246" s="15"/>
    </row>
    <row r="247" spans="9:27" ht="14.25" customHeight="1" x14ac:dyDescent="0.25">
      <c r="I247" s="100"/>
      <c r="J247" s="100"/>
      <c r="K247" s="100"/>
      <c r="O247" s="103"/>
      <c r="P247" s="101"/>
      <c r="Q247" s="101"/>
      <c r="AA247" s="15"/>
    </row>
    <row r="248" spans="9:27" ht="14.25" customHeight="1" x14ac:dyDescent="0.25">
      <c r="I248" s="100"/>
      <c r="J248" s="100"/>
      <c r="K248" s="100"/>
      <c r="O248" s="103"/>
      <c r="P248" s="101"/>
      <c r="Q248" s="101"/>
      <c r="AA248" s="15"/>
    </row>
    <row r="249" spans="9:27" ht="14.25" customHeight="1" x14ac:dyDescent="0.25">
      <c r="I249" s="100"/>
      <c r="J249" s="100"/>
      <c r="K249" s="100"/>
      <c r="O249" s="103"/>
      <c r="P249" s="101"/>
      <c r="Q249" s="101"/>
      <c r="AA249" s="15"/>
    </row>
    <row r="250" spans="9:27" ht="14.25" customHeight="1" x14ac:dyDescent="0.25">
      <c r="I250" s="100"/>
      <c r="J250" s="100"/>
      <c r="K250" s="100"/>
      <c r="O250" s="103"/>
      <c r="P250" s="101"/>
      <c r="Q250" s="101"/>
      <c r="AA250" s="15"/>
    </row>
    <row r="251" spans="9:27" ht="14.25" customHeight="1" x14ac:dyDescent="0.25">
      <c r="I251" s="100"/>
      <c r="J251" s="100"/>
      <c r="K251" s="100"/>
      <c r="O251" s="103"/>
      <c r="P251" s="101"/>
      <c r="Q251" s="101"/>
      <c r="AA251" s="15"/>
    </row>
    <row r="252" spans="9:27" ht="14.25" customHeight="1" x14ac:dyDescent="0.25">
      <c r="I252" s="100"/>
      <c r="J252" s="100"/>
      <c r="K252" s="100"/>
      <c r="O252" s="103"/>
      <c r="P252" s="101"/>
      <c r="Q252" s="101"/>
      <c r="AA252" s="15"/>
    </row>
    <row r="253" spans="9:27" ht="14.25" customHeight="1" x14ac:dyDescent="0.25">
      <c r="I253" s="100"/>
      <c r="J253" s="100"/>
      <c r="K253" s="100"/>
      <c r="O253" s="103"/>
      <c r="P253" s="101"/>
      <c r="Q253" s="101"/>
      <c r="AA253" s="15"/>
    </row>
    <row r="254" spans="9:27" ht="14.25" customHeight="1" x14ac:dyDescent="0.25">
      <c r="I254" s="100"/>
      <c r="J254" s="100"/>
      <c r="K254" s="100"/>
      <c r="O254" s="103"/>
      <c r="P254" s="101"/>
      <c r="Q254" s="101"/>
      <c r="AA254" s="15"/>
    </row>
    <row r="255" spans="9:27" ht="14.25" customHeight="1" x14ac:dyDescent="0.25">
      <c r="I255" s="100"/>
      <c r="J255" s="100"/>
      <c r="K255" s="100"/>
      <c r="O255" s="103"/>
      <c r="P255" s="101"/>
      <c r="Q255" s="101"/>
      <c r="AA255" s="15"/>
    </row>
    <row r="256" spans="9:27" ht="14.25" customHeight="1" x14ac:dyDescent="0.25">
      <c r="I256" s="100"/>
      <c r="J256" s="100"/>
      <c r="K256" s="100"/>
      <c r="O256" s="103"/>
      <c r="P256" s="101"/>
      <c r="Q256" s="101"/>
      <c r="AA256" s="15"/>
    </row>
    <row r="257" spans="9:27" ht="14.25" customHeight="1" x14ac:dyDescent="0.25">
      <c r="I257" s="100"/>
      <c r="J257" s="100"/>
      <c r="K257" s="100"/>
      <c r="O257" s="103"/>
      <c r="P257" s="101"/>
      <c r="Q257" s="101"/>
      <c r="AA257" s="15"/>
    </row>
    <row r="258" spans="9:27" ht="14.25" customHeight="1" x14ac:dyDescent="0.25">
      <c r="I258" s="100"/>
      <c r="J258" s="100"/>
      <c r="K258" s="100"/>
      <c r="O258" s="103"/>
      <c r="P258" s="101"/>
      <c r="Q258" s="101"/>
      <c r="AA258" s="15"/>
    </row>
    <row r="259" spans="9:27" ht="14.25" customHeight="1" x14ac:dyDescent="0.25">
      <c r="I259" s="100"/>
      <c r="J259" s="100"/>
      <c r="K259" s="100"/>
      <c r="O259" s="103"/>
      <c r="P259" s="101"/>
      <c r="Q259" s="101"/>
      <c r="AA259" s="15"/>
    </row>
    <row r="260" spans="9:27" ht="14.25" customHeight="1" x14ac:dyDescent="0.25">
      <c r="I260" s="100"/>
      <c r="J260" s="100"/>
      <c r="K260" s="100"/>
      <c r="O260" s="103"/>
      <c r="P260" s="101"/>
      <c r="Q260" s="101"/>
      <c r="AA260" s="15"/>
    </row>
    <row r="261" spans="9:27" ht="14.25" customHeight="1" x14ac:dyDescent="0.25">
      <c r="I261" s="100"/>
      <c r="J261" s="100"/>
      <c r="K261" s="100"/>
      <c r="O261" s="103"/>
      <c r="P261" s="101"/>
      <c r="Q261" s="101"/>
      <c r="AA261" s="15"/>
    </row>
    <row r="262" spans="9:27" ht="14.25" customHeight="1" x14ac:dyDescent="0.25">
      <c r="I262" s="100"/>
      <c r="J262" s="100"/>
      <c r="K262" s="100"/>
      <c r="O262" s="103"/>
      <c r="P262" s="101"/>
      <c r="Q262" s="101"/>
      <c r="AA262" s="15"/>
    </row>
    <row r="263" spans="9:27" ht="14.25" customHeight="1" x14ac:dyDescent="0.25">
      <c r="I263" s="100"/>
      <c r="J263" s="100"/>
      <c r="K263" s="100"/>
      <c r="O263" s="103"/>
      <c r="P263" s="101"/>
      <c r="Q263" s="101"/>
      <c r="AA263" s="15"/>
    </row>
    <row r="264" spans="9:27" ht="14.25" customHeight="1" x14ac:dyDescent="0.25">
      <c r="I264" s="100"/>
      <c r="J264" s="100"/>
      <c r="K264" s="100"/>
      <c r="O264" s="103"/>
      <c r="P264" s="101"/>
      <c r="Q264" s="101"/>
      <c r="AA264" s="15"/>
    </row>
    <row r="265" spans="9:27" ht="14.25" customHeight="1" x14ac:dyDescent="0.25">
      <c r="I265" s="100"/>
      <c r="J265" s="100"/>
      <c r="K265" s="100"/>
      <c r="O265" s="103"/>
      <c r="P265" s="101"/>
      <c r="Q265" s="101"/>
      <c r="AA265" s="15"/>
    </row>
    <row r="266" spans="9:27" ht="14.25" customHeight="1" x14ac:dyDescent="0.25">
      <c r="I266" s="100"/>
      <c r="J266" s="100"/>
      <c r="K266" s="100"/>
      <c r="O266" s="103"/>
      <c r="P266" s="101"/>
      <c r="Q266" s="101"/>
      <c r="AA266" s="15"/>
    </row>
    <row r="267" spans="9:27" ht="14.25" customHeight="1" x14ac:dyDescent="0.25">
      <c r="I267" s="100"/>
      <c r="J267" s="100"/>
      <c r="K267" s="100"/>
      <c r="O267" s="103"/>
      <c r="P267" s="101"/>
      <c r="Q267" s="101"/>
      <c r="AA267" s="15"/>
    </row>
    <row r="268" spans="9:27" ht="14.25" customHeight="1" x14ac:dyDescent="0.25">
      <c r="I268" s="100"/>
      <c r="J268" s="100"/>
      <c r="K268" s="100"/>
      <c r="O268" s="103"/>
      <c r="P268" s="101"/>
      <c r="Q268" s="101"/>
      <c r="AA268" s="15"/>
    </row>
    <row r="269" spans="9:27" ht="14.25" customHeight="1" x14ac:dyDescent="0.25">
      <c r="I269" s="100"/>
      <c r="J269" s="100"/>
      <c r="K269" s="100"/>
      <c r="O269" s="103"/>
      <c r="P269" s="101"/>
      <c r="Q269" s="101"/>
      <c r="AA269" s="15"/>
    </row>
    <row r="270" spans="9:27" ht="14.25" customHeight="1" x14ac:dyDescent="0.25">
      <c r="I270" s="100"/>
      <c r="J270" s="100"/>
      <c r="K270" s="100"/>
      <c r="O270" s="103"/>
      <c r="P270" s="101"/>
      <c r="Q270" s="101"/>
      <c r="AA270" s="15"/>
    </row>
    <row r="271" spans="9:27" ht="14.25" customHeight="1" x14ac:dyDescent="0.25">
      <c r="I271" s="100"/>
      <c r="J271" s="100"/>
      <c r="K271" s="100"/>
      <c r="O271" s="103"/>
      <c r="P271" s="101"/>
      <c r="Q271" s="101"/>
      <c r="AA271" s="15"/>
    </row>
    <row r="272" spans="9:27" ht="14.25" customHeight="1" x14ac:dyDescent="0.25">
      <c r="I272" s="100"/>
      <c r="J272" s="100"/>
      <c r="K272" s="100"/>
      <c r="O272" s="103"/>
      <c r="P272" s="101"/>
      <c r="Q272" s="101"/>
      <c r="AA272" s="15"/>
    </row>
    <row r="273" spans="9:27" ht="14.25" customHeight="1" x14ac:dyDescent="0.25">
      <c r="I273" s="100"/>
      <c r="J273" s="100"/>
      <c r="K273" s="100"/>
      <c r="O273" s="103"/>
      <c r="P273" s="101"/>
      <c r="Q273" s="101"/>
      <c r="AA273" s="15"/>
    </row>
    <row r="274" spans="9:27" ht="14.25" customHeight="1" x14ac:dyDescent="0.25">
      <c r="I274" s="100"/>
      <c r="J274" s="100"/>
      <c r="K274" s="100"/>
      <c r="O274" s="103"/>
      <c r="P274" s="101"/>
      <c r="Q274" s="101"/>
      <c r="AA274" s="15"/>
    </row>
    <row r="275" spans="9:27" ht="14.25" customHeight="1" x14ac:dyDescent="0.25">
      <c r="I275" s="100"/>
      <c r="J275" s="100"/>
      <c r="K275" s="100"/>
      <c r="O275" s="103"/>
      <c r="P275" s="101"/>
      <c r="Q275" s="101"/>
      <c r="AA275" s="15"/>
    </row>
    <row r="276" spans="9:27" ht="14.25" customHeight="1" x14ac:dyDescent="0.25">
      <c r="I276" s="100"/>
      <c r="J276" s="100"/>
      <c r="K276" s="100"/>
      <c r="O276" s="103"/>
      <c r="P276" s="101"/>
      <c r="Q276" s="101"/>
      <c r="AA276" s="15"/>
    </row>
    <row r="277" spans="9:27" ht="14.25" customHeight="1" x14ac:dyDescent="0.25">
      <c r="I277" s="100"/>
      <c r="J277" s="100"/>
      <c r="K277" s="100"/>
      <c r="O277" s="103"/>
      <c r="P277" s="101"/>
      <c r="Q277" s="101"/>
      <c r="AA277" s="15"/>
    </row>
    <row r="278" spans="9:27" ht="14.25" customHeight="1" x14ac:dyDescent="0.25">
      <c r="I278" s="100"/>
      <c r="J278" s="100"/>
      <c r="K278" s="100"/>
      <c r="O278" s="103"/>
      <c r="P278" s="101"/>
      <c r="Q278" s="101"/>
      <c r="AA278" s="15"/>
    </row>
    <row r="279" spans="9:27" ht="14.25" customHeight="1" x14ac:dyDescent="0.25">
      <c r="I279" s="100"/>
      <c r="J279" s="100"/>
      <c r="K279" s="100"/>
      <c r="O279" s="103"/>
      <c r="P279" s="101"/>
      <c r="Q279" s="101"/>
      <c r="AA279" s="15"/>
    </row>
    <row r="280" spans="9:27" ht="14.25" customHeight="1" x14ac:dyDescent="0.25">
      <c r="I280" s="100"/>
      <c r="J280" s="100"/>
      <c r="K280" s="100"/>
      <c r="O280" s="103"/>
      <c r="P280" s="101"/>
      <c r="Q280" s="101"/>
      <c r="AA280" s="15"/>
    </row>
    <row r="281" spans="9:27" ht="14.25" customHeight="1" x14ac:dyDescent="0.25">
      <c r="I281" s="100"/>
      <c r="J281" s="100"/>
      <c r="K281" s="100"/>
      <c r="O281" s="103"/>
      <c r="P281" s="101"/>
      <c r="Q281" s="101"/>
      <c r="AA281" s="15"/>
    </row>
    <row r="282" spans="9:27" ht="14.25" customHeight="1" x14ac:dyDescent="0.25">
      <c r="I282" s="100"/>
      <c r="J282" s="100"/>
      <c r="K282" s="100"/>
      <c r="O282" s="103"/>
      <c r="P282" s="101"/>
      <c r="Q282" s="101"/>
      <c r="AA282" s="15"/>
    </row>
    <row r="283" spans="9:27" ht="14.25" customHeight="1" x14ac:dyDescent="0.25">
      <c r="I283" s="100"/>
      <c r="J283" s="100"/>
      <c r="K283" s="100"/>
      <c r="O283" s="103"/>
      <c r="P283" s="101"/>
      <c r="Q283" s="101"/>
      <c r="AA283" s="15"/>
    </row>
    <row r="284" spans="9:27" ht="14.25" customHeight="1" x14ac:dyDescent="0.25">
      <c r="I284" s="100"/>
      <c r="J284" s="100"/>
      <c r="K284" s="100"/>
      <c r="O284" s="103"/>
      <c r="P284" s="101"/>
      <c r="Q284" s="101"/>
      <c r="AA284" s="15"/>
    </row>
    <row r="285" spans="9:27" ht="14.25" customHeight="1" x14ac:dyDescent="0.25">
      <c r="I285" s="100"/>
      <c r="J285" s="100"/>
      <c r="K285" s="100"/>
      <c r="O285" s="103"/>
      <c r="P285" s="101"/>
      <c r="Q285" s="101"/>
      <c r="AA285" s="15"/>
    </row>
    <row r="286" spans="9:27" ht="14.25" customHeight="1" x14ac:dyDescent="0.25">
      <c r="I286" s="100"/>
      <c r="J286" s="100"/>
      <c r="K286" s="100"/>
      <c r="O286" s="103"/>
      <c r="P286" s="101"/>
      <c r="Q286" s="101"/>
      <c r="AA286" s="15"/>
    </row>
    <row r="287" spans="9:27" ht="14.25" customHeight="1" x14ac:dyDescent="0.25">
      <c r="I287" s="100"/>
      <c r="J287" s="100"/>
      <c r="K287" s="100"/>
      <c r="O287" s="103"/>
      <c r="P287" s="101"/>
      <c r="Q287" s="101"/>
      <c r="AA287" s="15"/>
    </row>
    <row r="288" spans="9:27" ht="14.25" customHeight="1" x14ac:dyDescent="0.25">
      <c r="I288" s="100"/>
      <c r="J288" s="100"/>
      <c r="K288" s="100"/>
      <c r="O288" s="103"/>
      <c r="P288" s="101"/>
      <c r="Q288" s="101"/>
      <c r="AA288" s="15"/>
    </row>
    <row r="289" spans="9:27" ht="14.25" customHeight="1" x14ac:dyDescent="0.25">
      <c r="I289" s="100"/>
      <c r="J289" s="100"/>
      <c r="K289" s="100"/>
      <c r="O289" s="103"/>
      <c r="P289" s="101"/>
      <c r="Q289" s="101"/>
      <c r="AA289" s="15"/>
    </row>
    <row r="290" spans="9:27" ht="14.25" customHeight="1" x14ac:dyDescent="0.25">
      <c r="I290" s="100"/>
      <c r="J290" s="100"/>
      <c r="K290" s="100"/>
      <c r="O290" s="103"/>
      <c r="P290" s="101"/>
      <c r="Q290" s="101"/>
      <c r="AA290" s="15"/>
    </row>
    <row r="291" spans="9:27" ht="14.25" customHeight="1" x14ac:dyDescent="0.25">
      <c r="I291" s="100"/>
      <c r="J291" s="100"/>
      <c r="K291" s="100"/>
      <c r="O291" s="103"/>
      <c r="P291" s="101"/>
      <c r="Q291" s="101"/>
      <c r="AA291" s="15"/>
    </row>
    <row r="292" spans="9:27" ht="14.25" customHeight="1" x14ac:dyDescent="0.25">
      <c r="I292" s="100"/>
      <c r="J292" s="100"/>
      <c r="K292" s="100"/>
      <c r="O292" s="103"/>
      <c r="P292" s="101"/>
      <c r="Q292" s="101"/>
      <c r="AA292" s="15"/>
    </row>
    <row r="293" spans="9:27" ht="14.25" customHeight="1" x14ac:dyDescent="0.25">
      <c r="I293" s="100"/>
      <c r="J293" s="100"/>
      <c r="K293" s="100"/>
      <c r="O293" s="103"/>
      <c r="P293" s="101"/>
      <c r="Q293" s="101"/>
      <c r="AA293" s="15"/>
    </row>
    <row r="294" spans="9:27" ht="14.25" customHeight="1" x14ac:dyDescent="0.25">
      <c r="I294" s="100"/>
      <c r="J294" s="100"/>
      <c r="K294" s="100"/>
      <c r="O294" s="103"/>
      <c r="P294" s="101"/>
      <c r="Q294" s="101"/>
      <c r="AA294" s="15"/>
    </row>
    <row r="295" spans="9:27" ht="14.25" customHeight="1" x14ac:dyDescent="0.25">
      <c r="I295" s="100"/>
      <c r="J295" s="100"/>
      <c r="K295" s="100"/>
      <c r="O295" s="103"/>
      <c r="P295" s="101"/>
      <c r="Q295" s="101"/>
      <c r="AA295" s="15"/>
    </row>
    <row r="296" spans="9:27" ht="14.25" customHeight="1" x14ac:dyDescent="0.25">
      <c r="I296" s="100"/>
      <c r="J296" s="100"/>
      <c r="K296" s="100"/>
      <c r="O296" s="103"/>
      <c r="P296" s="101"/>
      <c r="Q296" s="101"/>
      <c r="AA296" s="15"/>
    </row>
    <row r="297" spans="9:27" ht="14.25" customHeight="1" x14ac:dyDescent="0.25">
      <c r="I297" s="100"/>
      <c r="J297" s="100"/>
      <c r="K297" s="100"/>
      <c r="O297" s="103"/>
      <c r="P297" s="101"/>
      <c r="Q297" s="101"/>
      <c r="AA297" s="15"/>
    </row>
    <row r="298" spans="9:27" ht="14.25" customHeight="1" x14ac:dyDescent="0.25">
      <c r="I298" s="100"/>
      <c r="J298" s="100"/>
      <c r="K298" s="100"/>
      <c r="O298" s="103"/>
      <c r="P298" s="101"/>
      <c r="Q298" s="101"/>
      <c r="AA298" s="15"/>
    </row>
    <row r="299" spans="9:27" ht="14.25" customHeight="1" x14ac:dyDescent="0.25">
      <c r="I299" s="100"/>
      <c r="J299" s="100"/>
      <c r="K299" s="100"/>
      <c r="O299" s="103"/>
      <c r="P299" s="101"/>
      <c r="Q299" s="101"/>
      <c r="AA299" s="15"/>
    </row>
    <row r="300" spans="9:27" ht="14.25" customHeight="1" x14ac:dyDescent="0.25">
      <c r="I300" s="100"/>
      <c r="J300" s="100"/>
      <c r="K300" s="100"/>
      <c r="O300" s="103"/>
      <c r="P300" s="101"/>
      <c r="Q300" s="101"/>
      <c r="AA300" s="15"/>
    </row>
    <row r="301" spans="9:27" ht="14.25" customHeight="1" x14ac:dyDescent="0.25">
      <c r="I301" s="100"/>
      <c r="J301" s="100"/>
      <c r="K301" s="100"/>
      <c r="O301" s="103"/>
      <c r="P301" s="101"/>
      <c r="Q301" s="101"/>
      <c r="AA301" s="15"/>
    </row>
    <row r="302" spans="9:27" ht="14.25" customHeight="1" x14ac:dyDescent="0.25">
      <c r="I302" s="100"/>
      <c r="J302" s="100"/>
      <c r="K302" s="100"/>
      <c r="O302" s="103"/>
      <c r="P302" s="101"/>
      <c r="Q302" s="101"/>
      <c r="AA302" s="15"/>
    </row>
    <row r="303" spans="9:27" ht="14.25" customHeight="1" x14ac:dyDescent="0.25">
      <c r="I303" s="100"/>
      <c r="J303" s="100"/>
      <c r="K303" s="100"/>
      <c r="O303" s="103"/>
      <c r="P303" s="101"/>
      <c r="Q303" s="101"/>
      <c r="AA303" s="15"/>
    </row>
    <row r="304" spans="9:27" ht="14.25" customHeight="1" x14ac:dyDescent="0.25">
      <c r="I304" s="100"/>
      <c r="J304" s="100"/>
      <c r="K304" s="100"/>
      <c r="O304" s="103"/>
      <c r="P304" s="101"/>
      <c r="Q304" s="101"/>
      <c r="AA304" s="15"/>
    </row>
    <row r="305" spans="9:27" ht="14.25" customHeight="1" x14ac:dyDescent="0.25">
      <c r="I305" s="100"/>
      <c r="J305" s="100"/>
      <c r="K305" s="100"/>
      <c r="O305" s="103"/>
      <c r="P305" s="101"/>
      <c r="Q305" s="101"/>
      <c r="AA305" s="15"/>
    </row>
    <row r="306" spans="9:27" ht="14.25" customHeight="1" x14ac:dyDescent="0.25">
      <c r="I306" s="100"/>
      <c r="J306" s="100"/>
      <c r="K306" s="100"/>
      <c r="O306" s="103"/>
      <c r="P306" s="101"/>
      <c r="Q306" s="101"/>
      <c r="AA306" s="15"/>
    </row>
    <row r="307" spans="9:27" ht="14.25" customHeight="1" x14ac:dyDescent="0.25">
      <c r="I307" s="100"/>
      <c r="J307" s="100"/>
      <c r="K307" s="100"/>
      <c r="O307" s="103"/>
      <c r="P307" s="101"/>
      <c r="Q307" s="101"/>
      <c r="AA307" s="15"/>
    </row>
    <row r="308" spans="9:27" ht="14.25" customHeight="1" x14ac:dyDescent="0.25">
      <c r="I308" s="100"/>
      <c r="J308" s="100"/>
      <c r="K308" s="100"/>
      <c r="O308" s="103"/>
      <c r="P308" s="101"/>
      <c r="Q308" s="101"/>
      <c r="AA308" s="15"/>
    </row>
    <row r="309" spans="9:27" ht="14.25" customHeight="1" x14ac:dyDescent="0.25">
      <c r="I309" s="100"/>
      <c r="J309" s="100"/>
      <c r="K309" s="100"/>
      <c r="O309" s="103"/>
      <c r="P309" s="101"/>
      <c r="Q309" s="101"/>
      <c r="AA309" s="15"/>
    </row>
    <row r="310" spans="9:27" ht="14.25" customHeight="1" x14ac:dyDescent="0.25">
      <c r="I310" s="100"/>
      <c r="J310" s="100"/>
      <c r="K310" s="100"/>
      <c r="O310" s="103"/>
      <c r="P310" s="101"/>
      <c r="Q310" s="101"/>
      <c r="AA310" s="15"/>
    </row>
    <row r="311" spans="9:27" ht="14.25" customHeight="1" x14ac:dyDescent="0.25">
      <c r="I311" s="100"/>
      <c r="J311" s="100"/>
      <c r="K311" s="100"/>
      <c r="O311" s="103"/>
      <c r="P311" s="101"/>
      <c r="Q311" s="101"/>
      <c r="AA311" s="15"/>
    </row>
    <row r="312" spans="9:27" ht="14.25" customHeight="1" x14ac:dyDescent="0.25">
      <c r="I312" s="100"/>
      <c r="J312" s="100"/>
      <c r="K312" s="100"/>
      <c r="O312" s="103"/>
      <c r="P312" s="101"/>
      <c r="Q312" s="101"/>
      <c r="AA312" s="15"/>
    </row>
    <row r="313" spans="9:27" ht="14.25" customHeight="1" x14ac:dyDescent="0.25">
      <c r="I313" s="100"/>
      <c r="J313" s="100"/>
      <c r="K313" s="100"/>
      <c r="O313" s="103"/>
      <c r="P313" s="101"/>
      <c r="Q313" s="101"/>
      <c r="AA313" s="15"/>
    </row>
    <row r="314" spans="9:27" ht="14.25" customHeight="1" x14ac:dyDescent="0.25">
      <c r="I314" s="100"/>
      <c r="J314" s="100"/>
      <c r="K314" s="100"/>
      <c r="O314" s="103"/>
      <c r="P314" s="101"/>
      <c r="Q314" s="101"/>
      <c r="AA314" s="15"/>
    </row>
    <row r="315" spans="9:27" ht="14.25" customHeight="1" x14ac:dyDescent="0.25">
      <c r="I315" s="100"/>
      <c r="J315" s="100"/>
      <c r="K315" s="100"/>
      <c r="O315" s="103"/>
      <c r="P315" s="101"/>
      <c r="Q315" s="101"/>
      <c r="AA315" s="15"/>
    </row>
    <row r="316" spans="9:27" ht="14.25" customHeight="1" x14ac:dyDescent="0.25">
      <c r="I316" s="100"/>
      <c r="J316" s="100"/>
      <c r="K316" s="100"/>
      <c r="O316" s="103"/>
      <c r="P316" s="101"/>
      <c r="Q316" s="101"/>
      <c r="AA316" s="15"/>
    </row>
    <row r="317" spans="9:27" ht="14.25" customHeight="1" x14ac:dyDescent="0.25">
      <c r="I317" s="100"/>
      <c r="J317" s="100"/>
      <c r="K317" s="100"/>
      <c r="O317" s="103"/>
      <c r="P317" s="101"/>
      <c r="Q317" s="101"/>
      <c r="AA317" s="15"/>
    </row>
    <row r="318" spans="9:27" ht="14.25" customHeight="1" x14ac:dyDescent="0.25">
      <c r="I318" s="100"/>
      <c r="J318" s="100"/>
      <c r="K318" s="100"/>
      <c r="O318" s="103"/>
      <c r="P318" s="101"/>
      <c r="Q318" s="101"/>
      <c r="AA318" s="15"/>
    </row>
    <row r="319" spans="9:27" ht="14.25" customHeight="1" x14ac:dyDescent="0.25">
      <c r="I319" s="100"/>
      <c r="J319" s="100"/>
      <c r="K319" s="100"/>
      <c r="O319" s="103"/>
      <c r="P319" s="101"/>
      <c r="Q319" s="101"/>
      <c r="AA319" s="15"/>
    </row>
    <row r="320" spans="9:27" ht="14.25" customHeight="1" x14ac:dyDescent="0.25">
      <c r="I320" s="100"/>
      <c r="J320" s="100"/>
      <c r="K320" s="100"/>
      <c r="O320" s="103"/>
      <c r="P320" s="101"/>
      <c r="Q320" s="101"/>
      <c r="AA320" s="15"/>
    </row>
    <row r="321" spans="9:27" ht="14.25" customHeight="1" x14ac:dyDescent="0.25">
      <c r="I321" s="100"/>
      <c r="J321" s="100"/>
      <c r="K321" s="100"/>
      <c r="O321" s="103"/>
      <c r="P321" s="101"/>
      <c r="Q321" s="101"/>
      <c r="AA321" s="15"/>
    </row>
    <row r="322" spans="9:27" ht="14.25" customHeight="1" x14ac:dyDescent="0.25">
      <c r="I322" s="100"/>
      <c r="J322" s="100"/>
      <c r="K322" s="100"/>
      <c r="O322" s="103"/>
      <c r="P322" s="101"/>
      <c r="Q322" s="101"/>
      <c r="AA322" s="15"/>
    </row>
    <row r="323" spans="9:27" ht="14.25" customHeight="1" x14ac:dyDescent="0.25">
      <c r="I323" s="100"/>
      <c r="J323" s="100"/>
      <c r="K323" s="100"/>
      <c r="O323" s="103"/>
      <c r="P323" s="101"/>
      <c r="Q323" s="101"/>
      <c r="AA323" s="15"/>
    </row>
    <row r="324" spans="9:27" ht="14.25" customHeight="1" x14ac:dyDescent="0.25">
      <c r="I324" s="100"/>
      <c r="J324" s="100"/>
      <c r="K324" s="100"/>
      <c r="O324" s="103"/>
      <c r="P324" s="101"/>
      <c r="Q324" s="101"/>
      <c r="AA324" s="15"/>
    </row>
    <row r="325" spans="9:27" ht="14.25" customHeight="1" x14ac:dyDescent="0.25">
      <c r="I325" s="100"/>
      <c r="J325" s="100"/>
      <c r="K325" s="100"/>
      <c r="O325" s="103"/>
      <c r="P325" s="101"/>
      <c r="Q325" s="101"/>
      <c r="AA325" s="15"/>
    </row>
    <row r="326" spans="9:27" ht="14.25" customHeight="1" x14ac:dyDescent="0.25">
      <c r="I326" s="100"/>
      <c r="J326" s="100"/>
      <c r="K326" s="100"/>
      <c r="O326" s="103"/>
      <c r="P326" s="101"/>
      <c r="Q326" s="101"/>
      <c r="AA326" s="15"/>
    </row>
    <row r="327" spans="9:27" ht="14.25" customHeight="1" x14ac:dyDescent="0.25">
      <c r="I327" s="100"/>
      <c r="J327" s="100"/>
      <c r="K327" s="100"/>
      <c r="O327" s="103"/>
      <c r="P327" s="101"/>
      <c r="Q327" s="101"/>
      <c r="AA327" s="15"/>
    </row>
    <row r="328" spans="9:27" ht="14.25" customHeight="1" x14ac:dyDescent="0.25">
      <c r="I328" s="100"/>
      <c r="J328" s="100"/>
      <c r="K328" s="100"/>
      <c r="O328" s="103"/>
      <c r="P328" s="101"/>
      <c r="Q328" s="101"/>
      <c r="AA328" s="15"/>
    </row>
    <row r="329" spans="9:27" ht="14.25" customHeight="1" x14ac:dyDescent="0.25">
      <c r="I329" s="100"/>
      <c r="J329" s="100"/>
      <c r="K329" s="100"/>
      <c r="O329" s="103"/>
      <c r="P329" s="101"/>
      <c r="Q329" s="101"/>
      <c r="AA329" s="15"/>
    </row>
    <row r="330" spans="9:27" ht="14.25" customHeight="1" x14ac:dyDescent="0.25">
      <c r="I330" s="100"/>
      <c r="J330" s="100"/>
      <c r="K330" s="100"/>
      <c r="O330" s="103"/>
      <c r="P330" s="101"/>
      <c r="Q330" s="101"/>
      <c r="AA330" s="15"/>
    </row>
    <row r="331" spans="9:27" ht="14.25" customHeight="1" x14ac:dyDescent="0.25">
      <c r="I331" s="100"/>
      <c r="J331" s="100"/>
      <c r="K331" s="100"/>
      <c r="O331" s="103"/>
      <c r="P331" s="101"/>
      <c r="Q331" s="101"/>
      <c r="AA331" s="15"/>
    </row>
    <row r="332" spans="9:27" ht="14.25" customHeight="1" x14ac:dyDescent="0.25">
      <c r="I332" s="100"/>
      <c r="J332" s="100"/>
      <c r="K332" s="100"/>
      <c r="O332" s="103"/>
      <c r="P332" s="101"/>
      <c r="Q332" s="101"/>
      <c r="AA332" s="15"/>
    </row>
    <row r="333" spans="9:27" ht="14.25" customHeight="1" x14ac:dyDescent="0.25">
      <c r="I333" s="100"/>
      <c r="J333" s="100"/>
      <c r="K333" s="100"/>
      <c r="O333" s="103"/>
      <c r="P333" s="101"/>
      <c r="Q333" s="101"/>
      <c r="AA333" s="15"/>
    </row>
    <row r="334" spans="9:27" ht="14.25" customHeight="1" x14ac:dyDescent="0.25">
      <c r="I334" s="100"/>
      <c r="J334" s="100"/>
      <c r="K334" s="100"/>
      <c r="O334" s="103"/>
      <c r="P334" s="101"/>
      <c r="Q334" s="101"/>
      <c r="AA334" s="15"/>
    </row>
    <row r="335" spans="9:27" ht="14.25" customHeight="1" x14ac:dyDescent="0.25">
      <c r="I335" s="100"/>
      <c r="J335" s="100"/>
      <c r="K335" s="100"/>
      <c r="O335" s="103"/>
      <c r="P335" s="101"/>
      <c r="Q335" s="101"/>
      <c r="AA335" s="15"/>
    </row>
    <row r="336" spans="9:27" ht="14.25" customHeight="1" x14ac:dyDescent="0.25">
      <c r="I336" s="100"/>
      <c r="J336" s="100"/>
      <c r="K336" s="100"/>
      <c r="O336" s="103"/>
      <c r="P336" s="101"/>
      <c r="Q336" s="101"/>
      <c r="AA336" s="15"/>
    </row>
    <row r="337" spans="9:27" ht="14.25" customHeight="1" x14ac:dyDescent="0.25">
      <c r="I337" s="100"/>
      <c r="J337" s="100"/>
      <c r="K337" s="100"/>
      <c r="O337" s="103"/>
      <c r="P337" s="101"/>
      <c r="Q337" s="101"/>
      <c r="AA337" s="15"/>
    </row>
    <row r="338" spans="9:27" ht="14.25" customHeight="1" x14ac:dyDescent="0.25">
      <c r="I338" s="100"/>
      <c r="J338" s="100"/>
      <c r="K338" s="100"/>
      <c r="O338" s="103"/>
      <c r="P338" s="101"/>
      <c r="Q338" s="101"/>
      <c r="AA338" s="15"/>
    </row>
    <row r="339" spans="9:27" ht="14.25" customHeight="1" x14ac:dyDescent="0.25">
      <c r="I339" s="100"/>
      <c r="J339" s="100"/>
      <c r="K339" s="100"/>
      <c r="O339" s="103"/>
      <c r="P339" s="101"/>
      <c r="Q339" s="101"/>
      <c r="AA339" s="15"/>
    </row>
    <row r="340" spans="9:27" ht="14.25" customHeight="1" x14ac:dyDescent="0.25">
      <c r="I340" s="100"/>
      <c r="J340" s="100"/>
      <c r="K340" s="100"/>
      <c r="O340" s="103"/>
      <c r="P340" s="101"/>
      <c r="Q340" s="101"/>
      <c r="AA340" s="15"/>
    </row>
    <row r="341" spans="9:27" ht="14.25" customHeight="1" x14ac:dyDescent="0.25">
      <c r="I341" s="100"/>
      <c r="J341" s="100"/>
      <c r="K341" s="100"/>
      <c r="O341" s="103"/>
      <c r="P341" s="101"/>
      <c r="Q341" s="101"/>
      <c r="AA341" s="15"/>
    </row>
    <row r="342" spans="9:27" ht="14.25" customHeight="1" x14ac:dyDescent="0.25">
      <c r="I342" s="100"/>
      <c r="J342" s="100"/>
      <c r="K342" s="100"/>
      <c r="O342" s="103"/>
      <c r="P342" s="101"/>
      <c r="Q342" s="101"/>
      <c r="AA342" s="15"/>
    </row>
    <row r="343" spans="9:27" ht="14.25" customHeight="1" x14ac:dyDescent="0.25">
      <c r="I343" s="100"/>
      <c r="J343" s="100"/>
      <c r="K343" s="100"/>
      <c r="O343" s="103"/>
      <c r="P343" s="101"/>
      <c r="Q343" s="101"/>
      <c r="AA343" s="15"/>
    </row>
    <row r="344" spans="9:27" ht="14.25" customHeight="1" x14ac:dyDescent="0.25">
      <c r="I344" s="100"/>
      <c r="J344" s="100"/>
      <c r="K344" s="100"/>
      <c r="O344" s="103"/>
      <c r="P344" s="101"/>
      <c r="Q344" s="101"/>
      <c r="AA344" s="15"/>
    </row>
    <row r="345" spans="9:27" ht="14.25" customHeight="1" x14ac:dyDescent="0.25">
      <c r="I345" s="100"/>
      <c r="J345" s="100"/>
      <c r="K345" s="100"/>
      <c r="O345" s="103"/>
      <c r="P345" s="101"/>
      <c r="Q345" s="101"/>
      <c r="AA345" s="15"/>
    </row>
    <row r="346" spans="9:27" ht="14.25" customHeight="1" x14ac:dyDescent="0.25">
      <c r="I346" s="100"/>
      <c r="J346" s="100"/>
      <c r="K346" s="100"/>
      <c r="O346" s="103"/>
      <c r="P346" s="101"/>
      <c r="Q346" s="101"/>
      <c r="AA346" s="15"/>
    </row>
    <row r="347" spans="9:27" ht="14.25" customHeight="1" x14ac:dyDescent="0.25">
      <c r="I347" s="100"/>
      <c r="J347" s="100"/>
      <c r="K347" s="100"/>
      <c r="O347" s="103"/>
      <c r="P347" s="101"/>
      <c r="Q347" s="101"/>
      <c r="AA347" s="15"/>
    </row>
    <row r="348" spans="9:27" ht="14.25" customHeight="1" x14ac:dyDescent="0.25">
      <c r="I348" s="100"/>
      <c r="J348" s="100"/>
      <c r="K348" s="100"/>
      <c r="O348" s="103"/>
      <c r="P348" s="101"/>
      <c r="Q348" s="101"/>
      <c r="AA348" s="15"/>
    </row>
    <row r="349" spans="9:27" ht="14.25" customHeight="1" x14ac:dyDescent="0.25">
      <c r="I349" s="100"/>
      <c r="J349" s="100"/>
      <c r="K349" s="100"/>
      <c r="O349" s="103"/>
      <c r="P349" s="101"/>
      <c r="Q349" s="101"/>
      <c r="AA349" s="15"/>
    </row>
    <row r="350" spans="9:27" ht="14.25" customHeight="1" x14ac:dyDescent="0.25">
      <c r="I350" s="100"/>
      <c r="J350" s="100"/>
      <c r="K350" s="100"/>
      <c r="O350" s="103"/>
      <c r="P350" s="101"/>
      <c r="Q350" s="101"/>
      <c r="AA350" s="15"/>
    </row>
    <row r="351" spans="9:27" ht="14.25" customHeight="1" x14ac:dyDescent="0.25">
      <c r="I351" s="100"/>
      <c r="J351" s="100"/>
      <c r="K351" s="100"/>
      <c r="O351" s="103"/>
      <c r="P351" s="101"/>
      <c r="Q351" s="101"/>
      <c r="AA351" s="15"/>
    </row>
    <row r="352" spans="9:27" ht="14.25" customHeight="1" x14ac:dyDescent="0.25">
      <c r="I352" s="100"/>
      <c r="J352" s="100"/>
      <c r="K352" s="100"/>
      <c r="O352" s="103"/>
      <c r="P352" s="101"/>
      <c r="Q352" s="101"/>
      <c r="AA352" s="15"/>
    </row>
    <row r="353" spans="9:27" ht="14.25" customHeight="1" x14ac:dyDescent="0.25">
      <c r="I353" s="100"/>
      <c r="J353" s="100"/>
      <c r="K353" s="100"/>
      <c r="O353" s="103"/>
      <c r="P353" s="101"/>
      <c r="Q353" s="101"/>
      <c r="AA353" s="15"/>
    </row>
    <row r="354" spans="9:27" ht="14.25" customHeight="1" x14ac:dyDescent="0.25">
      <c r="I354" s="100"/>
      <c r="J354" s="100"/>
      <c r="K354" s="100"/>
      <c r="O354" s="103"/>
      <c r="P354" s="101"/>
      <c r="Q354" s="101"/>
      <c r="AA354" s="15"/>
    </row>
    <row r="355" spans="9:27" ht="14.25" customHeight="1" x14ac:dyDescent="0.25">
      <c r="I355" s="100"/>
      <c r="J355" s="100"/>
      <c r="K355" s="100"/>
      <c r="O355" s="103"/>
      <c r="P355" s="101"/>
      <c r="Q355" s="101"/>
      <c r="AA355" s="15"/>
    </row>
    <row r="356" spans="9:27" ht="14.25" customHeight="1" x14ac:dyDescent="0.25">
      <c r="I356" s="100"/>
      <c r="J356" s="100"/>
      <c r="K356" s="100"/>
      <c r="O356" s="103"/>
      <c r="P356" s="101"/>
      <c r="Q356" s="101"/>
      <c r="AA356" s="15"/>
    </row>
    <row r="357" spans="9:27" ht="14.25" customHeight="1" x14ac:dyDescent="0.25">
      <c r="I357" s="100"/>
      <c r="J357" s="100"/>
      <c r="K357" s="100"/>
      <c r="O357" s="103"/>
      <c r="P357" s="101"/>
      <c r="Q357" s="101"/>
      <c r="AA357" s="15"/>
    </row>
    <row r="358" spans="9:27" ht="14.25" customHeight="1" x14ac:dyDescent="0.25">
      <c r="I358" s="100"/>
      <c r="J358" s="100"/>
      <c r="K358" s="100"/>
      <c r="O358" s="103"/>
      <c r="P358" s="101"/>
      <c r="Q358" s="101"/>
      <c r="AA358" s="15"/>
    </row>
    <row r="359" spans="9:27" ht="14.25" customHeight="1" x14ac:dyDescent="0.25">
      <c r="I359" s="100"/>
      <c r="J359" s="100"/>
      <c r="K359" s="100"/>
      <c r="O359" s="103"/>
      <c r="P359" s="101"/>
      <c r="Q359" s="101"/>
      <c r="AA359" s="15"/>
    </row>
    <row r="360" spans="9:27" ht="14.25" customHeight="1" x14ac:dyDescent="0.25">
      <c r="I360" s="100"/>
      <c r="J360" s="100"/>
      <c r="K360" s="100"/>
      <c r="O360" s="103"/>
      <c r="P360" s="101"/>
      <c r="Q360" s="101"/>
      <c r="AA360" s="15"/>
    </row>
    <row r="361" spans="9:27" ht="14.25" customHeight="1" x14ac:dyDescent="0.25">
      <c r="I361" s="100"/>
      <c r="J361" s="100"/>
      <c r="K361" s="100"/>
      <c r="O361" s="103"/>
      <c r="P361" s="101"/>
      <c r="Q361" s="101"/>
      <c r="AA361" s="15"/>
    </row>
    <row r="362" spans="9:27" ht="14.25" customHeight="1" x14ac:dyDescent="0.25">
      <c r="I362" s="100"/>
      <c r="J362" s="100"/>
      <c r="K362" s="100"/>
      <c r="O362" s="103"/>
      <c r="P362" s="101"/>
      <c r="Q362" s="101"/>
      <c r="AA362" s="15"/>
    </row>
    <row r="363" spans="9:27" ht="14.25" customHeight="1" x14ac:dyDescent="0.25">
      <c r="I363" s="100"/>
      <c r="J363" s="100"/>
      <c r="K363" s="100"/>
      <c r="O363" s="103"/>
      <c r="P363" s="101"/>
      <c r="Q363" s="101"/>
      <c r="AA363" s="15"/>
    </row>
    <row r="364" spans="9:27" ht="14.25" customHeight="1" x14ac:dyDescent="0.25">
      <c r="I364" s="100"/>
      <c r="J364" s="100"/>
      <c r="K364" s="100"/>
      <c r="O364" s="103"/>
      <c r="P364" s="101"/>
      <c r="Q364" s="101"/>
      <c r="AA364" s="15"/>
    </row>
    <row r="365" spans="9:27" ht="14.25" customHeight="1" x14ac:dyDescent="0.25">
      <c r="I365" s="100"/>
      <c r="J365" s="100"/>
      <c r="K365" s="100"/>
      <c r="O365" s="103"/>
      <c r="P365" s="101"/>
      <c r="Q365" s="101"/>
      <c r="AA365" s="15"/>
    </row>
    <row r="366" spans="9:27" ht="14.25" customHeight="1" x14ac:dyDescent="0.25">
      <c r="I366" s="100"/>
      <c r="J366" s="100"/>
      <c r="K366" s="100"/>
      <c r="O366" s="103"/>
      <c r="P366" s="101"/>
      <c r="Q366" s="101"/>
      <c r="AA366" s="15"/>
    </row>
    <row r="367" spans="9:27" ht="14.25" customHeight="1" x14ac:dyDescent="0.25">
      <c r="I367" s="100"/>
      <c r="J367" s="100"/>
      <c r="K367" s="100"/>
      <c r="O367" s="103"/>
      <c r="P367" s="101"/>
      <c r="Q367" s="101"/>
      <c r="AA367" s="15"/>
    </row>
    <row r="368" spans="9:27" ht="14.25" customHeight="1" x14ac:dyDescent="0.25">
      <c r="I368" s="100"/>
      <c r="J368" s="100"/>
      <c r="K368" s="100"/>
      <c r="O368" s="103"/>
      <c r="P368" s="101"/>
      <c r="Q368" s="101"/>
      <c r="AA368" s="15"/>
    </row>
    <row r="369" spans="9:27" ht="14.25" customHeight="1" x14ac:dyDescent="0.25">
      <c r="I369" s="100"/>
      <c r="J369" s="100"/>
      <c r="K369" s="100"/>
      <c r="O369" s="103"/>
      <c r="P369" s="101"/>
      <c r="Q369" s="101"/>
      <c r="AA369" s="15"/>
    </row>
    <row r="370" spans="9:27" ht="14.25" customHeight="1" x14ac:dyDescent="0.25">
      <c r="I370" s="100"/>
      <c r="J370" s="100"/>
      <c r="K370" s="100"/>
      <c r="O370" s="103"/>
      <c r="P370" s="101"/>
      <c r="Q370" s="101"/>
      <c r="AA370" s="15"/>
    </row>
    <row r="371" spans="9:27" ht="14.25" customHeight="1" x14ac:dyDescent="0.25">
      <c r="I371" s="100"/>
      <c r="J371" s="100"/>
      <c r="K371" s="100"/>
      <c r="O371" s="103"/>
      <c r="P371" s="101"/>
      <c r="Q371" s="101"/>
      <c r="AA371" s="15"/>
    </row>
    <row r="372" spans="9:27" ht="14.25" customHeight="1" x14ac:dyDescent="0.25">
      <c r="I372" s="100"/>
      <c r="J372" s="100"/>
      <c r="K372" s="100"/>
      <c r="O372" s="103"/>
      <c r="P372" s="101"/>
      <c r="Q372" s="101"/>
      <c r="AA372" s="15"/>
    </row>
    <row r="373" spans="9:27" ht="14.25" customHeight="1" x14ac:dyDescent="0.25">
      <c r="I373" s="100"/>
      <c r="J373" s="100"/>
      <c r="K373" s="100"/>
      <c r="O373" s="103"/>
      <c r="P373" s="101"/>
      <c r="Q373" s="101"/>
      <c r="AA373" s="15"/>
    </row>
    <row r="374" spans="9:27" ht="14.25" customHeight="1" x14ac:dyDescent="0.25">
      <c r="I374" s="100"/>
      <c r="J374" s="100"/>
      <c r="K374" s="100"/>
      <c r="O374" s="103"/>
      <c r="P374" s="101"/>
      <c r="Q374" s="101"/>
      <c r="AA374" s="15"/>
    </row>
    <row r="375" spans="9:27" ht="14.25" customHeight="1" x14ac:dyDescent="0.25">
      <c r="I375" s="100"/>
      <c r="J375" s="100"/>
      <c r="K375" s="100"/>
      <c r="O375" s="103"/>
      <c r="P375" s="101"/>
      <c r="Q375" s="101"/>
      <c r="AA375" s="15"/>
    </row>
    <row r="376" spans="9:27" ht="14.25" customHeight="1" x14ac:dyDescent="0.25">
      <c r="I376" s="100"/>
      <c r="J376" s="100"/>
      <c r="K376" s="100"/>
      <c r="O376" s="103"/>
      <c r="P376" s="101"/>
      <c r="Q376" s="101"/>
      <c r="AA376" s="15"/>
    </row>
    <row r="377" spans="9:27" ht="14.25" customHeight="1" x14ac:dyDescent="0.25">
      <c r="I377" s="100"/>
      <c r="J377" s="100"/>
      <c r="K377" s="100"/>
      <c r="O377" s="103"/>
      <c r="P377" s="101"/>
      <c r="Q377" s="101"/>
      <c r="AA377" s="15"/>
    </row>
    <row r="378" spans="9:27" ht="14.25" customHeight="1" x14ac:dyDescent="0.25">
      <c r="I378" s="100"/>
      <c r="J378" s="100"/>
      <c r="K378" s="100"/>
      <c r="O378" s="103"/>
      <c r="P378" s="101"/>
      <c r="Q378" s="101"/>
      <c r="AA378" s="15"/>
    </row>
    <row r="379" spans="9:27" ht="14.25" customHeight="1" x14ac:dyDescent="0.25">
      <c r="I379" s="100"/>
      <c r="J379" s="100"/>
      <c r="K379" s="100"/>
      <c r="O379" s="103"/>
      <c r="P379" s="101"/>
      <c r="Q379" s="101"/>
      <c r="AA379" s="15"/>
    </row>
    <row r="380" spans="9:27" ht="14.25" customHeight="1" x14ac:dyDescent="0.25">
      <c r="I380" s="100"/>
      <c r="J380" s="100"/>
      <c r="K380" s="100"/>
      <c r="O380" s="103"/>
      <c r="P380" s="101"/>
      <c r="Q380" s="101"/>
      <c r="AA380" s="15"/>
    </row>
    <row r="381" spans="9:27" ht="14.25" customHeight="1" x14ac:dyDescent="0.25">
      <c r="I381" s="100"/>
      <c r="J381" s="100"/>
      <c r="K381" s="100"/>
      <c r="O381" s="103"/>
      <c r="P381" s="101"/>
      <c r="Q381" s="101"/>
      <c r="AA381" s="15"/>
    </row>
    <row r="382" spans="9:27" ht="14.25" customHeight="1" x14ac:dyDescent="0.25">
      <c r="I382" s="100"/>
      <c r="J382" s="100"/>
      <c r="K382" s="100"/>
      <c r="O382" s="103"/>
      <c r="P382" s="101"/>
      <c r="Q382" s="101"/>
      <c r="AA382" s="15"/>
    </row>
    <row r="383" spans="9:27" ht="14.25" customHeight="1" x14ac:dyDescent="0.25">
      <c r="I383" s="100"/>
      <c r="J383" s="100"/>
      <c r="K383" s="100"/>
      <c r="O383" s="103"/>
      <c r="P383" s="101"/>
      <c r="Q383" s="101"/>
      <c r="AA383" s="15"/>
    </row>
    <row r="384" spans="9:27" ht="14.25" customHeight="1" x14ac:dyDescent="0.25">
      <c r="I384" s="100"/>
      <c r="J384" s="100"/>
      <c r="K384" s="100"/>
      <c r="O384" s="103"/>
      <c r="P384" s="101"/>
      <c r="Q384" s="101"/>
      <c r="AA384" s="15"/>
    </row>
    <row r="385" spans="9:27" ht="14.25" customHeight="1" x14ac:dyDescent="0.25">
      <c r="I385" s="100"/>
      <c r="J385" s="100"/>
      <c r="K385" s="100"/>
      <c r="O385" s="103"/>
      <c r="P385" s="101"/>
      <c r="Q385" s="101"/>
      <c r="AA385" s="15"/>
    </row>
    <row r="386" spans="9:27" ht="14.25" customHeight="1" x14ac:dyDescent="0.25">
      <c r="I386" s="100"/>
      <c r="J386" s="100"/>
      <c r="K386" s="100"/>
      <c r="O386" s="103"/>
      <c r="P386" s="101"/>
      <c r="Q386" s="101"/>
      <c r="AA386" s="15"/>
    </row>
    <row r="387" spans="9:27" ht="14.25" customHeight="1" x14ac:dyDescent="0.25">
      <c r="I387" s="100"/>
      <c r="J387" s="100"/>
      <c r="K387" s="100"/>
      <c r="O387" s="103"/>
      <c r="P387" s="101"/>
      <c r="Q387" s="101"/>
      <c r="AA387" s="15"/>
    </row>
    <row r="388" spans="9:27" ht="14.25" customHeight="1" x14ac:dyDescent="0.25">
      <c r="I388" s="100"/>
      <c r="J388" s="100"/>
      <c r="K388" s="100"/>
      <c r="O388" s="103"/>
      <c r="P388" s="101"/>
      <c r="Q388" s="101"/>
      <c r="AA388" s="15"/>
    </row>
    <row r="389" spans="9:27" ht="14.25" customHeight="1" x14ac:dyDescent="0.25">
      <c r="I389" s="100"/>
      <c r="J389" s="100"/>
      <c r="K389" s="100"/>
      <c r="O389" s="103"/>
      <c r="P389" s="101"/>
      <c r="Q389" s="101"/>
      <c r="AA389" s="15"/>
    </row>
    <row r="390" spans="9:27" ht="14.25" customHeight="1" x14ac:dyDescent="0.25">
      <c r="I390" s="100"/>
      <c r="J390" s="100"/>
      <c r="K390" s="100"/>
      <c r="O390" s="103"/>
      <c r="P390" s="101"/>
      <c r="Q390" s="101"/>
      <c r="AA390" s="15"/>
    </row>
    <row r="391" spans="9:27" ht="14.25" customHeight="1" x14ac:dyDescent="0.25">
      <c r="I391" s="100"/>
      <c r="J391" s="100"/>
      <c r="K391" s="100"/>
      <c r="O391" s="103"/>
      <c r="P391" s="101"/>
      <c r="Q391" s="101"/>
      <c r="AA391" s="15"/>
    </row>
    <row r="392" spans="9:27" ht="14.25" customHeight="1" x14ac:dyDescent="0.25">
      <c r="I392" s="100"/>
      <c r="J392" s="100"/>
      <c r="K392" s="100"/>
      <c r="O392" s="103"/>
      <c r="P392" s="101"/>
      <c r="Q392" s="101"/>
      <c r="AA392" s="15"/>
    </row>
    <row r="393" spans="9:27" ht="14.25" customHeight="1" x14ac:dyDescent="0.25">
      <c r="I393" s="100"/>
      <c r="J393" s="100"/>
      <c r="K393" s="100"/>
      <c r="O393" s="103"/>
      <c r="P393" s="101"/>
      <c r="Q393" s="101"/>
      <c r="AA393" s="15"/>
    </row>
    <row r="394" spans="9:27" ht="14.25" customHeight="1" x14ac:dyDescent="0.25">
      <c r="I394" s="100"/>
      <c r="J394" s="100"/>
      <c r="K394" s="100"/>
      <c r="O394" s="103"/>
      <c r="P394" s="101"/>
      <c r="Q394" s="101"/>
      <c r="AA394" s="15"/>
    </row>
    <row r="395" spans="9:27" ht="14.25" customHeight="1" x14ac:dyDescent="0.25">
      <c r="I395" s="100"/>
      <c r="J395" s="100"/>
      <c r="K395" s="100"/>
      <c r="O395" s="103"/>
      <c r="P395" s="101"/>
      <c r="Q395" s="101"/>
      <c r="AA395" s="15"/>
    </row>
    <row r="396" spans="9:27" ht="14.25" customHeight="1" x14ac:dyDescent="0.25">
      <c r="I396" s="100"/>
      <c r="J396" s="100"/>
      <c r="K396" s="100"/>
      <c r="O396" s="103"/>
      <c r="P396" s="101"/>
      <c r="Q396" s="101"/>
      <c r="AA396" s="15"/>
    </row>
    <row r="397" spans="9:27" ht="14.25" customHeight="1" x14ac:dyDescent="0.25">
      <c r="I397" s="100"/>
      <c r="J397" s="100"/>
      <c r="K397" s="100"/>
      <c r="O397" s="103"/>
      <c r="P397" s="101"/>
      <c r="Q397" s="101"/>
      <c r="AA397" s="15"/>
    </row>
    <row r="398" spans="9:27" ht="14.25" customHeight="1" x14ac:dyDescent="0.25">
      <c r="I398" s="100"/>
      <c r="J398" s="100"/>
      <c r="K398" s="100"/>
      <c r="O398" s="103"/>
      <c r="P398" s="101"/>
      <c r="Q398" s="101"/>
      <c r="AA398" s="15"/>
    </row>
    <row r="399" spans="9:27" ht="14.25" customHeight="1" x14ac:dyDescent="0.25">
      <c r="I399" s="100"/>
      <c r="J399" s="100"/>
      <c r="K399" s="100"/>
      <c r="O399" s="103"/>
      <c r="P399" s="101"/>
      <c r="Q399" s="101"/>
      <c r="AA399" s="15"/>
    </row>
    <row r="400" spans="9:27" ht="14.25" customHeight="1" x14ac:dyDescent="0.25">
      <c r="I400" s="100"/>
      <c r="J400" s="100"/>
      <c r="K400" s="100"/>
      <c r="O400" s="103"/>
      <c r="P400" s="101"/>
      <c r="Q400" s="101"/>
      <c r="AA400" s="15"/>
    </row>
    <row r="401" spans="9:27" ht="14.25" customHeight="1" x14ac:dyDescent="0.25">
      <c r="I401" s="100"/>
      <c r="J401" s="100"/>
      <c r="K401" s="100"/>
      <c r="O401" s="103"/>
      <c r="P401" s="101"/>
      <c r="Q401" s="101"/>
      <c r="AA401" s="15"/>
    </row>
    <row r="402" spans="9:27" ht="14.25" customHeight="1" x14ac:dyDescent="0.25">
      <c r="I402" s="100"/>
      <c r="J402" s="100"/>
      <c r="K402" s="100"/>
      <c r="O402" s="103"/>
      <c r="P402" s="101"/>
      <c r="Q402" s="101"/>
      <c r="AA402" s="15"/>
    </row>
    <row r="403" spans="9:27" ht="14.25" customHeight="1" x14ac:dyDescent="0.25">
      <c r="I403" s="100"/>
      <c r="J403" s="100"/>
      <c r="K403" s="100"/>
      <c r="O403" s="103"/>
      <c r="P403" s="101"/>
      <c r="Q403" s="101"/>
      <c r="AA403" s="15"/>
    </row>
    <row r="404" spans="9:27" ht="14.25" customHeight="1" x14ac:dyDescent="0.25">
      <c r="I404" s="100"/>
      <c r="J404" s="100"/>
      <c r="K404" s="100"/>
      <c r="O404" s="103"/>
      <c r="P404" s="101"/>
      <c r="Q404" s="101"/>
      <c r="AA404" s="15"/>
    </row>
    <row r="405" spans="9:27" ht="14.25" customHeight="1" x14ac:dyDescent="0.25">
      <c r="I405" s="100"/>
      <c r="J405" s="100"/>
      <c r="K405" s="100"/>
      <c r="O405" s="103"/>
      <c r="P405" s="101"/>
      <c r="Q405" s="101"/>
      <c r="AA405" s="15"/>
    </row>
    <row r="406" spans="9:27" ht="14.25" customHeight="1" x14ac:dyDescent="0.25">
      <c r="I406" s="100"/>
      <c r="J406" s="100"/>
      <c r="K406" s="100"/>
      <c r="O406" s="103"/>
      <c r="P406" s="101"/>
      <c r="Q406" s="101"/>
      <c r="AA406" s="15"/>
    </row>
    <row r="407" spans="9:27" ht="14.25" customHeight="1" x14ac:dyDescent="0.25">
      <c r="I407" s="100"/>
      <c r="J407" s="100"/>
      <c r="K407" s="100"/>
      <c r="O407" s="103"/>
      <c r="P407" s="101"/>
      <c r="Q407" s="101"/>
      <c r="AA407" s="15"/>
    </row>
    <row r="408" spans="9:27" ht="14.25" customHeight="1" x14ac:dyDescent="0.25">
      <c r="I408" s="100"/>
      <c r="J408" s="100"/>
      <c r="K408" s="100"/>
      <c r="O408" s="103"/>
      <c r="P408" s="101"/>
      <c r="Q408" s="101"/>
      <c r="AA408" s="15"/>
    </row>
    <row r="409" spans="9:27" ht="14.25" customHeight="1" x14ac:dyDescent="0.25">
      <c r="I409" s="100"/>
      <c r="J409" s="100"/>
      <c r="K409" s="100"/>
      <c r="O409" s="103"/>
      <c r="P409" s="101"/>
      <c r="Q409" s="101"/>
      <c r="AA409" s="15"/>
    </row>
    <row r="410" spans="9:27" ht="14.25" customHeight="1" x14ac:dyDescent="0.25">
      <c r="I410" s="100"/>
      <c r="J410" s="100"/>
      <c r="K410" s="100"/>
      <c r="O410" s="103"/>
      <c r="P410" s="101"/>
      <c r="Q410" s="101"/>
      <c r="AA410" s="15"/>
    </row>
    <row r="411" spans="9:27" ht="14.25" customHeight="1" x14ac:dyDescent="0.25">
      <c r="I411" s="100"/>
      <c r="J411" s="100"/>
      <c r="K411" s="100"/>
      <c r="O411" s="103"/>
      <c r="P411" s="101"/>
      <c r="Q411" s="101"/>
      <c r="AA411" s="15"/>
    </row>
    <row r="412" spans="9:27" ht="14.25" customHeight="1" x14ac:dyDescent="0.25">
      <c r="I412" s="100"/>
      <c r="J412" s="100"/>
      <c r="K412" s="100"/>
      <c r="O412" s="103"/>
      <c r="P412" s="101"/>
      <c r="Q412" s="101"/>
      <c r="AA412" s="15"/>
    </row>
    <row r="413" spans="9:27" ht="14.25" customHeight="1" x14ac:dyDescent="0.25">
      <c r="I413" s="100"/>
      <c r="J413" s="100"/>
      <c r="K413" s="100"/>
      <c r="O413" s="103"/>
      <c r="P413" s="101"/>
      <c r="Q413" s="101"/>
      <c r="AA413" s="15"/>
    </row>
    <row r="414" spans="9:27" ht="14.25" customHeight="1" x14ac:dyDescent="0.25">
      <c r="I414" s="100"/>
      <c r="J414" s="100"/>
      <c r="K414" s="100"/>
      <c r="O414" s="103"/>
      <c r="P414" s="101"/>
      <c r="Q414" s="101"/>
      <c r="AA414" s="15"/>
    </row>
    <row r="415" spans="9:27" ht="14.25" customHeight="1" x14ac:dyDescent="0.25">
      <c r="I415" s="100"/>
      <c r="J415" s="100"/>
      <c r="K415" s="100"/>
      <c r="O415" s="103"/>
      <c r="P415" s="101"/>
      <c r="Q415" s="101"/>
      <c r="AA415" s="15"/>
    </row>
    <row r="416" spans="9:27" ht="14.25" customHeight="1" x14ac:dyDescent="0.25">
      <c r="I416" s="100"/>
      <c r="J416" s="100"/>
      <c r="K416" s="100"/>
      <c r="O416" s="103"/>
      <c r="P416" s="101"/>
      <c r="Q416" s="101"/>
      <c r="AA416" s="15"/>
    </row>
    <row r="417" spans="9:27" ht="14.25" customHeight="1" x14ac:dyDescent="0.25">
      <c r="I417" s="100"/>
      <c r="J417" s="100"/>
      <c r="K417" s="100"/>
      <c r="O417" s="103"/>
      <c r="P417" s="101"/>
      <c r="Q417" s="101"/>
      <c r="AA417" s="15"/>
    </row>
    <row r="418" spans="9:27" ht="14.25" customHeight="1" x14ac:dyDescent="0.25">
      <c r="I418" s="100"/>
      <c r="J418" s="100"/>
      <c r="K418" s="100"/>
      <c r="O418" s="103"/>
      <c r="P418" s="101"/>
      <c r="Q418" s="101"/>
      <c r="AA418" s="15"/>
    </row>
    <row r="419" spans="9:27" ht="14.25" customHeight="1" x14ac:dyDescent="0.25">
      <c r="I419" s="100"/>
      <c r="J419" s="100"/>
      <c r="K419" s="100"/>
      <c r="O419" s="103"/>
      <c r="P419" s="101"/>
      <c r="Q419" s="101"/>
      <c r="AA419" s="15"/>
    </row>
    <row r="420" spans="9:27" ht="14.25" customHeight="1" x14ac:dyDescent="0.25">
      <c r="I420" s="100"/>
      <c r="J420" s="100"/>
      <c r="K420" s="100"/>
      <c r="O420" s="103"/>
      <c r="P420" s="101"/>
      <c r="Q420" s="101"/>
      <c r="AA420" s="15"/>
    </row>
    <row r="421" spans="9:27" ht="14.25" customHeight="1" x14ac:dyDescent="0.25">
      <c r="I421" s="100"/>
      <c r="J421" s="100"/>
      <c r="K421" s="100"/>
      <c r="O421" s="103"/>
      <c r="P421" s="101"/>
      <c r="Q421" s="101"/>
      <c r="AA421" s="15"/>
    </row>
    <row r="422" spans="9:27" ht="14.25" customHeight="1" x14ac:dyDescent="0.25">
      <c r="I422" s="100"/>
      <c r="J422" s="100"/>
      <c r="K422" s="100"/>
      <c r="O422" s="103"/>
      <c r="P422" s="101"/>
      <c r="Q422" s="101"/>
      <c r="AA422" s="15"/>
    </row>
    <row r="423" spans="9:27" ht="14.25" customHeight="1" x14ac:dyDescent="0.25">
      <c r="I423" s="100"/>
      <c r="J423" s="100"/>
      <c r="K423" s="100"/>
      <c r="O423" s="103"/>
      <c r="P423" s="101"/>
      <c r="Q423" s="101"/>
      <c r="AA423" s="15"/>
    </row>
    <row r="424" spans="9:27" ht="14.25" customHeight="1" x14ac:dyDescent="0.25">
      <c r="I424" s="100"/>
      <c r="J424" s="100"/>
      <c r="K424" s="100"/>
      <c r="O424" s="103"/>
      <c r="P424" s="101"/>
      <c r="Q424" s="101"/>
      <c r="AA424" s="15"/>
    </row>
    <row r="425" spans="9:27" ht="14.25" customHeight="1" x14ac:dyDescent="0.25">
      <c r="I425" s="100"/>
      <c r="J425" s="100"/>
      <c r="K425" s="100"/>
      <c r="O425" s="103"/>
      <c r="P425" s="101"/>
      <c r="Q425" s="101"/>
      <c r="AA425" s="15"/>
    </row>
    <row r="426" spans="9:27" ht="14.25" customHeight="1" x14ac:dyDescent="0.25">
      <c r="I426" s="100"/>
      <c r="J426" s="100"/>
      <c r="K426" s="100"/>
      <c r="O426" s="103"/>
      <c r="P426" s="101"/>
      <c r="Q426" s="101"/>
      <c r="AA426" s="15"/>
    </row>
    <row r="427" spans="9:27" ht="14.25" customHeight="1" x14ac:dyDescent="0.25">
      <c r="I427" s="100"/>
      <c r="J427" s="100"/>
      <c r="K427" s="100"/>
      <c r="O427" s="103"/>
      <c r="P427" s="101"/>
      <c r="Q427" s="101"/>
      <c r="AA427" s="15"/>
    </row>
    <row r="428" spans="9:27" ht="14.25" customHeight="1" x14ac:dyDescent="0.25">
      <c r="I428" s="100"/>
      <c r="J428" s="100"/>
      <c r="K428" s="100"/>
      <c r="O428" s="103"/>
      <c r="P428" s="101"/>
      <c r="Q428" s="101"/>
      <c r="AA428" s="15"/>
    </row>
    <row r="429" spans="9:27" ht="14.25" customHeight="1" x14ac:dyDescent="0.25">
      <c r="I429" s="100"/>
      <c r="J429" s="100"/>
      <c r="K429" s="100"/>
      <c r="O429" s="103"/>
      <c r="P429" s="101"/>
      <c r="Q429" s="101"/>
      <c r="AA429" s="15"/>
    </row>
    <row r="430" spans="9:27" ht="14.25" customHeight="1" x14ac:dyDescent="0.25">
      <c r="I430" s="100"/>
      <c r="J430" s="100"/>
      <c r="K430" s="100"/>
      <c r="O430" s="103"/>
      <c r="P430" s="101"/>
      <c r="Q430" s="101"/>
      <c r="AA430" s="15"/>
    </row>
    <row r="431" spans="9:27" ht="14.25" customHeight="1" x14ac:dyDescent="0.25">
      <c r="I431" s="100"/>
      <c r="J431" s="100"/>
      <c r="K431" s="100"/>
      <c r="O431" s="103"/>
      <c r="P431" s="101"/>
      <c r="Q431" s="101"/>
      <c r="AA431" s="15"/>
    </row>
    <row r="432" spans="9:27" ht="14.25" customHeight="1" x14ac:dyDescent="0.25">
      <c r="I432" s="100"/>
      <c r="J432" s="100"/>
      <c r="K432" s="100"/>
      <c r="O432" s="103"/>
      <c r="P432" s="101"/>
      <c r="Q432" s="101"/>
      <c r="AA432" s="15"/>
    </row>
    <row r="433" spans="9:27" ht="14.25" customHeight="1" x14ac:dyDescent="0.25">
      <c r="I433" s="100"/>
      <c r="J433" s="100"/>
      <c r="K433" s="100"/>
      <c r="O433" s="103"/>
      <c r="P433" s="101"/>
      <c r="Q433" s="101"/>
      <c r="AA433" s="15"/>
    </row>
    <row r="434" spans="9:27" ht="14.25" customHeight="1" x14ac:dyDescent="0.25">
      <c r="I434" s="100"/>
      <c r="J434" s="100"/>
      <c r="K434" s="100"/>
      <c r="O434" s="103"/>
      <c r="P434" s="101"/>
      <c r="Q434" s="101"/>
      <c r="AA434" s="15"/>
    </row>
    <row r="435" spans="9:27" ht="14.25" customHeight="1" x14ac:dyDescent="0.25">
      <c r="I435" s="100"/>
      <c r="J435" s="100"/>
      <c r="K435" s="100"/>
      <c r="O435" s="103"/>
      <c r="P435" s="101"/>
      <c r="Q435" s="101"/>
      <c r="AA435" s="15"/>
    </row>
    <row r="436" spans="9:27" ht="14.25" customHeight="1" x14ac:dyDescent="0.25">
      <c r="I436" s="100"/>
      <c r="J436" s="100"/>
      <c r="K436" s="100"/>
      <c r="O436" s="103"/>
      <c r="P436" s="101"/>
      <c r="Q436" s="101"/>
      <c r="AA436" s="15"/>
    </row>
    <row r="437" spans="9:27" ht="14.25" customHeight="1" x14ac:dyDescent="0.25">
      <c r="I437" s="100"/>
      <c r="J437" s="100"/>
      <c r="K437" s="100"/>
      <c r="O437" s="103"/>
      <c r="P437" s="101"/>
      <c r="Q437" s="101"/>
      <c r="AA437" s="15"/>
    </row>
    <row r="438" spans="9:27" ht="14.25" customHeight="1" x14ac:dyDescent="0.25">
      <c r="I438" s="100"/>
      <c r="J438" s="100"/>
      <c r="K438" s="100"/>
      <c r="O438" s="103"/>
      <c r="P438" s="101"/>
      <c r="Q438" s="101"/>
      <c r="AA438" s="15"/>
    </row>
    <row r="439" spans="9:27" ht="14.25" customHeight="1" x14ac:dyDescent="0.25">
      <c r="I439" s="100"/>
      <c r="J439" s="100"/>
      <c r="K439" s="100"/>
      <c r="O439" s="103"/>
      <c r="P439" s="101"/>
      <c r="Q439" s="101"/>
      <c r="AA439" s="15"/>
    </row>
    <row r="440" spans="9:27" ht="14.25" customHeight="1" x14ac:dyDescent="0.25">
      <c r="I440" s="100"/>
      <c r="J440" s="100"/>
      <c r="K440" s="100"/>
      <c r="O440" s="103"/>
      <c r="P440" s="101"/>
      <c r="Q440" s="101"/>
      <c r="AA440" s="15"/>
    </row>
    <row r="441" spans="9:27" ht="14.25" customHeight="1" x14ac:dyDescent="0.25">
      <c r="I441" s="100"/>
      <c r="J441" s="100"/>
      <c r="K441" s="100"/>
      <c r="O441" s="103"/>
      <c r="P441" s="101"/>
      <c r="Q441" s="101"/>
      <c r="AA441" s="15"/>
    </row>
    <row r="442" spans="9:27" ht="14.25" customHeight="1" x14ac:dyDescent="0.25">
      <c r="I442" s="100"/>
      <c r="J442" s="100"/>
      <c r="K442" s="100"/>
      <c r="O442" s="103"/>
      <c r="P442" s="101"/>
      <c r="Q442" s="101"/>
      <c r="AA442" s="15"/>
    </row>
    <row r="443" spans="9:27" ht="14.25" customHeight="1" x14ac:dyDescent="0.25">
      <c r="I443" s="100"/>
      <c r="J443" s="100"/>
      <c r="K443" s="100"/>
      <c r="O443" s="103"/>
      <c r="P443" s="101"/>
      <c r="Q443" s="101"/>
      <c r="AA443" s="15"/>
    </row>
    <row r="444" spans="9:27" ht="14.25" customHeight="1" x14ac:dyDescent="0.25">
      <c r="I444" s="100"/>
      <c r="J444" s="100"/>
      <c r="K444" s="100"/>
      <c r="O444" s="103"/>
      <c r="P444" s="101"/>
      <c r="Q444" s="101"/>
      <c r="AA444" s="15"/>
    </row>
    <row r="445" spans="9:27" ht="14.25" customHeight="1" x14ac:dyDescent="0.25">
      <c r="I445" s="100"/>
      <c r="J445" s="100"/>
      <c r="K445" s="100"/>
      <c r="O445" s="103"/>
      <c r="P445" s="101"/>
      <c r="Q445" s="101"/>
      <c r="AA445" s="15"/>
    </row>
    <row r="446" spans="9:27" ht="14.25" customHeight="1" x14ac:dyDescent="0.25">
      <c r="I446" s="100"/>
      <c r="J446" s="100"/>
      <c r="K446" s="100"/>
      <c r="O446" s="103"/>
      <c r="P446" s="101"/>
      <c r="Q446" s="101"/>
      <c r="AA446" s="15"/>
    </row>
    <row r="447" spans="9:27" ht="14.25" customHeight="1" x14ac:dyDescent="0.25">
      <c r="I447" s="100"/>
      <c r="J447" s="100"/>
      <c r="K447" s="100"/>
      <c r="O447" s="103"/>
      <c r="P447" s="101"/>
      <c r="Q447" s="101"/>
      <c r="AA447" s="15"/>
    </row>
    <row r="448" spans="9:27" ht="14.25" customHeight="1" x14ac:dyDescent="0.25">
      <c r="I448" s="100"/>
      <c r="J448" s="100"/>
      <c r="K448" s="100"/>
      <c r="O448" s="103"/>
      <c r="P448" s="101"/>
      <c r="Q448" s="101"/>
      <c r="AA448" s="15"/>
    </row>
    <row r="449" spans="9:27" ht="14.25" customHeight="1" x14ac:dyDescent="0.25">
      <c r="I449" s="100"/>
      <c r="J449" s="100"/>
      <c r="K449" s="100"/>
      <c r="O449" s="103"/>
      <c r="P449" s="101"/>
      <c r="Q449" s="101"/>
      <c r="AA449" s="15"/>
    </row>
    <row r="450" spans="9:27" ht="14.25" customHeight="1" x14ac:dyDescent="0.25">
      <c r="I450" s="100"/>
      <c r="J450" s="100"/>
      <c r="K450" s="100"/>
      <c r="O450" s="103"/>
      <c r="P450" s="101"/>
      <c r="Q450" s="101"/>
      <c r="AA450" s="15"/>
    </row>
    <row r="451" spans="9:27" ht="14.25" customHeight="1" x14ac:dyDescent="0.25">
      <c r="I451" s="100"/>
      <c r="J451" s="100"/>
      <c r="K451" s="100"/>
      <c r="O451" s="103"/>
      <c r="P451" s="101"/>
      <c r="Q451" s="101"/>
      <c r="AA451" s="15"/>
    </row>
    <row r="452" spans="9:27" ht="14.25" customHeight="1" x14ac:dyDescent="0.25">
      <c r="I452" s="100"/>
      <c r="J452" s="100"/>
      <c r="K452" s="100"/>
      <c r="O452" s="103"/>
      <c r="P452" s="101"/>
      <c r="Q452" s="101"/>
      <c r="AA452" s="15"/>
    </row>
    <row r="453" spans="9:27" ht="14.25" customHeight="1" x14ac:dyDescent="0.25">
      <c r="I453" s="100"/>
      <c r="J453" s="100"/>
      <c r="K453" s="100"/>
      <c r="O453" s="103"/>
      <c r="P453" s="101"/>
      <c r="Q453" s="101"/>
      <c r="AA453" s="15"/>
    </row>
    <row r="454" spans="9:27" ht="14.25" customHeight="1" x14ac:dyDescent="0.25">
      <c r="I454" s="100"/>
      <c r="J454" s="100"/>
      <c r="K454" s="100"/>
      <c r="O454" s="103"/>
      <c r="P454" s="101"/>
      <c r="Q454" s="101"/>
      <c r="AA454" s="15"/>
    </row>
    <row r="455" spans="9:27" ht="14.25" customHeight="1" x14ac:dyDescent="0.25">
      <c r="I455" s="100"/>
      <c r="J455" s="100"/>
      <c r="K455" s="100"/>
      <c r="O455" s="103"/>
      <c r="P455" s="101"/>
      <c r="Q455" s="101"/>
      <c r="AA455" s="15"/>
    </row>
    <row r="456" spans="9:27" ht="14.25" customHeight="1" x14ac:dyDescent="0.25">
      <c r="I456" s="100"/>
      <c r="J456" s="100"/>
      <c r="K456" s="100"/>
      <c r="O456" s="103"/>
      <c r="P456" s="101"/>
      <c r="Q456" s="101"/>
      <c r="AA456" s="15"/>
    </row>
    <row r="457" spans="9:27" ht="14.25" customHeight="1" x14ac:dyDescent="0.25">
      <c r="I457" s="100"/>
      <c r="J457" s="100"/>
      <c r="K457" s="100"/>
      <c r="O457" s="103"/>
      <c r="P457" s="101"/>
      <c r="Q457" s="101"/>
      <c r="AA457" s="15"/>
    </row>
    <row r="458" spans="9:27" ht="14.25" customHeight="1" x14ac:dyDescent="0.25">
      <c r="I458" s="100"/>
      <c r="J458" s="100"/>
      <c r="K458" s="100"/>
      <c r="O458" s="103"/>
      <c r="P458" s="101"/>
      <c r="Q458" s="101"/>
      <c r="AA458" s="15"/>
    </row>
    <row r="459" spans="9:27" ht="14.25" customHeight="1" x14ac:dyDescent="0.25">
      <c r="I459" s="100"/>
      <c r="J459" s="100"/>
      <c r="K459" s="100"/>
      <c r="O459" s="103"/>
      <c r="P459" s="101"/>
      <c r="Q459" s="101"/>
      <c r="AA459" s="15"/>
    </row>
    <row r="460" spans="9:27" ht="14.25" customHeight="1" x14ac:dyDescent="0.25">
      <c r="I460" s="100"/>
      <c r="J460" s="100"/>
      <c r="K460" s="100"/>
      <c r="O460" s="103"/>
      <c r="P460" s="101"/>
      <c r="Q460" s="101"/>
      <c r="AA460" s="15"/>
    </row>
    <row r="461" spans="9:27" ht="14.25" customHeight="1" x14ac:dyDescent="0.25">
      <c r="I461" s="100"/>
      <c r="J461" s="100"/>
      <c r="K461" s="100"/>
      <c r="O461" s="103"/>
      <c r="P461" s="101"/>
      <c r="Q461" s="101"/>
      <c r="AA461" s="15"/>
    </row>
    <row r="462" spans="9:27" ht="14.25" customHeight="1" x14ac:dyDescent="0.25">
      <c r="I462" s="100"/>
      <c r="J462" s="100"/>
      <c r="K462" s="100"/>
      <c r="O462" s="103"/>
      <c r="P462" s="101"/>
      <c r="Q462" s="101"/>
      <c r="AA462" s="15"/>
    </row>
    <row r="463" spans="9:27" ht="14.25" customHeight="1" x14ac:dyDescent="0.25">
      <c r="I463" s="100"/>
      <c r="J463" s="100"/>
      <c r="K463" s="100"/>
      <c r="O463" s="103"/>
      <c r="P463" s="101"/>
      <c r="Q463" s="101"/>
      <c r="AA463" s="15"/>
    </row>
    <row r="464" spans="9:27" ht="14.25" customHeight="1" x14ac:dyDescent="0.25">
      <c r="I464" s="100"/>
      <c r="J464" s="100"/>
      <c r="K464" s="100"/>
      <c r="O464" s="103"/>
      <c r="P464" s="101"/>
      <c r="Q464" s="101"/>
      <c r="AA464" s="15"/>
    </row>
    <row r="465" spans="9:27" ht="14.25" customHeight="1" x14ac:dyDescent="0.25">
      <c r="I465" s="100"/>
      <c r="J465" s="100"/>
      <c r="K465" s="100"/>
      <c r="O465" s="103"/>
      <c r="P465" s="101"/>
      <c r="Q465" s="101"/>
      <c r="AA465" s="15"/>
    </row>
    <row r="466" spans="9:27" ht="14.25" customHeight="1" x14ac:dyDescent="0.25">
      <c r="I466" s="100"/>
      <c r="J466" s="100"/>
      <c r="K466" s="100"/>
      <c r="O466" s="103"/>
      <c r="P466" s="101"/>
      <c r="Q466" s="101"/>
      <c r="AA466" s="15"/>
    </row>
    <row r="467" spans="9:27" ht="14.25" customHeight="1" x14ac:dyDescent="0.25">
      <c r="I467" s="100"/>
      <c r="J467" s="100"/>
      <c r="K467" s="100"/>
      <c r="O467" s="103"/>
      <c r="P467" s="101"/>
      <c r="Q467" s="101"/>
      <c r="AA467" s="15"/>
    </row>
    <row r="468" spans="9:27" ht="14.25" customHeight="1" x14ac:dyDescent="0.25">
      <c r="I468" s="100"/>
      <c r="J468" s="100"/>
      <c r="K468" s="100"/>
      <c r="O468" s="103"/>
      <c r="P468" s="101"/>
      <c r="Q468" s="101"/>
      <c r="AA468" s="15"/>
    </row>
    <row r="469" spans="9:27" ht="14.25" customHeight="1" x14ac:dyDescent="0.25">
      <c r="I469" s="100"/>
      <c r="J469" s="100"/>
      <c r="K469" s="100"/>
      <c r="O469" s="103"/>
      <c r="P469" s="101"/>
      <c r="Q469" s="101"/>
      <c r="AA469" s="15"/>
    </row>
    <row r="470" spans="9:27" ht="14.25" customHeight="1" x14ac:dyDescent="0.25">
      <c r="I470" s="100"/>
      <c r="J470" s="100"/>
      <c r="K470" s="100"/>
      <c r="O470" s="103"/>
      <c r="P470" s="101"/>
      <c r="Q470" s="101"/>
      <c r="AA470" s="15"/>
    </row>
    <row r="471" spans="9:27" ht="14.25" customHeight="1" x14ac:dyDescent="0.25">
      <c r="I471" s="100"/>
      <c r="J471" s="100"/>
      <c r="K471" s="100"/>
      <c r="O471" s="103"/>
      <c r="P471" s="101"/>
      <c r="Q471" s="101"/>
      <c r="AA471" s="15"/>
    </row>
    <row r="472" spans="9:27" ht="14.25" customHeight="1" x14ac:dyDescent="0.25">
      <c r="I472" s="100"/>
      <c r="J472" s="100"/>
      <c r="K472" s="100"/>
      <c r="O472" s="103"/>
      <c r="P472" s="101"/>
      <c r="Q472" s="101"/>
      <c r="AA472" s="15"/>
    </row>
    <row r="473" spans="9:27" ht="14.25" customHeight="1" x14ac:dyDescent="0.25">
      <c r="I473" s="100"/>
      <c r="J473" s="100"/>
      <c r="K473" s="100"/>
      <c r="O473" s="103"/>
      <c r="P473" s="101"/>
      <c r="Q473" s="101"/>
      <c r="AA473" s="15"/>
    </row>
    <row r="474" spans="9:27" ht="14.25" customHeight="1" x14ac:dyDescent="0.25">
      <c r="I474" s="100"/>
      <c r="J474" s="100"/>
      <c r="K474" s="100"/>
      <c r="O474" s="103"/>
      <c r="P474" s="101"/>
      <c r="Q474" s="101"/>
      <c r="AA474" s="15"/>
    </row>
    <row r="475" spans="9:27" ht="14.25" customHeight="1" x14ac:dyDescent="0.25">
      <c r="I475" s="100"/>
      <c r="J475" s="100"/>
      <c r="K475" s="100"/>
      <c r="O475" s="103"/>
      <c r="P475" s="101"/>
      <c r="Q475" s="101"/>
      <c r="AA475" s="15"/>
    </row>
    <row r="476" spans="9:27" ht="14.25" customHeight="1" x14ac:dyDescent="0.25">
      <c r="I476" s="100"/>
      <c r="J476" s="100"/>
      <c r="K476" s="100"/>
      <c r="O476" s="103"/>
      <c r="P476" s="101"/>
      <c r="Q476" s="101"/>
      <c r="AA476" s="15"/>
    </row>
    <row r="477" spans="9:27" ht="14.25" customHeight="1" x14ac:dyDescent="0.25">
      <c r="I477" s="100"/>
      <c r="J477" s="100"/>
      <c r="K477" s="100"/>
      <c r="O477" s="103"/>
      <c r="P477" s="101"/>
      <c r="Q477" s="101"/>
      <c r="AA477" s="15"/>
    </row>
    <row r="478" spans="9:27" ht="14.25" customHeight="1" x14ac:dyDescent="0.25">
      <c r="I478" s="100"/>
      <c r="J478" s="100"/>
      <c r="K478" s="100"/>
      <c r="O478" s="103"/>
      <c r="P478" s="101"/>
      <c r="Q478" s="101"/>
      <c r="AA478" s="15"/>
    </row>
    <row r="479" spans="9:27" ht="14.25" customHeight="1" x14ac:dyDescent="0.25">
      <c r="I479" s="100"/>
      <c r="J479" s="100"/>
      <c r="K479" s="100"/>
      <c r="O479" s="103"/>
      <c r="P479" s="101"/>
      <c r="Q479" s="101"/>
      <c r="AA479" s="15"/>
    </row>
    <row r="480" spans="9:27" ht="14.25" customHeight="1" x14ac:dyDescent="0.25">
      <c r="I480" s="100"/>
      <c r="J480" s="100"/>
      <c r="K480" s="100"/>
      <c r="O480" s="103"/>
      <c r="P480" s="101"/>
      <c r="Q480" s="101"/>
      <c r="AA480" s="15"/>
    </row>
    <row r="481" spans="9:27" ht="14.25" customHeight="1" x14ac:dyDescent="0.25">
      <c r="I481" s="100"/>
      <c r="J481" s="100"/>
      <c r="K481" s="100"/>
      <c r="O481" s="103"/>
      <c r="P481" s="101"/>
      <c r="Q481" s="101"/>
      <c r="AA481" s="15"/>
    </row>
    <row r="482" spans="9:27" ht="14.25" customHeight="1" x14ac:dyDescent="0.25">
      <c r="I482" s="100"/>
      <c r="J482" s="100"/>
      <c r="K482" s="100"/>
      <c r="O482" s="103"/>
      <c r="P482" s="101"/>
      <c r="Q482" s="101"/>
      <c r="AA482" s="15"/>
    </row>
    <row r="483" spans="9:27" ht="14.25" customHeight="1" x14ac:dyDescent="0.25">
      <c r="I483" s="100"/>
      <c r="J483" s="100"/>
      <c r="K483" s="100"/>
      <c r="O483" s="103"/>
      <c r="P483" s="101"/>
      <c r="Q483" s="101"/>
      <c r="AA483" s="15"/>
    </row>
    <row r="484" spans="9:27" ht="14.25" customHeight="1" x14ac:dyDescent="0.25">
      <c r="I484" s="100"/>
      <c r="J484" s="100"/>
      <c r="K484" s="100"/>
      <c r="O484" s="103"/>
      <c r="P484" s="101"/>
      <c r="Q484" s="101"/>
      <c r="AA484" s="15"/>
    </row>
    <row r="485" spans="9:27" ht="14.25" customHeight="1" x14ac:dyDescent="0.25">
      <c r="I485" s="100"/>
      <c r="J485" s="100"/>
      <c r="K485" s="100"/>
      <c r="O485" s="103"/>
      <c r="P485" s="101"/>
      <c r="Q485" s="101"/>
      <c r="AA485" s="15"/>
    </row>
    <row r="486" spans="9:27" ht="14.25" customHeight="1" x14ac:dyDescent="0.25">
      <c r="I486" s="100"/>
      <c r="J486" s="100"/>
      <c r="K486" s="100"/>
      <c r="O486" s="103"/>
      <c r="P486" s="101"/>
      <c r="Q486" s="101"/>
      <c r="AA486" s="15"/>
    </row>
    <row r="487" spans="9:27" ht="14.25" customHeight="1" x14ac:dyDescent="0.25">
      <c r="I487" s="100"/>
      <c r="J487" s="100"/>
      <c r="K487" s="100"/>
      <c r="O487" s="103"/>
      <c r="P487" s="101"/>
      <c r="Q487" s="101"/>
      <c r="AA487" s="15"/>
    </row>
    <row r="488" spans="9:27" ht="14.25" customHeight="1" x14ac:dyDescent="0.25">
      <c r="I488" s="100"/>
      <c r="J488" s="100"/>
      <c r="K488" s="100"/>
      <c r="O488" s="103"/>
      <c r="P488" s="101"/>
      <c r="Q488" s="101"/>
      <c r="AA488" s="15"/>
    </row>
    <row r="489" spans="9:27" ht="14.25" customHeight="1" x14ac:dyDescent="0.25">
      <c r="I489" s="100"/>
      <c r="J489" s="100"/>
      <c r="K489" s="100"/>
      <c r="O489" s="103"/>
      <c r="P489" s="101"/>
      <c r="Q489" s="101"/>
      <c r="AA489" s="15"/>
    </row>
    <row r="490" spans="9:27" ht="14.25" customHeight="1" x14ac:dyDescent="0.25">
      <c r="I490" s="100"/>
      <c r="J490" s="100"/>
      <c r="K490" s="100"/>
      <c r="O490" s="103"/>
      <c r="P490" s="101"/>
      <c r="Q490" s="101"/>
      <c r="AA490" s="15"/>
    </row>
    <row r="491" spans="9:27" ht="14.25" customHeight="1" x14ac:dyDescent="0.25">
      <c r="I491" s="100"/>
      <c r="J491" s="100"/>
      <c r="K491" s="100"/>
      <c r="O491" s="103"/>
      <c r="P491" s="101"/>
      <c r="Q491" s="101"/>
      <c r="AA491" s="15"/>
    </row>
    <row r="492" spans="9:27" ht="14.25" customHeight="1" x14ac:dyDescent="0.25">
      <c r="I492" s="100"/>
      <c r="J492" s="100"/>
      <c r="K492" s="100"/>
      <c r="O492" s="103"/>
      <c r="P492" s="101"/>
      <c r="Q492" s="101"/>
      <c r="AA492" s="15"/>
    </row>
    <row r="493" spans="9:27" ht="14.25" customHeight="1" x14ac:dyDescent="0.25">
      <c r="I493" s="100"/>
      <c r="J493" s="100"/>
      <c r="K493" s="100"/>
      <c r="O493" s="103"/>
      <c r="P493" s="101"/>
      <c r="Q493" s="101"/>
      <c r="AA493" s="15"/>
    </row>
    <row r="494" spans="9:27" ht="14.25" customHeight="1" x14ac:dyDescent="0.25">
      <c r="I494" s="100"/>
      <c r="J494" s="100"/>
      <c r="K494" s="100"/>
      <c r="O494" s="103"/>
      <c r="P494" s="101"/>
      <c r="Q494" s="101"/>
      <c r="AA494" s="15"/>
    </row>
    <row r="495" spans="9:27" ht="14.25" customHeight="1" x14ac:dyDescent="0.25">
      <c r="I495" s="100"/>
      <c r="J495" s="100"/>
      <c r="K495" s="100"/>
      <c r="O495" s="103"/>
      <c r="P495" s="101"/>
      <c r="Q495" s="101"/>
      <c r="AA495" s="15"/>
    </row>
    <row r="496" spans="9:27" ht="14.25" customHeight="1" x14ac:dyDescent="0.25">
      <c r="I496" s="100"/>
      <c r="J496" s="100"/>
      <c r="K496" s="100"/>
      <c r="O496" s="103"/>
      <c r="P496" s="101"/>
      <c r="Q496" s="101"/>
      <c r="AA496" s="15"/>
    </row>
    <row r="497" spans="9:27" ht="14.25" customHeight="1" x14ac:dyDescent="0.25">
      <c r="I497" s="100"/>
      <c r="J497" s="100"/>
      <c r="K497" s="100"/>
      <c r="O497" s="103"/>
      <c r="P497" s="101"/>
      <c r="Q497" s="101"/>
      <c r="AA497" s="15"/>
    </row>
    <row r="498" spans="9:27" ht="14.25" customHeight="1" x14ac:dyDescent="0.25">
      <c r="I498" s="100"/>
      <c r="J498" s="100"/>
      <c r="K498" s="100"/>
      <c r="O498" s="103"/>
      <c r="P498" s="101"/>
      <c r="Q498" s="101"/>
      <c r="AA498" s="15"/>
    </row>
    <row r="499" spans="9:27" ht="14.25" customHeight="1" x14ac:dyDescent="0.25">
      <c r="I499" s="100"/>
      <c r="J499" s="100"/>
      <c r="K499" s="100"/>
      <c r="O499" s="103"/>
      <c r="P499" s="101"/>
      <c r="Q499" s="101"/>
      <c r="AA499" s="15"/>
    </row>
    <row r="500" spans="9:27" ht="14.25" customHeight="1" x14ac:dyDescent="0.25">
      <c r="I500" s="100"/>
      <c r="J500" s="100"/>
      <c r="K500" s="100"/>
      <c r="O500" s="103"/>
      <c r="P500" s="101"/>
      <c r="Q500" s="101"/>
      <c r="AA500" s="15"/>
    </row>
    <row r="501" spans="9:27" ht="14.25" customHeight="1" x14ac:dyDescent="0.25">
      <c r="I501" s="100"/>
      <c r="J501" s="100"/>
      <c r="K501" s="100"/>
      <c r="O501" s="103"/>
      <c r="P501" s="101"/>
      <c r="Q501" s="101"/>
      <c r="AA501" s="15"/>
    </row>
    <row r="502" spans="9:27" ht="14.25" customHeight="1" x14ac:dyDescent="0.25">
      <c r="I502" s="100"/>
      <c r="J502" s="100"/>
      <c r="K502" s="100"/>
      <c r="O502" s="103"/>
      <c r="P502" s="101"/>
      <c r="Q502" s="101"/>
      <c r="AA502" s="15"/>
    </row>
    <row r="503" spans="9:27" ht="14.25" customHeight="1" x14ac:dyDescent="0.25">
      <c r="I503" s="100"/>
      <c r="J503" s="100"/>
      <c r="K503" s="100"/>
      <c r="O503" s="103"/>
      <c r="P503" s="101"/>
      <c r="Q503" s="101"/>
      <c r="AA503" s="15"/>
    </row>
    <row r="504" spans="9:27" ht="14.25" customHeight="1" x14ac:dyDescent="0.25">
      <c r="I504" s="100"/>
      <c r="J504" s="100"/>
      <c r="K504" s="100"/>
      <c r="O504" s="103"/>
      <c r="P504" s="101"/>
      <c r="Q504" s="101"/>
      <c r="AA504" s="15"/>
    </row>
    <row r="505" spans="9:27" ht="14.25" customHeight="1" x14ac:dyDescent="0.25">
      <c r="I505" s="100"/>
      <c r="J505" s="100"/>
      <c r="K505" s="100"/>
      <c r="O505" s="103"/>
      <c r="P505" s="101"/>
      <c r="Q505" s="101"/>
      <c r="AA505" s="15"/>
    </row>
    <row r="506" spans="9:27" ht="14.25" customHeight="1" x14ac:dyDescent="0.25">
      <c r="I506" s="100"/>
      <c r="J506" s="100"/>
      <c r="K506" s="100"/>
      <c r="O506" s="103"/>
      <c r="P506" s="101"/>
      <c r="Q506" s="101"/>
      <c r="AA506" s="15"/>
    </row>
    <row r="507" spans="9:27" ht="14.25" customHeight="1" x14ac:dyDescent="0.25">
      <c r="I507" s="100"/>
      <c r="J507" s="100"/>
      <c r="K507" s="100"/>
      <c r="O507" s="103"/>
      <c r="P507" s="101"/>
      <c r="Q507" s="101"/>
      <c r="AA507" s="15"/>
    </row>
    <row r="508" spans="9:27" ht="14.25" customHeight="1" x14ac:dyDescent="0.25">
      <c r="I508" s="100"/>
      <c r="J508" s="100"/>
      <c r="K508" s="100"/>
      <c r="O508" s="103"/>
      <c r="P508" s="101"/>
      <c r="Q508" s="101"/>
      <c r="AA508" s="15"/>
    </row>
    <row r="509" spans="9:27" ht="14.25" customHeight="1" x14ac:dyDescent="0.25">
      <c r="I509" s="100"/>
      <c r="J509" s="100"/>
      <c r="K509" s="100"/>
      <c r="O509" s="103"/>
      <c r="P509" s="101"/>
      <c r="Q509" s="101"/>
      <c r="AA509" s="15"/>
    </row>
    <row r="510" spans="9:27" ht="14.25" customHeight="1" x14ac:dyDescent="0.25">
      <c r="I510" s="100"/>
      <c r="J510" s="100"/>
      <c r="K510" s="100"/>
      <c r="O510" s="103"/>
      <c r="P510" s="101"/>
      <c r="Q510" s="101"/>
      <c r="AA510" s="15"/>
    </row>
    <row r="511" spans="9:27" ht="14.25" customHeight="1" x14ac:dyDescent="0.25">
      <c r="I511" s="100"/>
      <c r="J511" s="100"/>
      <c r="K511" s="100"/>
      <c r="O511" s="103"/>
      <c r="P511" s="101"/>
      <c r="Q511" s="101"/>
      <c r="AA511" s="15"/>
    </row>
    <row r="512" spans="9:27" ht="14.25" customHeight="1" x14ac:dyDescent="0.25">
      <c r="I512" s="100"/>
      <c r="J512" s="100"/>
      <c r="K512" s="100"/>
      <c r="O512" s="103"/>
      <c r="P512" s="101"/>
      <c r="Q512" s="101"/>
      <c r="AA512" s="15"/>
    </row>
    <row r="513" spans="9:27" ht="14.25" customHeight="1" x14ac:dyDescent="0.25">
      <c r="I513" s="100"/>
      <c r="J513" s="100"/>
      <c r="K513" s="100"/>
      <c r="O513" s="103"/>
      <c r="P513" s="101"/>
      <c r="Q513" s="101"/>
      <c r="AA513" s="15"/>
    </row>
    <row r="514" spans="9:27" ht="14.25" customHeight="1" x14ac:dyDescent="0.25">
      <c r="I514" s="100"/>
      <c r="J514" s="100"/>
      <c r="K514" s="100"/>
      <c r="O514" s="103"/>
      <c r="P514" s="101"/>
      <c r="Q514" s="101"/>
      <c r="AA514" s="15"/>
    </row>
    <row r="515" spans="9:27" ht="14.25" customHeight="1" x14ac:dyDescent="0.25">
      <c r="I515" s="100"/>
      <c r="J515" s="100"/>
      <c r="K515" s="100"/>
      <c r="O515" s="103"/>
      <c r="P515" s="101"/>
      <c r="Q515" s="101"/>
      <c r="AA515" s="15"/>
    </row>
    <row r="516" spans="9:27" ht="14.25" customHeight="1" x14ac:dyDescent="0.25">
      <c r="I516" s="100"/>
      <c r="J516" s="100"/>
      <c r="K516" s="100"/>
      <c r="O516" s="103"/>
      <c r="P516" s="101"/>
      <c r="Q516" s="101"/>
      <c r="AA516" s="15"/>
    </row>
    <row r="517" spans="9:27" ht="14.25" customHeight="1" x14ac:dyDescent="0.25">
      <c r="I517" s="100"/>
      <c r="J517" s="100"/>
      <c r="K517" s="100"/>
      <c r="O517" s="103"/>
      <c r="P517" s="101"/>
      <c r="Q517" s="101"/>
      <c r="AA517" s="15"/>
    </row>
    <row r="518" spans="9:27" ht="14.25" customHeight="1" x14ac:dyDescent="0.25">
      <c r="I518" s="100"/>
      <c r="J518" s="100"/>
      <c r="K518" s="100"/>
      <c r="O518" s="103"/>
      <c r="P518" s="101"/>
      <c r="Q518" s="101"/>
      <c r="AA518" s="15"/>
    </row>
    <row r="519" spans="9:27" ht="14.25" customHeight="1" x14ac:dyDescent="0.25">
      <c r="I519" s="100"/>
      <c r="J519" s="100"/>
      <c r="K519" s="100"/>
      <c r="O519" s="103"/>
      <c r="P519" s="101"/>
      <c r="Q519" s="101"/>
      <c r="AA519" s="15"/>
    </row>
    <row r="520" spans="9:27" ht="14.25" customHeight="1" x14ac:dyDescent="0.25">
      <c r="I520" s="100"/>
      <c r="J520" s="100"/>
      <c r="K520" s="100"/>
      <c r="O520" s="103"/>
      <c r="P520" s="101"/>
      <c r="Q520" s="101"/>
      <c r="AA520" s="15"/>
    </row>
    <row r="521" spans="9:27" ht="14.25" customHeight="1" x14ac:dyDescent="0.25">
      <c r="I521" s="100"/>
      <c r="J521" s="100"/>
      <c r="K521" s="100"/>
      <c r="O521" s="103"/>
      <c r="P521" s="101"/>
      <c r="Q521" s="101"/>
      <c r="AA521" s="15"/>
    </row>
    <row r="522" spans="9:27" ht="14.25" customHeight="1" x14ac:dyDescent="0.25">
      <c r="I522" s="100"/>
      <c r="J522" s="100"/>
      <c r="K522" s="100"/>
      <c r="O522" s="103"/>
      <c r="P522" s="101"/>
      <c r="Q522" s="101"/>
      <c r="AA522" s="15"/>
    </row>
    <row r="523" spans="9:27" ht="14.25" customHeight="1" x14ac:dyDescent="0.25">
      <c r="I523" s="100"/>
      <c r="J523" s="100"/>
      <c r="K523" s="100"/>
      <c r="O523" s="103"/>
      <c r="P523" s="101"/>
      <c r="Q523" s="101"/>
      <c r="AA523" s="15"/>
    </row>
    <row r="524" spans="9:27" ht="14.25" customHeight="1" x14ac:dyDescent="0.25">
      <c r="I524" s="100"/>
      <c r="J524" s="100"/>
      <c r="K524" s="100"/>
      <c r="O524" s="103"/>
      <c r="P524" s="101"/>
      <c r="Q524" s="101"/>
      <c r="AA524" s="15"/>
    </row>
    <row r="525" spans="9:27" ht="14.25" customHeight="1" x14ac:dyDescent="0.25">
      <c r="I525" s="100"/>
      <c r="J525" s="100"/>
      <c r="K525" s="100"/>
      <c r="O525" s="103"/>
      <c r="P525" s="101"/>
      <c r="Q525" s="101"/>
      <c r="AA525" s="15"/>
    </row>
    <row r="526" spans="9:27" ht="14.25" customHeight="1" x14ac:dyDescent="0.25">
      <c r="I526" s="100"/>
      <c r="J526" s="100"/>
      <c r="K526" s="100"/>
      <c r="O526" s="103"/>
      <c r="P526" s="101"/>
      <c r="Q526" s="101"/>
      <c r="AA526" s="15"/>
    </row>
    <row r="527" spans="9:27" ht="14.25" customHeight="1" x14ac:dyDescent="0.25">
      <c r="I527" s="100"/>
      <c r="J527" s="100"/>
      <c r="K527" s="100"/>
      <c r="O527" s="103"/>
      <c r="P527" s="101"/>
      <c r="Q527" s="101"/>
      <c r="AA527" s="15"/>
    </row>
    <row r="528" spans="9:27" ht="14.25" customHeight="1" x14ac:dyDescent="0.25">
      <c r="I528" s="100"/>
      <c r="J528" s="100"/>
      <c r="K528" s="100"/>
      <c r="O528" s="103"/>
      <c r="P528" s="101"/>
      <c r="Q528" s="101"/>
      <c r="AA528" s="15"/>
    </row>
    <row r="529" spans="9:27" ht="14.25" customHeight="1" x14ac:dyDescent="0.25">
      <c r="I529" s="100"/>
      <c r="J529" s="100"/>
      <c r="K529" s="100"/>
      <c r="O529" s="103"/>
      <c r="P529" s="101"/>
      <c r="Q529" s="101"/>
      <c r="AA529" s="15"/>
    </row>
    <row r="530" spans="9:27" ht="14.25" customHeight="1" x14ac:dyDescent="0.25">
      <c r="I530" s="100"/>
      <c r="J530" s="100"/>
      <c r="K530" s="100"/>
      <c r="O530" s="103"/>
      <c r="P530" s="101"/>
      <c r="Q530" s="101"/>
      <c r="AA530" s="15"/>
    </row>
    <row r="531" spans="9:27" ht="14.25" customHeight="1" x14ac:dyDescent="0.25">
      <c r="I531" s="100"/>
      <c r="J531" s="100"/>
      <c r="K531" s="100"/>
      <c r="O531" s="103"/>
      <c r="P531" s="101"/>
      <c r="Q531" s="101"/>
      <c r="AA531" s="15"/>
    </row>
    <row r="532" spans="9:27" ht="14.25" customHeight="1" x14ac:dyDescent="0.25">
      <c r="I532" s="100"/>
      <c r="J532" s="100"/>
      <c r="K532" s="100"/>
      <c r="O532" s="103"/>
      <c r="P532" s="101"/>
      <c r="Q532" s="101"/>
      <c r="AA532" s="15"/>
    </row>
    <row r="533" spans="9:27" ht="14.25" customHeight="1" x14ac:dyDescent="0.25">
      <c r="I533" s="100"/>
      <c r="J533" s="100"/>
      <c r="K533" s="100"/>
      <c r="O533" s="103"/>
      <c r="P533" s="101"/>
      <c r="Q533" s="101"/>
      <c r="AA533" s="15"/>
    </row>
    <row r="534" spans="9:27" ht="14.25" customHeight="1" x14ac:dyDescent="0.25">
      <c r="I534" s="100"/>
      <c r="J534" s="100"/>
      <c r="K534" s="100"/>
      <c r="O534" s="103"/>
      <c r="P534" s="101"/>
      <c r="Q534" s="101"/>
      <c r="AA534" s="15"/>
    </row>
    <row r="535" spans="9:27" ht="14.25" customHeight="1" x14ac:dyDescent="0.25">
      <c r="I535" s="100"/>
      <c r="J535" s="100"/>
      <c r="K535" s="100"/>
      <c r="O535" s="103"/>
      <c r="P535" s="101"/>
      <c r="Q535" s="101"/>
      <c r="AA535" s="15"/>
    </row>
    <row r="536" spans="9:27" ht="14.25" customHeight="1" x14ac:dyDescent="0.25">
      <c r="I536" s="100"/>
      <c r="J536" s="100"/>
      <c r="K536" s="100"/>
      <c r="O536" s="103"/>
      <c r="P536" s="101"/>
      <c r="Q536" s="101"/>
      <c r="AA536" s="15"/>
    </row>
    <row r="537" spans="9:27" ht="14.25" customHeight="1" x14ac:dyDescent="0.25">
      <c r="I537" s="100"/>
      <c r="J537" s="100"/>
      <c r="K537" s="100"/>
      <c r="O537" s="103"/>
      <c r="P537" s="101"/>
      <c r="Q537" s="101"/>
      <c r="AA537" s="15"/>
    </row>
    <row r="538" spans="9:27" ht="14.25" customHeight="1" x14ac:dyDescent="0.25">
      <c r="I538" s="100"/>
      <c r="J538" s="100"/>
      <c r="K538" s="100"/>
      <c r="O538" s="103"/>
      <c r="P538" s="101"/>
      <c r="Q538" s="101"/>
      <c r="AA538" s="15"/>
    </row>
    <row r="539" spans="9:27" ht="14.25" customHeight="1" x14ac:dyDescent="0.25">
      <c r="I539" s="100"/>
      <c r="J539" s="100"/>
      <c r="K539" s="100"/>
      <c r="O539" s="103"/>
      <c r="P539" s="101"/>
      <c r="Q539" s="101"/>
      <c r="AA539" s="15"/>
    </row>
    <row r="540" spans="9:27" ht="14.25" customHeight="1" x14ac:dyDescent="0.25">
      <c r="I540" s="100"/>
      <c r="J540" s="100"/>
      <c r="K540" s="100"/>
      <c r="O540" s="103"/>
      <c r="P540" s="101"/>
      <c r="Q540" s="101"/>
      <c r="AA540" s="15"/>
    </row>
    <row r="541" spans="9:27" ht="14.25" customHeight="1" x14ac:dyDescent="0.25">
      <c r="I541" s="100"/>
      <c r="J541" s="100"/>
      <c r="K541" s="100"/>
      <c r="O541" s="103"/>
      <c r="P541" s="101"/>
      <c r="Q541" s="101"/>
      <c r="AA541" s="15"/>
    </row>
    <row r="542" spans="9:27" ht="14.25" customHeight="1" x14ac:dyDescent="0.25">
      <c r="I542" s="100"/>
      <c r="J542" s="100"/>
      <c r="K542" s="100"/>
      <c r="O542" s="103"/>
      <c r="P542" s="101"/>
      <c r="Q542" s="101"/>
      <c r="AA542" s="15"/>
    </row>
    <row r="543" spans="9:27" ht="14.25" customHeight="1" x14ac:dyDescent="0.25">
      <c r="I543" s="100"/>
      <c r="J543" s="100"/>
      <c r="K543" s="100"/>
      <c r="O543" s="103"/>
      <c r="P543" s="101"/>
      <c r="Q543" s="101"/>
      <c r="AA543" s="15"/>
    </row>
    <row r="544" spans="9:27" ht="14.25" customHeight="1" x14ac:dyDescent="0.25">
      <c r="I544" s="100"/>
      <c r="J544" s="100"/>
      <c r="K544" s="100"/>
      <c r="O544" s="103"/>
      <c r="P544" s="101"/>
      <c r="Q544" s="101"/>
      <c r="AA544" s="15"/>
    </row>
    <row r="545" spans="9:27" ht="14.25" customHeight="1" x14ac:dyDescent="0.25">
      <c r="I545" s="100"/>
      <c r="J545" s="100"/>
      <c r="K545" s="100"/>
      <c r="O545" s="103"/>
      <c r="P545" s="101"/>
      <c r="Q545" s="101"/>
      <c r="AA545" s="15"/>
    </row>
    <row r="546" spans="9:27" ht="14.25" customHeight="1" x14ac:dyDescent="0.25">
      <c r="I546" s="100"/>
      <c r="J546" s="100"/>
      <c r="K546" s="100"/>
      <c r="O546" s="103"/>
      <c r="P546" s="101"/>
      <c r="Q546" s="101"/>
      <c r="AA546" s="15"/>
    </row>
    <row r="547" spans="9:27" ht="14.25" customHeight="1" x14ac:dyDescent="0.25">
      <c r="I547" s="100"/>
      <c r="J547" s="100"/>
      <c r="K547" s="100"/>
      <c r="O547" s="103"/>
      <c r="P547" s="101"/>
      <c r="Q547" s="101"/>
      <c r="AA547" s="15"/>
    </row>
    <row r="548" spans="9:27" ht="14.25" customHeight="1" x14ac:dyDescent="0.25">
      <c r="I548" s="100"/>
      <c r="J548" s="100"/>
      <c r="K548" s="100"/>
      <c r="O548" s="103"/>
      <c r="P548" s="101"/>
      <c r="Q548" s="101"/>
      <c r="AA548" s="15"/>
    </row>
    <row r="549" spans="9:27" ht="14.25" customHeight="1" x14ac:dyDescent="0.25">
      <c r="I549" s="100"/>
      <c r="J549" s="100"/>
      <c r="K549" s="100"/>
      <c r="O549" s="103"/>
      <c r="P549" s="101"/>
      <c r="Q549" s="101"/>
      <c r="AA549" s="15"/>
    </row>
    <row r="550" spans="9:27" ht="14.25" customHeight="1" x14ac:dyDescent="0.25">
      <c r="I550" s="100"/>
      <c r="J550" s="100"/>
      <c r="K550" s="100"/>
      <c r="O550" s="103"/>
      <c r="P550" s="101"/>
      <c r="Q550" s="101"/>
      <c r="AA550" s="15"/>
    </row>
    <row r="551" spans="9:27" ht="14.25" customHeight="1" x14ac:dyDescent="0.25">
      <c r="I551" s="100"/>
      <c r="J551" s="100"/>
      <c r="K551" s="100"/>
      <c r="O551" s="103"/>
      <c r="P551" s="101"/>
      <c r="Q551" s="101"/>
      <c r="AA551" s="15"/>
    </row>
    <row r="552" spans="9:27" ht="14.25" customHeight="1" x14ac:dyDescent="0.25">
      <c r="I552" s="100"/>
      <c r="J552" s="100"/>
      <c r="K552" s="100"/>
      <c r="O552" s="103"/>
      <c r="P552" s="101"/>
      <c r="Q552" s="101"/>
      <c r="AA552" s="15"/>
    </row>
    <row r="553" spans="9:27" ht="14.25" customHeight="1" x14ac:dyDescent="0.25">
      <c r="I553" s="100"/>
      <c r="J553" s="100"/>
      <c r="K553" s="100"/>
      <c r="O553" s="103"/>
      <c r="P553" s="101"/>
      <c r="Q553" s="101"/>
      <c r="AA553" s="15"/>
    </row>
    <row r="554" spans="9:27" ht="14.25" customHeight="1" x14ac:dyDescent="0.25">
      <c r="I554" s="100"/>
      <c r="J554" s="100"/>
      <c r="K554" s="100"/>
      <c r="O554" s="103"/>
      <c r="P554" s="101"/>
      <c r="Q554" s="101"/>
      <c r="AA554" s="15"/>
    </row>
    <row r="555" spans="9:27" ht="14.25" customHeight="1" x14ac:dyDescent="0.25">
      <c r="I555" s="100"/>
      <c r="J555" s="100"/>
      <c r="K555" s="100"/>
      <c r="O555" s="103"/>
      <c r="P555" s="101"/>
      <c r="Q555" s="101"/>
      <c r="AA555" s="15"/>
    </row>
    <row r="556" spans="9:27" ht="14.25" customHeight="1" x14ac:dyDescent="0.25">
      <c r="I556" s="100"/>
      <c r="J556" s="100"/>
      <c r="K556" s="100"/>
      <c r="O556" s="103"/>
      <c r="P556" s="101"/>
      <c r="Q556" s="101"/>
      <c r="AA556" s="15"/>
    </row>
    <row r="557" spans="9:27" ht="14.25" customHeight="1" x14ac:dyDescent="0.25">
      <c r="I557" s="100"/>
      <c r="J557" s="100"/>
      <c r="K557" s="100"/>
      <c r="O557" s="103"/>
      <c r="P557" s="101"/>
      <c r="Q557" s="101"/>
      <c r="AA557" s="15"/>
    </row>
    <row r="558" spans="9:27" ht="14.25" customHeight="1" x14ac:dyDescent="0.25">
      <c r="I558" s="100"/>
      <c r="J558" s="100"/>
      <c r="K558" s="100"/>
      <c r="O558" s="103"/>
      <c r="P558" s="101"/>
      <c r="Q558" s="101"/>
      <c r="AA558" s="15"/>
    </row>
    <row r="559" spans="9:27" ht="14.25" customHeight="1" x14ac:dyDescent="0.25">
      <c r="I559" s="100"/>
      <c r="J559" s="100"/>
      <c r="K559" s="100"/>
      <c r="O559" s="103"/>
      <c r="P559" s="101"/>
      <c r="Q559" s="101"/>
      <c r="AA559" s="15"/>
    </row>
    <row r="560" spans="9:27" ht="14.25" customHeight="1" x14ac:dyDescent="0.25">
      <c r="I560" s="100"/>
      <c r="J560" s="100"/>
      <c r="K560" s="100"/>
      <c r="O560" s="103"/>
      <c r="P560" s="101"/>
      <c r="Q560" s="101"/>
      <c r="AA560" s="15"/>
    </row>
    <row r="561" spans="9:27" ht="14.25" customHeight="1" x14ac:dyDescent="0.25">
      <c r="I561" s="100"/>
      <c r="J561" s="100"/>
      <c r="K561" s="100"/>
      <c r="O561" s="103"/>
      <c r="P561" s="101"/>
      <c r="Q561" s="101"/>
      <c r="AA561" s="15"/>
    </row>
    <row r="562" spans="9:27" ht="14.25" customHeight="1" x14ac:dyDescent="0.25">
      <c r="I562" s="100"/>
      <c r="J562" s="100"/>
      <c r="K562" s="100"/>
      <c r="O562" s="103"/>
      <c r="P562" s="101"/>
      <c r="Q562" s="101"/>
      <c r="AA562" s="15"/>
    </row>
    <row r="563" spans="9:27" ht="14.25" customHeight="1" x14ac:dyDescent="0.25">
      <c r="I563" s="100"/>
      <c r="J563" s="100"/>
      <c r="K563" s="100"/>
      <c r="O563" s="103"/>
      <c r="P563" s="101"/>
      <c r="Q563" s="101"/>
      <c r="AA563" s="15"/>
    </row>
    <row r="564" spans="9:27" ht="14.25" customHeight="1" x14ac:dyDescent="0.25">
      <c r="I564" s="100"/>
      <c r="J564" s="100"/>
      <c r="K564" s="100"/>
      <c r="O564" s="103"/>
      <c r="P564" s="101"/>
      <c r="Q564" s="101"/>
      <c r="AA564" s="15"/>
    </row>
    <row r="565" spans="9:27" ht="14.25" customHeight="1" x14ac:dyDescent="0.25">
      <c r="I565" s="100"/>
      <c r="J565" s="100"/>
      <c r="K565" s="100"/>
      <c r="O565" s="103"/>
      <c r="P565" s="101"/>
      <c r="Q565" s="101"/>
      <c r="AA565" s="15"/>
    </row>
    <row r="566" spans="9:27" ht="14.25" customHeight="1" x14ac:dyDescent="0.25">
      <c r="I566" s="100"/>
      <c r="J566" s="100"/>
      <c r="K566" s="100"/>
      <c r="O566" s="103"/>
      <c r="P566" s="101"/>
      <c r="Q566" s="101"/>
      <c r="AA566" s="15"/>
    </row>
    <row r="567" spans="9:27" ht="14.25" customHeight="1" x14ac:dyDescent="0.25">
      <c r="I567" s="100"/>
      <c r="J567" s="100"/>
      <c r="K567" s="100"/>
      <c r="O567" s="103"/>
      <c r="P567" s="101"/>
      <c r="Q567" s="101"/>
      <c r="AA567" s="15"/>
    </row>
    <row r="568" spans="9:27" ht="14.25" customHeight="1" x14ac:dyDescent="0.25">
      <c r="I568" s="100"/>
      <c r="J568" s="100"/>
      <c r="K568" s="100"/>
      <c r="O568" s="103"/>
      <c r="P568" s="101"/>
      <c r="Q568" s="101"/>
      <c r="AA568" s="15"/>
    </row>
    <row r="569" spans="9:27" ht="14.25" customHeight="1" x14ac:dyDescent="0.25">
      <c r="I569" s="100"/>
      <c r="J569" s="100"/>
      <c r="K569" s="100"/>
      <c r="O569" s="103"/>
      <c r="P569" s="101"/>
      <c r="Q569" s="101"/>
      <c r="AA569" s="15"/>
    </row>
    <row r="570" spans="9:27" ht="14.25" customHeight="1" x14ac:dyDescent="0.25">
      <c r="I570" s="100"/>
      <c r="J570" s="100"/>
      <c r="K570" s="100"/>
      <c r="O570" s="103"/>
      <c r="P570" s="101"/>
      <c r="Q570" s="101"/>
      <c r="AA570" s="15"/>
    </row>
    <row r="571" spans="9:27" ht="14.25" customHeight="1" x14ac:dyDescent="0.25">
      <c r="I571" s="100"/>
      <c r="J571" s="100"/>
      <c r="K571" s="100"/>
      <c r="O571" s="103"/>
      <c r="P571" s="101"/>
      <c r="Q571" s="101"/>
      <c r="AA571" s="15"/>
    </row>
    <row r="572" spans="9:27" ht="14.25" customHeight="1" x14ac:dyDescent="0.25">
      <c r="I572" s="100"/>
      <c r="J572" s="100"/>
      <c r="K572" s="100"/>
      <c r="O572" s="103"/>
      <c r="P572" s="101"/>
      <c r="Q572" s="101"/>
      <c r="AA572" s="15"/>
    </row>
    <row r="573" spans="9:27" ht="14.25" customHeight="1" x14ac:dyDescent="0.25">
      <c r="I573" s="100"/>
      <c r="J573" s="100"/>
      <c r="K573" s="100"/>
      <c r="O573" s="103"/>
      <c r="P573" s="101"/>
      <c r="Q573" s="101"/>
      <c r="AA573" s="15"/>
    </row>
    <row r="574" spans="9:27" ht="14.25" customHeight="1" x14ac:dyDescent="0.25">
      <c r="I574" s="100"/>
      <c r="J574" s="100"/>
      <c r="K574" s="100"/>
      <c r="O574" s="103"/>
      <c r="P574" s="101"/>
      <c r="Q574" s="101"/>
      <c r="AA574" s="15"/>
    </row>
    <row r="575" spans="9:27" ht="14.25" customHeight="1" x14ac:dyDescent="0.25">
      <c r="I575" s="100"/>
      <c r="J575" s="100"/>
      <c r="K575" s="100"/>
      <c r="O575" s="103"/>
      <c r="P575" s="101"/>
      <c r="Q575" s="101"/>
      <c r="AA575" s="15"/>
    </row>
    <row r="576" spans="9:27" ht="14.25" customHeight="1" x14ac:dyDescent="0.25">
      <c r="I576" s="100"/>
      <c r="J576" s="100"/>
      <c r="K576" s="100"/>
      <c r="O576" s="103"/>
      <c r="P576" s="101"/>
      <c r="Q576" s="101"/>
      <c r="AA576" s="15"/>
    </row>
    <row r="577" spans="9:27" ht="14.25" customHeight="1" x14ac:dyDescent="0.25">
      <c r="I577" s="100"/>
      <c r="J577" s="100"/>
      <c r="K577" s="100"/>
      <c r="O577" s="103"/>
      <c r="P577" s="101"/>
      <c r="Q577" s="101"/>
      <c r="AA577" s="15"/>
    </row>
    <row r="578" spans="9:27" ht="14.25" customHeight="1" x14ac:dyDescent="0.25">
      <c r="I578" s="100"/>
      <c r="J578" s="100"/>
      <c r="K578" s="100"/>
      <c r="O578" s="103"/>
      <c r="P578" s="101"/>
      <c r="Q578" s="101"/>
      <c r="AA578" s="15"/>
    </row>
    <row r="579" spans="9:27" ht="14.25" customHeight="1" x14ac:dyDescent="0.25">
      <c r="I579" s="100"/>
      <c r="J579" s="100"/>
      <c r="K579" s="100"/>
      <c r="O579" s="103"/>
      <c r="P579" s="101"/>
      <c r="Q579" s="101"/>
      <c r="AA579" s="15"/>
    </row>
    <row r="580" spans="9:27" ht="14.25" customHeight="1" x14ac:dyDescent="0.25">
      <c r="I580" s="100"/>
      <c r="J580" s="100"/>
      <c r="K580" s="100"/>
      <c r="O580" s="103"/>
      <c r="P580" s="101"/>
      <c r="Q580" s="101"/>
      <c r="AA580" s="15"/>
    </row>
    <row r="581" spans="9:27" ht="14.25" customHeight="1" x14ac:dyDescent="0.25">
      <c r="I581" s="100"/>
      <c r="J581" s="100"/>
      <c r="K581" s="100"/>
      <c r="O581" s="103"/>
      <c r="P581" s="101"/>
      <c r="Q581" s="101"/>
      <c r="AA581" s="15"/>
    </row>
    <row r="582" spans="9:27" ht="14.25" customHeight="1" x14ac:dyDescent="0.25">
      <c r="I582" s="100"/>
      <c r="J582" s="100"/>
      <c r="K582" s="100"/>
      <c r="O582" s="103"/>
      <c r="P582" s="101"/>
      <c r="Q582" s="101"/>
      <c r="AA582" s="15"/>
    </row>
    <row r="583" spans="9:27" ht="14.25" customHeight="1" x14ac:dyDescent="0.25">
      <c r="I583" s="100"/>
      <c r="J583" s="100"/>
      <c r="K583" s="100"/>
      <c r="O583" s="103"/>
      <c r="P583" s="101"/>
      <c r="Q583" s="101"/>
      <c r="AA583" s="15"/>
    </row>
    <row r="584" spans="9:27" ht="14.25" customHeight="1" x14ac:dyDescent="0.25">
      <c r="I584" s="100"/>
      <c r="J584" s="100"/>
      <c r="K584" s="100"/>
      <c r="O584" s="103"/>
      <c r="P584" s="101"/>
      <c r="Q584" s="101"/>
      <c r="AA584" s="15"/>
    </row>
    <row r="585" spans="9:27" ht="14.25" customHeight="1" x14ac:dyDescent="0.25">
      <c r="I585" s="100"/>
      <c r="J585" s="100"/>
      <c r="K585" s="100"/>
      <c r="O585" s="103"/>
      <c r="P585" s="101"/>
      <c r="Q585" s="101"/>
      <c r="AA585" s="15"/>
    </row>
    <row r="586" spans="9:27" ht="14.25" customHeight="1" x14ac:dyDescent="0.25">
      <c r="I586" s="100"/>
      <c r="J586" s="100"/>
      <c r="K586" s="100"/>
      <c r="O586" s="103"/>
      <c r="P586" s="101"/>
      <c r="Q586" s="101"/>
      <c r="AA586" s="15"/>
    </row>
    <row r="587" spans="9:27" ht="14.25" customHeight="1" x14ac:dyDescent="0.25">
      <c r="I587" s="100"/>
      <c r="J587" s="100"/>
      <c r="K587" s="100"/>
      <c r="O587" s="103"/>
      <c r="P587" s="101"/>
      <c r="Q587" s="101"/>
      <c r="AA587" s="15"/>
    </row>
    <row r="588" spans="9:27" ht="14.25" customHeight="1" x14ac:dyDescent="0.25">
      <c r="I588" s="100"/>
      <c r="J588" s="100"/>
      <c r="K588" s="100"/>
      <c r="O588" s="103"/>
      <c r="P588" s="101"/>
      <c r="Q588" s="101"/>
      <c r="AA588" s="15"/>
    </row>
    <row r="589" spans="9:27" ht="14.25" customHeight="1" x14ac:dyDescent="0.25">
      <c r="I589" s="100"/>
      <c r="J589" s="100"/>
      <c r="K589" s="100"/>
      <c r="O589" s="103"/>
      <c r="P589" s="101"/>
      <c r="Q589" s="101"/>
      <c r="AA589" s="15"/>
    </row>
    <row r="590" spans="9:27" ht="14.25" customHeight="1" x14ac:dyDescent="0.25">
      <c r="I590" s="100"/>
      <c r="J590" s="100"/>
      <c r="K590" s="100"/>
      <c r="O590" s="103"/>
      <c r="P590" s="101"/>
      <c r="Q590" s="101"/>
      <c r="AA590" s="15"/>
    </row>
    <row r="591" spans="9:27" ht="14.25" customHeight="1" x14ac:dyDescent="0.25">
      <c r="I591" s="100"/>
      <c r="J591" s="100"/>
      <c r="K591" s="100"/>
      <c r="O591" s="103"/>
      <c r="P591" s="101"/>
      <c r="Q591" s="101"/>
      <c r="AA591" s="15"/>
    </row>
    <row r="592" spans="9:27" ht="14.25" customHeight="1" x14ac:dyDescent="0.25">
      <c r="I592" s="100"/>
      <c r="J592" s="100"/>
      <c r="K592" s="100"/>
      <c r="O592" s="103"/>
      <c r="P592" s="101"/>
      <c r="Q592" s="101"/>
      <c r="AA592" s="15"/>
    </row>
    <row r="593" spans="9:27" ht="14.25" customHeight="1" x14ac:dyDescent="0.25">
      <c r="I593" s="100"/>
      <c r="J593" s="100"/>
      <c r="K593" s="100"/>
      <c r="O593" s="103"/>
      <c r="P593" s="101"/>
      <c r="Q593" s="101"/>
      <c r="AA593" s="15"/>
    </row>
    <row r="594" spans="9:27" ht="14.25" customHeight="1" x14ac:dyDescent="0.25">
      <c r="I594" s="100"/>
      <c r="J594" s="100"/>
      <c r="K594" s="100"/>
      <c r="O594" s="103"/>
      <c r="P594" s="101"/>
      <c r="Q594" s="101"/>
      <c r="AA594" s="15"/>
    </row>
    <row r="595" spans="9:27" ht="14.25" customHeight="1" x14ac:dyDescent="0.25">
      <c r="I595" s="100"/>
      <c r="J595" s="100"/>
      <c r="K595" s="100"/>
      <c r="O595" s="103"/>
      <c r="P595" s="101"/>
      <c r="Q595" s="101"/>
      <c r="AA595" s="15"/>
    </row>
    <row r="596" spans="9:27" ht="14.25" customHeight="1" x14ac:dyDescent="0.25">
      <c r="I596" s="100"/>
      <c r="J596" s="100"/>
      <c r="K596" s="100"/>
      <c r="O596" s="103"/>
      <c r="P596" s="101"/>
      <c r="Q596" s="101"/>
      <c r="AA596" s="15"/>
    </row>
    <row r="597" spans="9:27" ht="14.25" customHeight="1" x14ac:dyDescent="0.25">
      <c r="I597" s="100"/>
      <c r="J597" s="100"/>
      <c r="K597" s="100"/>
      <c r="O597" s="103"/>
      <c r="P597" s="101"/>
      <c r="Q597" s="101"/>
      <c r="AA597" s="15"/>
    </row>
    <row r="598" spans="9:27" ht="14.25" customHeight="1" x14ac:dyDescent="0.25">
      <c r="I598" s="100"/>
      <c r="J598" s="100"/>
      <c r="K598" s="100"/>
      <c r="O598" s="103"/>
      <c r="P598" s="101"/>
      <c r="Q598" s="101"/>
      <c r="AA598" s="15"/>
    </row>
    <row r="599" spans="9:27" ht="14.25" customHeight="1" x14ac:dyDescent="0.25">
      <c r="I599" s="100"/>
      <c r="J599" s="100"/>
      <c r="K599" s="100"/>
      <c r="O599" s="103"/>
      <c r="P599" s="101"/>
      <c r="Q599" s="101"/>
      <c r="AA599" s="15"/>
    </row>
    <row r="600" spans="9:27" ht="14.25" customHeight="1" x14ac:dyDescent="0.25">
      <c r="I600" s="100"/>
      <c r="J600" s="100"/>
      <c r="K600" s="100"/>
      <c r="O600" s="103"/>
      <c r="P600" s="101"/>
      <c r="Q600" s="101"/>
      <c r="AA600" s="15"/>
    </row>
    <row r="601" spans="9:27" ht="14.25" customHeight="1" x14ac:dyDescent="0.25">
      <c r="I601" s="100"/>
      <c r="J601" s="100"/>
      <c r="K601" s="100"/>
      <c r="O601" s="103"/>
      <c r="P601" s="101"/>
      <c r="Q601" s="101"/>
      <c r="AA601" s="15"/>
    </row>
    <row r="602" spans="9:27" ht="14.25" customHeight="1" x14ac:dyDescent="0.25">
      <c r="I602" s="100"/>
      <c r="J602" s="100"/>
      <c r="K602" s="100"/>
      <c r="O602" s="103"/>
      <c r="P602" s="101"/>
      <c r="Q602" s="101"/>
      <c r="AA602" s="15"/>
    </row>
    <row r="603" spans="9:27" ht="14.25" customHeight="1" x14ac:dyDescent="0.25">
      <c r="I603" s="100"/>
      <c r="J603" s="100"/>
      <c r="K603" s="100"/>
      <c r="O603" s="103"/>
      <c r="P603" s="101"/>
      <c r="Q603" s="101"/>
      <c r="AA603" s="15"/>
    </row>
    <row r="604" spans="9:27" ht="14.25" customHeight="1" x14ac:dyDescent="0.25">
      <c r="I604" s="100"/>
      <c r="J604" s="100"/>
      <c r="K604" s="100"/>
      <c r="O604" s="103"/>
      <c r="P604" s="101"/>
      <c r="Q604" s="101"/>
      <c r="AA604" s="15"/>
    </row>
    <row r="605" spans="9:27" ht="14.25" customHeight="1" x14ac:dyDescent="0.25">
      <c r="I605" s="100"/>
      <c r="J605" s="100"/>
      <c r="K605" s="100"/>
      <c r="O605" s="103"/>
      <c r="P605" s="101"/>
      <c r="Q605" s="101"/>
      <c r="AA605" s="15"/>
    </row>
    <row r="606" spans="9:27" ht="14.25" customHeight="1" x14ac:dyDescent="0.25">
      <c r="I606" s="100"/>
      <c r="J606" s="100"/>
      <c r="K606" s="100"/>
      <c r="O606" s="103"/>
      <c r="P606" s="101"/>
      <c r="Q606" s="101"/>
      <c r="AA606" s="15"/>
    </row>
    <row r="607" spans="9:27" ht="14.25" customHeight="1" x14ac:dyDescent="0.25">
      <c r="I607" s="100"/>
      <c r="J607" s="100"/>
      <c r="K607" s="100"/>
      <c r="O607" s="103"/>
      <c r="P607" s="101"/>
      <c r="Q607" s="101"/>
      <c r="AA607" s="15"/>
    </row>
    <row r="608" spans="9:27" ht="14.25" customHeight="1" x14ac:dyDescent="0.25">
      <c r="I608" s="100"/>
      <c r="J608" s="100"/>
      <c r="K608" s="100"/>
      <c r="O608" s="103"/>
      <c r="P608" s="101"/>
      <c r="Q608" s="101"/>
      <c r="AA608" s="15"/>
    </row>
    <row r="609" spans="9:27" ht="14.25" customHeight="1" x14ac:dyDescent="0.25">
      <c r="I609" s="100"/>
      <c r="J609" s="100"/>
      <c r="K609" s="100"/>
      <c r="O609" s="103"/>
      <c r="P609" s="101"/>
      <c r="Q609" s="101"/>
      <c r="AA609" s="15"/>
    </row>
    <row r="610" spans="9:27" ht="14.25" customHeight="1" x14ac:dyDescent="0.25">
      <c r="I610" s="100"/>
      <c r="J610" s="100"/>
      <c r="K610" s="100"/>
      <c r="O610" s="103"/>
      <c r="P610" s="101"/>
      <c r="Q610" s="101"/>
      <c r="AA610" s="15"/>
    </row>
    <row r="611" spans="9:27" ht="14.25" customHeight="1" x14ac:dyDescent="0.25">
      <c r="I611" s="100"/>
      <c r="J611" s="100"/>
      <c r="K611" s="100"/>
      <c r="O611" s="103"/>
      <c r="P611" s="101"/>
      <c r="Q611" s="101"/>
      <c r="AA611" s="15"/>
    </row>
    <row r="612" spans="9:27" ht="14.25" customHeight="1" x14ac:dyDescent="0.25">
      <c r="I612" s="100"/>
      <c r="J612" s="100"/>
      <c r="K612" s="100"/>
      <c r="O612" s="103"/>
      <c r="P612" s="101"/>
      <c r="Q612" s="101"/>
      <c r="AA612" s="15"/>
    </row>
    <row r="613" spans="9:27" ht="14.25" customHeight="1" x14ac:dyDescent="0.25">
      <c r="I613" s="100"/>
      <c r="J613" s="100"/>
      <c r="K613" s="100"/>
      <c r="O613" s="103"/>
      <c r="P613" s="101"/>
      <c r="Q613" s="101"/>
      <c r="AA613" s="15"/>
    </row>
    <row r="614" spans="9:27" ht="14.25" customHeight="1" x14ac:dyDescent="0.25">
      <c r="I614" s="100"/>
      <c r="J614" s="100"/>
      <c r="K614" s="100"/>
      <c r="O614" s="103"/>
      <c r="P614" s="101"/>
      <c r="Q614" s="101"/>
      <c r="AA614" s="15"/>
    </row>
    <row r="615" spans="9:27" ht="14.25" customHeight="1" x14ac:dyDescent="0.25">
      <c r="I615" s="100"/>
      <c r="J615" s="100"/>
      <c r="K615" s="100"/>
      <c r="O615" s="103"/>
      <c r="P615" s="101"/>
      <c r="Q615" s="101"/>
      <c r="AA615" s="15"/>
    </row>
    <row r="616" spans="9:27" ht="14.25" customHeight="1" x14ac:dyDescent="0.25">
      <c r="I616" s="100"/>
      <c r="J616" s="100"/>
      <c r="K616" s="100"/>
      <c r="O616" s="103"/>
      <c r="P616" s="101"/>
      <c r="Q616" s="101"/>
      <c r="AA616" s="15"/>
    </row>
    <row r="617" spans="9:27" ht="14.25" customHeight="1" x14ac:dyDescent="0.25">
      <c r="I617" s="100"/>
      <c r="J617" s="100"/>
      <c r="K617" s="100"/>
      <c r="O617" s="103"/>
      <c r="P617" s="101"/>
      <c r="Q617" s="101"/>
      <c r="AA617" s="15"/>
    </row>
    <row r="618" spans="9:27" ht="14.25" customHeight="1" x14ac:dyDescent="0.25">
      <c r="I618" s="100"/>
      <c r="J618" s="100"/>
      <c r="K618" s="100"/>
      <c r="O618" s="103"/>
      <c r="P618" s="101"/>
      <c r="Q618" s="101"/>
      <c r="AA618" s="15"/>
    </row>
    <row r="619" spans="9:27" ht="14.25" customHeight="1" x14ac:dyDescent="0.25">
      <c r="I619" s="100"/>
      <c r="J619" s="100"/>
      <c r="K619" s="100"/>
      <c r="O619" s="103"/>
      <c r="P619" s="101"/>
      <c r="Q619" s="101"/>
      <c r="AA619" s="15"/>
    </row>
    <row r="620" spans="9:27" ht="14.25" customHeight="1" x14ac:dyDescent="0.25">
      <c r="I620" s="100"/>
      <c r="J620" s="100"/>
      <c r="K620" s="100"/>
      <c r="O620" s="103"/>
      <c r="P620" s="101"/>
      <c r="Q620" s="101"/>
      <c r="AA620" s="15"/>
    </row>
    <row r="621" spans="9:27" ht="14.25" customHeight="1" x14ac:dyDescent="0.25">
      <c r="I621" s="100"/>
      <c r="J621" s="100"/>
      <c r="K621" s="100"/>
      <c r="O621" s="103"/>
      <c r="P621" s="101"/>
      <c r="Q621" s="101"/>
      <c r="AA621" s="15"/>
    </row>
    <row r="622" spans="9:27" ht="14.25" customHeight="1" x14ac:dyDescent="0.25">
      <c r="I622" s="100"/>
      <c r="J622" s="100"/>
      <c r="K622" s="100"/>
      <c r="O622" s="103"/>
      <c r="P622" s="101"/>
      <c r="Q622" s="101"/>
      <c r="AA622" s="15"/>
    </row>
    <row r="623" spans="9:27" ht="14.25" customHeight="1" x14ac:dyDescent="0.25">
      <c r="I623" s="100"/>
      <c r="J623" s="100"/>
      <c r="K623" s="100"/>
      <c r="O623" s="103"/>
      <c r="P623" s="101"/>
      <c r="Q623" s="101"/>
      <c r="AA623" s="15"/>
    </row>
    <row r="624" spans="9:27" ht="14.25" customHeight="1" x14ac:dyDescent="0.25">
      <c r="I624" s="100"/>
      <c r="J624" s="100"/>
      <c r="K624" s="100"/>
      <c r="O624" s="103"/>
      <c r="P624" s="101"/>
      <c r="Q624" s="101"/>
      <c r="AA624" s="15"/>
    </row>
    <row r="625" spans="9:27" ht="14.25" customHeight="1" x14ac:dyDescent="0.25">
      <c r="I625" s="100"/>
      <c r="J625" s="100"/>
      <c r="K625" s="100"/>
      <c r="O625" s="103"/>
      <c r="P625" s="101"/>
      <c r="Q625" s="101"/>
      <c r="AA625" s="15"/>
    </row>
    <row r="626" spans="9:27" ht="14.25" customHeight="1" x14ac:dyDescent="0.25">
      <c r="I626" s="100"/>
      <c r="J626" s="100"/>
      <c r="K626" s="100"/>
      <c r="O626" s="103"/>
      <c r="P626" s="101"/>
      <c r="Q626" s="101"/>
      <c r="AA626" s="15"/>
    </row>
    <row r="627" spans="9:27" ht="14.25" customHeight="1" x14ac:dyDescent="0.25">
      <c r="I627" s="100"/>
      <c r="J627" s="100"/>
      <c r="K627" s="100"/>
      <c r="O627" s="103"/>
      <c r="P627" s="101"/>
      <c r="Q627" s="101"/>
      <c r="AA627" s="15"/>
    </row>
    <row r="628" spans="9:27" ht="14.25" customHeight="1" x14ac:dyDescent="0.25">
      <c r="I628" s="100"/>
      <c r="J628" s="100"/>
      <c r="K628" s="100"/>
      <c r="O628" s="103"/>
      <c r="P628" s="101"/>
      <c r="Q628" s="101"/>
      <c r="AA628" s="15"/>
    </row>
    <row r="629" spans="9:27" ht="14.25" customHeight="1" x14ac:dyDescent="0.25">
      <c r="I629" s="100"/>
      <c r="J629" s="100"/>
      <c r="K629" s="100"/>
      <c r="O629" s="103"/>
      <c r="P629" s="101"/>
      <c r="Q629" s="101"/>
      <c r="AA629" s="15"/>
    </row>
    <row r="630" spans="9:27" ht="14.25" customHeight="1" x14ac:dyDescent="0.25">
      <c r="I630" s="100"/>
      <c r="J630" s="100"/>
      <c r="K630" s="100"/>
      <c r="O630" s="103"/>
      <c r="P630" s="101"/>
      <c r="Q630" s="101"/>
      <c r="AA630" s="15"/>
    </row>
    <row r="631" spans="9:27" ht="14.25" customHeight="1" x14ac:dyDescent="0.25">
      <c r="I631" s="100"/>
      <c r="J631" s="100"/>
      <c r="K631" s="100"/>
      <c r="O631" s="103"/>
      <c r="P631" s="101"/>
      <c r="Q631" s="101"/>
      <c r="AA631" s="15"/>
    </row>
    <row r="632" spans="9:27" ht="14.25" customHeight="1" x14ac:dyDescent="0.25">
      <c r="I632" s="100"/>
      <c r="J632" s="100"/>
      <c r="K632" s="100"/>
      <c r="O632" s="103"/>
      <c r="P632" s="101"/>
      <c r="Q632" s="101"/>
      <c r="AA632" s="15"/>
    </row>
    <row r="633" spans="9:27" ht="14.25" customHeight="1" x14ac:dyDescent="0.25">
      <c r="I633" s="100"/>
      <c r="J633" s="100"/>
      <c r="K633" s="100"/>
      <c r="O633" s="103"/>
      <c r="P633" s="101"/>
      <c r="Q633" s="101"/>
      <c r="AA633" s="15"/>
    </row>
    <row r="634" spans="9:27" ht="14.25" customHeight="1" x14ac:dyDescent="0.25">
      <c r="I634" s="100"/>
      <c r="J634" s="100"/>
      <c r="K634" s="100"/>
      <c r="O634" s="103"/>
      <c r="P634" s="101"/>
      <c r="Q634" s="101"/>
      <c r="AA634" s="15"/>
    </row>
    <row r="635" spans="9:27" ht="14.25" customHeight="1" x14ac:dyDescent="0.25">
      <c r="I635" s="100"/>
      <c r="J635" s="100"/>
      <c r="K635" s="100"/>
      <c r="O635" s="103"/>
      <c r="P635" s="101"/>
      <c r="Q635" s="101"/>
      <c r="AA635" s="15"/>
    </row>
    <row r="636" spans="9:27" ht="14.25" customHeight="1" x14ac:dyDescent="0.25">
      <c r="I636" s="100"/>
      <c r="J636" s="100"/>
      <c r="K636" s="100"/>
      <c r="O636" s="103"/>
      <c r="P636" s="101"/>
      <c r="Q636" s="101"/>
      <c r="AA636" s="15"/>
    </row>
    <row r="637" spans="9:27" ht="14.25" customHeight="1" x14ac:dyDescent="0.25">
      <c r="I637" s="100"/>
      <c r="J637" s="100"/>
      <c r="K637" s="100"/>
      <c r="O637" s="103"/>
      <c r="P637" s="101"/>
      <c r="Q637" s="101"/>
      <c r="AA637" s="15"/>
    </row>
    <row r="638" spans="9:27" ht="14.25" customHeight="1" x14ac:dyDescent="0.25">
      <c r="I638" s="100"/>
      <c r="J638" s="100"/>
      <c r="K638" s="100"/>
      <c r="O638" s="103"/>
      <c r="P638" s="101"/>
      <c r="Q638" s="101"/>
      <c r="AA638" s="15"/>
    </row>
    <row r="639" spans="9:27" ht="14.25" customHeight="1" x14ac:dyDescent="0.25">
      <c r="I639" s="100"/>
      <c r="J639" s="100"/>
      <c r="K639" s="100"/>
      <c r="O639" s="103"/>
      <c r="P639" s="101"/>
      <c r="Q639" s="101"/>
      <c r="AA639" s="15"/>
    </row>
    <row r="640" spans="9:27" ht="14.25" customHeight="1" x14ac:dyDescent="0.25">
      <c r="I640" s="100"/>
      <c r="J640" s="100"/>
      <c r="K640" s="100"/>
      <c r="O640" s="103"/>
      <c r="P640" s="101"/>
      <c r="Q640" s="101"/>
      <c r="AA640" s="15"/>
    </row>
    <row r="641" spans="9:27" ht="14.25" customHeight="1" x14ac:dyDescent="0.25">
      <c r="I641" s="100"/>
      <c r="J641" s="100"/>
      <c r="K641" s="100"/>
      <c r="O641" s="103"/>
      <c r="P641" s="101"/>
      <c r="Q641" s="101"/>
      <c r="AA641" s="15"/>
    </row>
    <row r="642" spans="9:27" ht="14.25" customHeight="1" x14ac:dyDescent="0.25">
      <c r="I642" s="100"/>
      <c r="J642" s="100"/>
      <c r="K642" s="100"/>
      <c r="O642" s="103"/>
      <c r="P642" s="101"/>
      <c r="Q642" s="101"/>
      <c r="AA642" s="15"/>
    </row>
    <row r="643" spans="9:27" ht="14.25" customHeight="1" x14ac:dyDescent="0.25">
      <c r="I643" s="100"/>
      <c r="J643" s="100"/>
      <c r="K643" s="100"/>
      <c r="O643" s="103"/>
      <c r="P643" s="101"/>
      <c r="Q643" s="101"/>
      <c r="AA643" s="15"/>
    </row>
    <row r="644" spans="9:27" ht="14.25" customHeight="1" x14ac:dyDescent="0.25">
      <c r="I644" s="100"/>
      <c r="J644" s="100"/>
      <c r="K644" s="100"/>
      <c r="O644" s="103"/>
      <c r="P644" s="101"/>
      <c r="Q644" s="101"/>
      <c r="AA644" s="15"/>
    </row>
    <row r="645" spans="9:27" ht="14.25" customHeight="1" x14ac:dyDescent="0.25">
      <c r="I645" s="100"/>
      <c r="J645" s="100"/>
      <c r="K645" s="100"/>
      <c r="O645" s="103"/>
      <c r="P645" s="101"/>
      <c r="Q645" s="101"/>
      <c r="AA645" s="15"/>
    </row>
    <row r="646" spans="9:27" ht="14.25" customHeight="1" x14ac:dyDescent="0.25">
      <c r="I646" s="100"/>
      <c r="J646" s="100"/>
      <c r="K646" s="100"/>
      <c r="O646" s="103"/>
      <c r="P646" s="101"/>
      <c r="Q646" s="101"/>
      <c r="AA646" s="15"/>
    </row>
    <row r="647" spans="9:27" ht="14.25" customHeight="1" x14ac:dyDescent="0.25">
      <c r="I647" s="100"/>
      <c r="J647" s="100"/>
      <c r="K647" s="100"/>
      <c r="O647" s="103"/>
      <c r="P647" s="101"/>
      <c r="Q647" s="101"/>
      <c r="AA647" s="15"/>
    </row>
    <row r="648" spans="9:27" ht="14.25" customHeight="1" x14ac:dyDescent="0.25">
      <c r="I648" s="100"/>
      <c r="J648" s="100"/>
      <c r="K648" s="100"/>
      <c r="O648" s="103"/>
      <c r="P648" s="101"/>
      <c r="Q648" s="101"/>
      <c r="AA648" s="15"/>
    </row>
    <row r="649" spans="9:27" ht="14.25" customHeight="1" x14ac:dyDescent="0.25">
      <c r="I649" s="100"/>
      <c r="J649" s="100"/>
      <c r="K649" s="100"/>
      <c r="O649" s="103"/>
      <c r="P649" s="101"/>
      <c r="Q649" s="101"/>
      <c r="AA649" s="15"/>
    </row>
    <row r="650" spans="9:27" ht="14.25" customHeight="1" x14ac:dyDescent="0.25">
      <c r="I650" s="100"/>
      <c r="J650" s="100"/>
      <c r="K650" s="100"/>
      <c r="O650" s="103"/>
      <c r="P650" s="101"/>
      <c r="Q650" s="101"/>
      <c r="AA650" s="15"/>
    </row>
    <row r="651" spans="9:27" ht="14.25" customHeight="1" x14ac:dyDescent="0.25">
      <c r="I651" s="100"/>
      <c r="J651" s="100"/>
      <c r="K651" s="100"/>
      <c r="O651" s="103"/>
      <c r="P651" s="101"/>
      <c r="Q651" s="101"/>
      <c r="AA651" s="15"/>
    </row>
    <row r="652" spans="9:27" ht="14.25" customHeight="1" x14ac:dyDescent="0.25">
      <c r="I652" s="100"/>
      <c r="J652" s="100"/>
      <c r="K652" s="100"/>
      <c r="O652" s="103"/>
      <c r="P652" s="101"/>
      <c r="Q652" s="101"/>
      <c r="AA652" s="15"/>
    </row>
    <row r="653" spans="9:27" ht="14.25" customHeight="1" x14ac:dyDescent="0.25">
      <c r="I653" s="100"/>
      <c r="J653" s="100"/>
      <c r="K653" s="100"/>
      <c r="O653" s="103"/>
      <c r="P653" s="101"/>
      <c r="Q653" s="101"/>
      <c r="AA653" s="15"/>
    </row>
    <row r="654" spans="9:27" ht="14.25" customHeight="1" x14ac:dyDescent="0.25">
      <c r="I654" s="100"/>
      <c r="J654" s="100"/>
      <c r="K654" s="100"/>
      <c r="O654" s="103"/>
      <c r="P654" s="101"/>
      <c r="Q654" s="101"/>
      <c r="AA654" s="15"/>
    </row>
    <row r="655" spans="9:27" ht="14.25" customHeight="1" x14ac:dyDescent="0.25">
      <c r="I655" s="100"/>
      <c r="J655" s="100"/>
      <c r="K655" s="100"/>
      <c r="O655" s="103"/>
      <c r="P655" s="101"/>
      <c r="Q655" s="101"/>
      <c r="AA655" s="15"/>
    </row>
    <row r="656" spans="9:27" ht="14.25" customHeight="1" x14ac:dyDescent="0.25">
      <c r="I656" s="100"/>
      <c r="J656" s="100"/>
      <c r="K656" s="100"/>
      <c r="O656" s="103"/>
      <c r="P656" s="101"/>
      <c r="Q656" s="101"/>
      <c r="AA656" s="15"/>
    </row>
    <row r="657" spans="9:27" ht="14.25" customHeight="1" x14ac:dyDescent="0.25">
      <c r="I657" s="100"/>
      <c r="J657" s="100"/>
      <c r="K657" s="100"/>
      <c r="O657" s="103"/>
      <c r="P657" s="101"/>
      <c r="Q657" s="101"/>
      <c r="AA657" s="15"/>
    </row>
    <row r="658" spans="9:27" ht="14.25" customHeight="1" x14ac:dyDescent="0.25">
      <c r="I658" s="100"/>
      <c r="J658" s="100"/>
      <c r="K658" s="100"/>
      <c r="O658" s="103"/>
      <c r="P658" s="101"/>
      <c r="Q658" s="101"/>
      <c r="AA658" s="15"/>
    </row>
    <row r="659" spans="9:27" ht="14.25" customHeight="1" x14ac:dyDescent="0.25">
      <c r="I659" s="100"/>
      <c r="J659" s="100"/>
      <c r="K659" s="100"/>
      <c r="O659" s="103"/>
      <c r="P659" s="101"/>
      <c r="Q659" s="101"/>
      <c r="AA659" s="15"/>
    </row>
    <row r="660" spans="9:27" ht="14.25" customHeight="1" x14ac:dyDescent="0.25">
      <c r="I660" s="100"/>
      <c r="J660" s="100"/>
      <c r="K660" s="100"/>
      <c r="O660" s="103"/>
      <c r="P660" s="101"/>
      <c r="Q660" s="101"/>
      <c r="AA660" s="15"/>
    </row>
    <row r="661" spans="9:27" ht="14.25" customHeight="1" x14ac:dyDescent="0.25">
      <c r="I661" s="100"/>
      <c r="J661" s="100"/>
      <c r="K661" s="100"/>
      <c r="O661" s="103"/>
      <c r="P661" s="101"/>
      <c r="Q661" s="101"/>
      <c r="AA661" s="15"/>
    </row>
    <row r="662" spans="9:27" ht="14.25" customHeight="1" x14ac:dyDescent="0.25">
      <c r="I662" s="100"/>
      <c r="J662" s="100"/>
      <c r="K662" s="100"/>
      <c r="O662" s="103"/>
      <c r="P662" s="101"/>
      <c r="Q662" s="101"/>
      <c r="AA662" s="15"/>
    </row>
    <row r="663" spans="9:27" ht="14.25" customHeight="1" x14ac:dyDescent="0.25">
      <c r="I663" s="100"/>
      <c r="J663" s="100"/>
      <c r="K663" s="100"/>
      <c r="O663" s="103"/>
      <c r="P663" s="101"/>
      <c r="Q663" s="101"/>
      <c r="AA663" s="15"/>
    </row>
    <row r="664" spans="9:27" ht="14.25" customHeight="1" x14ac:dyDescent="0.25">
      <c r="I664" s="100"/>
      <c r="J664" s="100"/>
      <c r="K664" s="100"/>
      <c r="O664" s="103"/>
      <c r="P664" s="101"/>
      <c r="Q664" s="101"/>
      <c r="AA664" s="15"/>
    </row>
    <row r="665" spans="9:27" ht="14.25" customHeight="1" x14ac:dyDescent="0.25">
      <c r="I665" s="100"/>
      <c r="J665" s="100"/>
      <c r="K665" s="100"/>
      <c r="O665" s="103"/>
      <c r="P665" s="101"/>
      <c r="Q665" s="101"/>
      <c r="AA665" s="15"/>
    </row>
    <row r="666" spans="9:27" ht="14.25" customHeight="1" x14ac:dyDescent="0.25">
      <c r="I666" s="100"/>
      <c r="J666" s="100"/>
      <c r="K666" s="100"/>
      <c r="O666" s="103"/>
      <c r="P666" s="101"/>
      <c r="Q666" s="101"/>
      <c r="AA666" s="15"/>
    </row>
    <row r="667" spans="9:27" ht="14.25" customHeight="1" x14ac:dyDescent="0.25">
      <c r="I667" s="100"/>
      <c r="J667" s="100"/>
      <c r="K667" s="100"/>
      <c r="O667" s="103"/>
      <c r="P667" s="101"/>
      <c r="Q667" s="101"/>
      <c r="AA667" s="15"/>
    </row>
    <row r="668" spans="9:27" ht="14.25" customHeight="1" x14ac:dyDescent="0.25">
      <c r="I668" s="100"/>
      <c r="J668" s="100"/>
      <c r="K668" s="100"/>
      <c r="O668" s="103"/>
      <c r="P668" s="101"/>
      <c r="Q668" s="101"/>
      <c r="AA668" s="15"/>
    </row>
    <row r="669" spans="9:27" ht="14.25" customHeight="1" x14ac:dyDescent="0.25">
      <c r="I669" s="100"/>
      <c r="J669" s="100"/>
      <c r="K669" s="100"/>
      <c r="O669" s="103"/>
      <c r="P669" s="101"/>
      <c r="Q669" s="101"/>
      <c r="AA669" s="15"/>
    </row>
    <row r="670" spans="9:27" ht="14.25" customHeight="1" x14ac:dyDescent="0.25">
      <c r="I670" s="100"/>
      <c r="J670" s="100"/>
      <c r="K670" s="100"/>
      <c r="O670" s="103"/>
      <c r="P670" s="101"/>
      <c r="Q670" s="101"/>
      <c r="AA670" s="15"/>
    </row>
    <row r="671" spans="9:27" ht="14.25" customHeight="1" x14ac:dyDescent="0.25">
      <c r="I671" s="100"/>
      <c r="J671" s="100"/>
      <c r="K671" s="100"/>
      <c r="O671" s="103"/>
      <c r="P671" s="101"/>
      <c r="Q671" s="101"/>
      <c r="AA671" s="15"/>
    </row>
    <row r="672" spans="9:27" ht="14.25" customHeight="1" x14ac:dyDescent="0.25">
      <c r="I672" s="100"/>
      <c r="J672" s="100"/>
      <c r="K672" s="100"/>
      <c r="O672" s="103"/>
      <c r="P672" s="101"/>
      <c r="Q672" s="101"/>
      <c r="AA672" s="15"/>
    </row>
    <row r="673" spans="9:27" ht="14.25" customHeight="1" x14ac:dyDescent="0.25">
      <c r="I673" s="100"/>
      <c r="J673" s="100"/>
      <c r="K673" s="100"/>
      <c r="O673" s="103"/>
      <c r="P673" s="101"/>
      <c r="Q673" s="101"/>
      <c r="AA673" s="15"/>
    </row>
    <row r="674" spans="9:27" ht="14.25" customHeight="1" x14ac:dyDescent="0.25">
      <c r="I674" s="100"/>
      <c r="J674" s="100"/>
      <c r="K674" s="100"/>
      <c r="O674" s="103"/>
      <c r="P674" s="101"/>
      <c r="Q674" s="101"/>
      <c r="AA674" s="15"/>
    </row>
    <row r="675" spans="9:27" ht="14.25" customHeight="1" x14ac:dyDescent="0.25">
      <c r="I675" s="100"/>
      <c r="J675" s="100"/>
      <c r="K675" s="100"/>
      <c r="O675" s="103"/>
      <c r="P675" s="101"/>
      <c r="Q675" s="101"/>
      <c r="AA675" s="15"/>
    </row>
    <row r="676" spans="9:27" ht="14.25" customHeight="1" x14ac:dyDescent="0.25">
      <c r="I676" s="100"/>
      <c r="J676" s="100"/>
      <c r="K676" s="100"/>
      <c r="O676" s="103"/>
      <c r="P676" s="101"/>
      <c r="Q676" s="101"/>
      <c r="AA676" s="15"/>
    </row>
    <row r="677" spans="9:27" ht="14.25" customHeight="1" x14ac:dyDescent="0.25">
      <c r="I677" s="100"/>
      <c r="J677" s="100"/>
      <c r="K677" s="100"/>
      <c r="O677" s="103"/>
      <c r="P677" s="101"/>
      <c r="Q677" s="101"/>
      <c r="AA677" s="15"/>
    </row>
    <row r="678" spans="9:27" ht="14.25" customHeight="1" x14ac:dyDescent="0.25">
      <c r="I678" s="100"/>
      <c r="J678" s="100"/>
      <c r="K678" s="100"/>
      <c r="O678" s="103"/>
      <c r="P678" s="101"/>
      <c r="Q678" s="101"/>
      <c r="AA678" s="15"/>
    </row>
    <row r="679" spans="9:27" ht="14.25" customHeight="1" x14ac:dyDescent="0.25">
      <c r="I679" s="100"/>
      <c r="J679" s="100"/>
      <c r="K679" s="100"/>
      <c r="O679" s="103"/>
      <c r="P679" s="101"/>
      <c r="Q679" s="101"/>
      <c r="AA679" s="15"/>
    </row>
    <row r="680" spans="9:27" ht="14.25" customHeight="1" x14ac:dyDescent="0.25">
      <c r="I680" s="100"/>
      <c r="J680" s="100"/>
      <c r="K680" s="100"/>
      <c r="O680" s="103"/>
      <c r="P680" s="101"/>
      <c r="Q680" s="101"/>
      <c r="AA680" s="15"/>
    </row>
    <row r="681" spans="9:27" ht="14.25" customHeight="1" x14ac:dyDescent="0.25">
      <c r="I681" s="100"/>
      <c r="J681" s="100"/>
      <c r="K681" s="100"/>
      <c r="O681" s="103"/>
      <c r="P681" s="101"/>
      <c r="Q681" s="101"/>
      <c r="AA681" s="15"/>
    </row>
    <row r="682" spans="9:27" ht="14.25" customHeight="1" x14ac:dyDescent="0.25">
      <c r="I682" s="100"/>
      <c r="J682" s="100"/>
      <c r="K682" s="100"/>
      <c r="O682" s="103"/>
      <c r="P682" s="101"/>
      <c r="Q682" s="101"/>
      <c r="AA682" s="15"/>
    </row>
    <row r="683" spans="9:27" ht="14.25" customHeight="1" x14ac:dyDescent="0.25">
      <c r="I683" s="100"/>
      <c r="J683" s="100"/>
      <c r="K683" s="100"/>
      <c r="O683" s="103"/>
      <c r="P683" s="101"/>
      <c r="Q683" s="101"/>
      <c r="AA683" s="15"/>
    </row>
    <row r="684" spans="9:27" ht="14.25" customHeight="1" x14ac:dyDescent="0.25">
      <c r="I684" s="100"/>
      <c r="J684" s="100"/>
      <c r="K684" s="100"/>
      <c r="O684" s="103"/>
      <c r="P684" s="101"/>
      <c r="Q684" s="101"/>
      <c r="AA684" s="15"/>
    </row>
    <row r="685" spans="9:27" ht="14.25" customHeight="1" x14ac:dyDescent="0.25">
      <c r="I685" s="100"/>
      <c r="J685" s="100"/>
      <c r="K685" s="100"/>
      <c r="O685" s="103"/>
      <c r="P685" s="101"/>
      <c r="Q685" s="101"/>
      <c r="AA685" s="15"/>
    </row>
    <row r="686" spans="9:27" ht="14.25" customHeight="1" x14ac:dyDescent="0.25">
      <c r="I686" s="100"/>
      <c r="J686" s="100"/>
      <c r="K686" s="100"/>
      <c r="O686" s="103"/>
      <c r="P686" s="101"/>
      <c r="Q686" s="101"/>
      <c r="AA686" s="15"/>
    </row>
    <row r="687" spans="9:27" ht="14.25" customHeight="1" x14ac:dyDescent="0.25">
      <c r="I687" s="100"/>
      <c r="J687" s="100"/>
      <c r="K687" s="100"/>
      <c r="O687" s="103"/>
      <c r="P687" s="101"/>
      <c r="Q687" s="101"/>
      <c r="AA687" s="15"/>
    </row>
    <row r="688" spans="9:27" ht="14.25" customHeight="1" x14ac:dyDescent="0.25">
      <c r="I688" s="100"/>
      <c r="J688" s="100"/>
      <c r="K688" s="100"/>
      <c r="O688" s="103"/>
      <c r="P688" s="101"/>
      <c r="Q688" s="101"/>
      <c r="AA688" s="15"/>
    </row>
    <row r="689" spans="9:27" ht="14.25" customHeight="1" x14ac:dyDescent="0.25">
      <c r="I689" s="100"/>
      <c r="J689" s="100"/>
      <c r="K689" s="100"/>
      <c r="O689" s="103"/>
      <c r="P689" s="101"/>
      <c r="Q689" s="101"/>
      <c r="AA689" s="15"/>
    </row>
    <row r="690" spans="9:27" ht="14.25" customHeight="1" x14ac:dyDescent="0.25">
      <c r="I690" s="100"/>
      <c r="J690" s="100"/>
      <c r="K690" s="100"/>
      <c r="O690" s="103"/>
      <c r="P690" s="101"/>
      <c r="Q690" s="101"/>
      <c r="AA690" s="15"/>
    </row>
    <row r="691" spans="9:27" ht="14.25" customHeight="1" x14ac:dyDescent="0.25">
      <c r="I691" s="100"/>
      <c r="J691" s="100"/>
      <c r="K691" s="100"/>
      <c r="O691" s="103"/>
      <c r="P691" s="101"/>
      <c r="Q691" s="101"/>
      <c r="AA691" s="15"/>
    </row>
    <row r="692" spans="9:27" ht="14.25" customHeight="1" x14ac:dyDescent="0.25">
      <c r="I692" s="100"/>
      <c r="J692" s="100"/>
      <c r="K692" s="100"/>
      <c r="O692" s="103"/>
      <c r="P692" s="101"/>
      <c r="Q692" s="101"/>
      <c r="AA692" s="15"/>
    </row>
    <row r="693" spans="9:27" ht="14.25" customHeight="1" x14ac:dyDescent="0.25">
      <c r="I693" s="100"/>
      <c r="J693" s="100"/>
      <c r="K693" s="100"/>
      <c r="O693" s="103"/>
      <c r="P693" s="101"/>
      <c r="Q693" s="101"/>
      <c r="AA693" s="15"/>
    </row>
    <row r="694" spans="9:27" ht="14.25" customHeight="1" x14ac:dyDescent="0.25">
      <c r="I694" s="100"/>
      <c r="J694" s="100"/>
      <c r="K694" s="100"/>
      <c r="O694" s="103"/>
      <c r="P694" s="101"/>
      <c r="Q694" s="101"/>
      <c r="AA694" s="15"/>
    </row>
    <row r="695" spans="9:27" ht="14.25" customHeight="1" x14ac:dyDescent="0.25">
      <c r="I695" s="100"/>
      <c r="J695" s="100"/>
      <c r="K695" s="100"/>
      <c r="O695" s="103"/>
      <c r="P695" s="101"/>
      <c r="Q695" s="101"/>
      <c r="AA695" s="15"/>
    </row>
    <row r="696" spans="9:27" ht="14.25" customHeight="1" x14ac:dyDescent="0.25">
      <c r="I696" s="100"/>
      <c r="J696" s="100"/>
      <c r="K696" s="100"/>
      <c r="O696" s="103"/>
      <c r="P696" s="101"/>
      <c r="Q696" s="101"/>
      <c r="AA696" s="15"/>
    </row>
    <row r="697" spans="9:27" ht="14.25" customHeight="1" x14ac:dyDescent="0.25">
      <c r="I697" s="100"/>
      <c r="J697" s="100"/>
      <c r="K697" s="100"/>
      <c r="O697" s="103"/>
      <c r="P697" s="101"/>
      <c r="Q697" s="101"/>
      <c r="AA697" s="15"/>
    </row>
    <row r="698" spans="9:27" ht="14.25" customHeight="1" x14ac:dyDescent="0.25">
      <c r="I698" s="100"/>
      <c r="J698" s="100"/>
      <c r="K698" s="100"/>
      <c r="O698" s="103"/>
      <c r="P698" s="101"/>
      <c r="Q698" s="101"/>
      <c r="AA698" s="15"/>
    </row>
    <row r="699" spans="9:27" ht="14.25" customHeight="1" x14ac:dyDescent="0.25">
      <c r="I699" s="100"/>
      <c r="J699" s="100"/>
      <c r="K699" s="100"/>
      <c r="O699" s="103"/>
      <c r="P699" s="101"/>
      <c r="Q699" s="101"/>
      <c r="AA699" s="15"/>
    </row>
    <row r="700" spans="9:27" ht="14.25" customHeight="1" x14ac:dyDescent="0.25">
      <c r="I700" s="100"/>
      <c r="J700" s="100"/>
      <c r="K700" s="100"/>
      <c r="O700" s="103"/>
      <c r="P700" s="101"/>
      <c r="Q700" s="101"/>
      <c r="AA700" s="15"/>
    </row>
    <row r="701" spans="9:27" ht="14.25" customHeight="1" x14ac:dyDescent="0.25">
      <c r="I701" s="100"/>
      <c r="J701" s="100"/>
      <c r="K701" s="100"/>
      <c r="O701" s="103"/>
      <c r="P701" s="101"/>
      <c r="Q701" s="101"/>
      <c r="AA701" s="15"/>
    </row>
    <row r="702" spans="9:27" ht="14.25" customHeight="1" x14ac:dyDescent="0.25">
      <c r="I702" s="100"/>
      <c r="J702" s="100"/>
      <c r="K702" s="100"/>
      <c r="O702" s="103"/>
      <c r="P702" s="101"/>
      <c r="Q702" s="101"/>
      <c r="AA702" s="15"/>
    </row>
    <row r="703" spans="9:27" ht="14.25" customHeight="1" x14ac:dyDescent="0.25">
      <c r="I703" s="100"/>
      <c r="J703" s="100"/>
      <c r="K703" s="100"/>
      <c r="O703" s="103"/>
      <c r="P703" s="101"/>
      <c r="Q703" s="101"/>
      <c r="AA703" s="15"/>
    </row>
    <row r="704" spans="9:27" ht="14.25" customHeight="1" x14ac:dyDescent="0.25">
      <c r="I704" s="100"/>
      <c r="J704" s="100"/>
      <c r="K704" s="100"/>
      <c r="O704" s="103"/>
      <c r="P704" s="101"/>
      <c r="Q704" s="101"/>
      <c r="AA704" s="15"/>
    </row>
    <row r="705" spans="9:27" ht="14.25" customHeight="1" x14ac:dyDescent="0.25">
      <c r="I705" s="100"/>
      <c r="J705" s="100"/>
      <c r="K705" s="100"/>
      <c r="O705" s="103"/>
      <c r="P705" s="101"/>
      <c r="Q705" s="101"/>
      <c r="AA705" s="15"/>
    </row>
    <row r="706" spans="9:27" ht="14.25" customHeight="1" x14ac:dyDescent="0.25">
      <c r="I706" s="100"/>
      <c r="J706" s="100"/>
      <c r="K706" s="100"/>
      <c r="O706" s="103"/>
      <c r="P706" s="101"/>
      <c r="Q706" s="101"/>
      <c r="AA706" s="15"/>
    </row>
    <row r="707" spans="9:27" ht="14.25" customHeight="1" x14ac:dyDescent="0.25">
      <c r="I707" s="100"/>
      <c r="J707" s="100"/>
      <c r="K707" s="100"/>
      <c r="O707" s="103"/>
      <c r="P707" s="101"/>
      <c r="Q707" s="101"/>
      <c r="AA707" s="15"/>
    </row>
    <row r="708" spans="9:27" ht="14.25" customHeight="1" x14ac:dyDescent="0.25">
      <c r="I708" s="100"/>
      <c r="J708" s="100"/>
      <c r="K708" s="100"/>
      <c r="O708" s="103"/>
      <c r="P708" s="101"/>
      <c r="Q708" s="101"/>
      <c r="AA708" s="15"/>
    </row>
    <row r="709" spans="9:27" ht="14.25" customHeight="1" x14ac:dyDescent="0.25">
      <c r="I709" s="100"/>
      <c r="J709" s="100"/>
      <c r="K709" s="100"/>
      <c r="O709" s="103"/>
      <c r="P709" s="101"/>
      <c r="Q709" s="101"/>
      <c r="AA709" s="15"/>
    </row>
    <row r="710" spans="9:27" ht="14.25" customHeight="1" x14ac:dyDescent="0.25">
      <c r="I710" s="100"/>
      <c r="J710" s="100"/>
      <c r="K710" s="100"/>
      <c r="O710" s="103"/>
      <c r="P710" s="101"/>
      <c r="Q710" s="101"/>
      <c r="AA710" s="15"/>
    </row>
    <row r="711" spans="9:27" ht="14.25" customHeight="1" x14ac:dyDescent="0.25">
      <c r="I711" s="100"/>
      <c r="J711" s="100"/>
      <c r="K711" s="100"/>
      <c r="O711" s="103"/>
      <c r="P711" s="101"/>
      <c r="Q711" s="101"/>
      <c r="AA711" s="15"/>
    </row>
    <row r="712" spans="9:27" ht="14.25" customHeight="1" x14ac:dyDescent="0.25">
      <c r="I712" s="100"/>
      <c r="J712" s="100"/>
      <c r="K712" s="100"/>
      <c r="O712" s="103"/>
      <c r="P712" s="101"/>
      <c r="Q712" s="101"/>
      <c r="AA712" s="15"/>
    </row>
    <row r="713" spans="9:27" ht="14.25" customHeight="1" x14ac:dyDescent="0.25">
      <c r="I713" s="100"/>
      <c r="J713" s="100"/>
      <c r="K713" s="100"/>
      <c r="O713" s="103"/>
      <c r="P713" s="101"/>
      <c r="Q713" s="101"/>
      <c r="AA713" s="15"/>
    </row>
    <row r="714" spans="9:27" ht="14.25" customHeight="1" x14ac:dyDescent="0.25">
      <c r="I714" s="100"/>
      <c r="J714" s="100"/>
      <c r="K714" s="100"/>
      <c r="O714" s="103"/>
      <c r="P714" s="101"/>
      <c r="Q714" s="101"/>
      <c r="AA714" s="15"/>
    </row>
    <row r="715" spans="9:27" ht="14.25" customHeight="1" x14ac:dyDescent="0.25">
      <c r="I715" s="100"/>
      <c r="J715" s="100"/>
      <c r="K715" s="100"/>
      <c r="O715" s="103"/>
      <c r="P715" s="101"/>
      <c r="Q715" s="101"/>
      <c r="AA715" s="15"/>
    </row>
    <row r="716" spans="9:27" ht="14.25" customHeight="1" x14ac:dyDescent="0.25">
      <c r="I716" s="100"/>
      <c r="J716" s="100"/>
      <c r="K716" s="100"/>
      <c r="O716" s="103"/>
      <c r="P716" s="101"/>
      <c r="Q716" s="101"/>
      <c r="AA716" s="15"/>
    </row>
    <row r="717" spans="9:27" ht="14.25" customHeight="1" x14ac:dyDescent="0.25">
      <c r="I717" s="100"/>
      <c r="J717" s="100"/>
      <c r="K717" s="100"/>
      <c r="O717" s="103"/>
      <c r="P717" s="101"/>
      <c r="Q717" s="101"/>
      <c r="AA717" s="15"/>
    </row>
    <row r="718" spans="9:27" ht="14.25" customHeight="1" x14ac:dyDescent="0.25">
      <c r="I718" s="100"/>
      <c r="J718" s="100"/>
      <c r="K718" s="100"/>
      <c r="O718" s="103"/>
      <c r="P718" s="101"/>
      <c r="Q718" s="101"/>
      <c r="AA718" s="15"/>
    </row>
    <row r="719" spans="9:27" ht="14.25" customHeight="1" x14ac:dyDescent="0.25">
      <c r="I719" s="100"/>
      <c r="J719" s="100"/>
      <c r="K719" s="100"/>
      <c r="O719" s="103"/>
      <c r="P719" s="101"/>
      <c r="Q719" s="101"/>
      <c r="AA719" s="15"/>
    </row>
    <row r="720" spans="9:27" ht="14.25" customHeight="1" x14ac:dyDescent="0.25">
      <c r="I720" s="100"/>
      <c r="J720" s="100"/>
      <c r="K720" s="100"/>
      <c r="O720" s="103"/>
      <c r="P720" s="101"/>
      <c r="Q720" s="101"/>
      <c r="AA720" s="15"/>
    </row>
    <row r="721" spans="9:27" ht="14.25" customHeight="1" x14ac:dyDescent="0.25">
      <c r="I721" s="100"/>
      <c r="J721" s="100"/>
      <c r="K721" s="100"/>
      <c r="O721" s="103"/>
      <c r="P721" s="101"/>
      <c r="Q721" s="101"/>
      <c r="AA721" s="15"/>
    </row>
    <row r="722" spans="9:27" ht="14.25" customHeight="1" x14ac:dyDescent="0.25">
      <c r="I722" s="100"/>
      <c r="J722" s="100"/>
      <c r="K722" s="100"/>
      <c r="O722" s="103"/>
      <c r="P722" s="101"/>
      <c r="Q722" s="101"/>
      <c r="AA722" s="15"/>
    </row>
    <row r="723" spans="9:27" ht="14.25" customHeight="1" x14ac:dyDescent="0.25">
      <c r="I723" s="100"/>
      <c r="J723" s="100"/>
      <c r="K723" s="100"/>
      <c r="O723" s="103"/>
      <c r="P723" s="101"/>
      <c r="Q723" s="101"/>
      <c r="AA723" s="15"/>
    </row>
    <row r="724" spans="9:27" ht="14.25" customHeight="1" x14ac:dyDescent="0.25">
      <c r="I724" s="100"/>
      <c r="J724" s="100"/>
      <c r="K724" s="100"/>
      <c r="O724" s="103"/>
      <c r="P724" s="101"/>
      <c r="Q724" s="101"/>
      <c r="AA724" s="15"/>
    </row>
    <row r="725" spans="9:27" ht="14.25" customHeight="1" x14ac:dyDescent="0.25">
      <c r="I725" s="100"/>
      <c r="J725" s="100"/>
      <c r="K725" s="100"/>
      <c r="O725" s="103"/>
      <c r="P725" s="101"/>
      <c r="Q725" s="101"/>
      <c r="AA725" s="15"/>
    </row>
    <row r="726" spans="9:27" ht="14.25" customHeight="1" x14ac:dyDescent="0.25">
      <c r="I726" s="100"/>
      <c r="J726" s="100"/>
      <c r="K726" s="100"/>
      <c r="O726" s="103"/>
      <c r="P726" s="101"/>
      <c r="Q726" s="101"/>
      <c r="AA726" s="15"/>
    </row>
    <row r="727" spans="9:27" ht="14.25" customHeight="1" x14ac:dyDescent="0.25">
      <c r="I727" s="100"/>
      <c r="J727" s="100"/>
      <c r="K727" s="100"/>
      <c r="O727" s="103"/>
      <c r="P727" s="101"/>
      <c r="Q727" s="101"/>
      <c r="AA727" s="15"/>
    </row>
    <row r="728" spans="9:27" ht="14.25" customHeight="1" x14ac:dyDescent="0.25">
      <c r="I728" s="100"/>
      <c r="J728" s="100"/>
      <c r="K728" s="100"/>
      <c r="O728" s="103"/>
      <c r="P728" s="101"/>
      <c r="Q728" s="101"/>
      <c r="AA728" s="15"/>
    </row>
    <row r="729" spans="9:27" ht="14.25" customHeight="1" x14ac:dyDescent="0.25">
      <c r="I729" s="100"/>
      <c r="J729" s="100"/>
      <c r="K729" s="100"/>
      <c r="O729" s="103"/>
      <c r="P729" s="101"/>
      <c r="Q729" s="101"/>
      <c r="AA729" s="15"/>
    </row>
    <row r="730" spans="9:27" ht="14.25" customHeight="1" x14ac:dyDescent="0.25">
      <c r="I730" s="100"/>
      <c r="J730" s="100"/>
      <c r="K730" s="100"/>
      <c r="O730" s="103"/>
      <c r="P730" s="101"/>
      <c r="Q730" s="101"/>
      <c r="AA730" s="15"/>
    </row>
    <row r="731" spans="9:27" ht="14.25" customHeight="1" x14ac:dyDescent="0.25">
      <c r="I731" s="100"/>
      <c r="J731" s="100"/>
      <c r="K731" s="100"/>
      <c r="O731" s="103"/>
      <c r="P731" s="101"/>
      <c r="Q731" s="101"/>
      <c r="AA731" s="15"/>
    </row>
    <row r="732" spans="9:27" ht="14.25" customHeight="1" x14ac:dyDescent="0.25">
      <c r="I732" s="100"/>
      <c r="J732" s="100"/>
      <c r="K732" s="100"/>
      <c r="O732" s="103"/>
      <c r="P732" s="101"/>
      <c r="Q732" s="101"/>
      <c r="AA732" s="15"/>
    </row>
    <row r="733" spans="9:27" ht="14.25" customHeight="1" x14ac:dyDescent="0.25">
      <c r="I733" s="100"/>
      <c r="J733" s="100"/>
      <c r="K733" s="100"/>
      <c r="O733" s="103"/>
      <c r="P733" s="101"/>
      <c r="Q733" s="101"/>
      <c r="AA733" s="15"/>
    </row>
    <row r="734" spans="9:27" ht="14.25" customHeight="1" x14ac:dyDescent="0.25">
      <c r="I734" s="100"/>
      <c r="J734" s="100"/>
      <c r="K734" s="100"/>
      <c r="O734" s="103"/>
      <c r="P734" s="101"/>
      <c r="Q734" s="101"/>
      <c r="AA734" s="15"/>
    </row>
    <row r="735" spans="9:27" ht="14.25" customHeight="1" x14ac:dyDescent="0.25">
      <c r="I735" s="100"/>
      <c r="J735" s="100"/>
      <c r="K735" s="100"/>
      <c r="O735" s="103"/>
      <c r="P735" s="101"/>
      <c r="Q735" s="101"/>
      <c r="AA735" s="15"/>
    </row>
    <row r="736" spans="9:27" ht="14.25" customHeight="1" x14ac:dyDescent="0.25">
      <c r="I736" s="100"/>
      <c r="J736" s="100"/>
      <c r="K736" s="100"/>
      <c r="O736" s="103"/>
      <c r="P736" s="101"/>
      <c r="Q736" s="101"/>
      <c r="AA736" s="15"/>
    </row>
    <row r="737" spans="9:27" ht="14.25" customHeight="1" x14ac:dyDescent="0.25">
      <c r="I737" s="100"/>
      <c r="J737" s="100"/>
      <c r="K737" s="100"/>
      <c r="O737" s="103"/>
      <c r="P737" s="101"/>
      <c r="Q737" s="101"/>
      <c r="AA737" s="15"/>
    </row>
    <row r="738" spans="9:27" ht="14.25" customHeight="1" x14ac:dyDescent="0.25">
      <c r="I738" s="100"/>
      <c r="J738" s="100"/>
      <c r="K738" s="100"/>
      <c r="O738" s="103"/>
      <c r="P738" s="101"/>
      <c r="Q738" s="101"/>
      <c r="AA738" s="15"/>
    </row>
    <row r="739" spans="9:27" ht="14.25" customHeight="1" x14ac:dyDescent="0.25">
      <c r="I739" s="100"/>
      <c r="J739" s="100"/>
      <c r="K739" s="100"/>
      <c r="O739" s="103"/>
      <c r="P739" s="101"/>
      <c r="Q739" s="101"/>
      <c r="AA739" s="15"/>
    </row>
    <row r="740" spans="9:27" ht="14.25" customHeight="1" x14ac:dyDescent="0.25">
      <c r="I740" s="100"/>
      <c r="J740" s="100"/>
      <c r="K740" s="100"/>
      <c r="O740" s="103"/>
      <c r="P740" s="101"/>
      <c r="Q740" s="101"/>
      <c r="AA740" s="15"/>
    </row>
    <row r="741" spans="9:27" ht="14.25" customHeight="1" x14ac:dyDescent="0.25">
      <c r="I741" s="100"/>
      <c r="J741" s="100"/>
      <c r="K741" s="100"/>
      <c r="O741" s="103"/>
      <c r="P741" s="101"/>
      <c r="Q741" s="101"/>
      <c r="AA741" s="15"/>
    </row>
    <row r="742" spans="9:27" ht="14.25" customHeight="1" x14ac:dyDescent="0.25">
      <c r="I742" s="100"/>
      <c r="J742" s="100"/>
      <c r="K742" s="100"/>
      <c r="O742" s="103"/>
      <c r="P742" s="101"/>
      <c r="Q742" s="101"/>
      <c r="AA742" s="15"/>
    </row>
    <row r="743" spans="9:27" ht="14.25" customHeight="1" x14ac:dyDescent="0.25">
      <c r="I743" s="100"/>
      <c r="J743" s="100"/>
      <c r="K743" s="100"/>
      <c r="O743" s="103"/>
      <c r="P743" s="101"/>
      <c r="Q743" s="101"/>
      <c r="AA743" s="15"/>
    </row>
    <row r="744" spans="9:27" ht="14.25" customHeight="1" x14ac:dyDescent="0.25">
      <c r="I744" s="100"/>
      <c r="J744" s="100"/>
      <c r="K744" s="100"/>
      <c r="O744" s="103"/>
      <c r="P744" s="101"/>
      <c r="Q744" s="101"/>
      <c r="AA744" s="15"/>
    </row>
    <row r="745" spans="9:27" ht="14.25" customHeight="1" x14ac:dyDescent="0.25">
      <c r="I745" s="100"/>
      <c r="J745" s="100"/>
      <c r="K745" s="100"/>
      <c r="O745" s="103"/>
      <c r="P745" s="101"/>
      <c r="Q745" s="101"/>
      <c r="AA745" s="15"/>
    </row>
    <row r="746" spans="9:27" ht="14.25" customHeight="1" x14ac:dyDescent="0.25">
      <c r="I746" s="100"/>
      <c r="J746" s="100"/>
      <c r="K746" s="100"/>
      <c r="O746" s="103"/>
      <c r="P746" s="101"/>
      <c r="Q746" s="101"/>
      <c r="AA746" s="15"/>
    </row>
    <row r="747" spans="9:27" ht="14.25" customHeight="1" x14ac:dyDescent="0.25">
      <c r="I747" s="100"/>
      <c r="J747" s="100"/>
      <c r="K747" s="100"/>
      <c r="O747" s="103"/>
      <c r="P747" s="101"/>
      <c r="Q747" s="101"/>
      <c r="AA747" s="15"/>
    </row>
    <row r="748" spans="9:27" ht="14.25" customHeight="1" x14ac:dyDescent="0.25">
      <c r="I748" s="100"/>
      <c r="J748" s="100"/>
      <c r="K748" s="100"/>
      <c r="O748" s="103"/>
      <c r="P748" s="101"/>
      <c r="Q748" s="101"/>
      <c r="AA748" s="15"/>
    </row>
    <row r="749" spans="9:27" ht="14.25" customHeight="1" x14ac:dyDescent="0.25">
      <c r="I749" s="100"/>
      <c r="J749" s="100"/>
      <c r="K749" s="100"/>
      <c r="O749" s="103"/>
      <c r="P749" s="101"/>
      <c r="Q749" s="101"/>
      <c r="AA749" s="15"/>
    </row>
    <row r="750" spans="9:27" ht="14.25" customHeight="1" x14ac:dyDescent="0.25">
      <c r="I750" s="100"/>
      <c r="J750" s="100"/>
      <c r="K750" s="100"/>
      <c r="O750" s="103"/>
      <c r="P750" s="101"/>
      <c r="Q750" s="101"/>
      <c r="AA750" s="15"/>
    </row>
    <row r="751" spans="9:27" ht="14.25" customHeight="1" x14ac:dyDescent="0.25">
      <c r="I751" s="100"/>
      <c r="J751" s="100"/>
      <c r="K751" s="100"/>
      <c r="O751" s="103"/>
      <c r="P751" s="101"/>
      <c r="Q751" s="101"/>
      <c r="AA751" s="15"/>
    </row>
    <row r="752" spans="9:27" ht="14.25" customHeight="1" x14ac:dyDescent="0.25">
      <c r="I752" s="100"/>
      <c r="J752" s="100"/>
      <c r="K752" s="100"/>
      <c r="O752" s="103"/>
      <c r="P752" s="101"/>
      <c r="Q752" s="101"/>
      <c r="AA752" s="15"/>
    </row>
    <row r="753" spans="9:27" ht="14.25" customHeight="1" x14ac:dyDescent="0.25">
      <c r="I753" s="100"/>
      <c r="J753" s="100"/>
      <c r="K753" s="100"/>
      <c r="O753" s="103"/>
      <c r="P753" s="101"/>
      <c r="Q753" s="101"/>
      <c r="AA753" s="15"/>
    </row>
    <row r="754" spans="9:27" ht="14.25" customHeight="1" x14ac:dyDescent="0.25">
      <c r="I754" s="100"/>
      <c r="J754" s="100"/>
      <c r="K754" s="100"/>
      <c r="O754" s="103"/>
      <c r="P754" s="101"/>
      <c r="Q754" s="101"/>
      <c r="AA754" s="15"/>
    </row>
    <row r="755" spans="9:27" ht="14.25" customHeight="1" x14ac:dyDescent="0.25">
      <c r="I755" s="100"/>
      <c r="J755" s="100"/>
      <c r="K755" s="100"/>
      <c r="O755" s="103"/>
      <c r="P755" s="101"/>
      <c r="Q755" s="101"/>
      <c r="AA755" s="15"/>
    </row>
    <row r="756" spans="9:27" ht="14.25" customHeight="1" x14ac:dyDescent="0.25">
      <c r="I756" s="100"/>
      <c r="J756" s="100"/>
      <c r="K756" s="100"/>
      <c r="O756" s="103"/>
      <c r="P756" s="101"/>
      <c r="Q756" s="101"/>
      <c r="AA756" s="15"/>
    </row>
    <row r="757" spans="9:27" ht="14.25" customHeight="1" x14ac:dyDescent="0.25">
      <c r="I757" s="100"/>
      <c r="J757" s="100"/>
      <c r="K757" s="100"/>
      <c r="O757" s="103"/>
      <c r="P757" s="101"/>
      <c r="Q757" s="101"/>
      <c r="AA757" s="15"/>
    </row>
    <row r="758" spans="9:27" ht="14.25" customHeight="1" x14ac:dyDescent="0.25">
      <c r="I758" s="100"/>
      <c r="J758" s="100"/>
      <c r="K758" s="100"/>
      <c r="O758" s="103"/>
      <c r="P758" s="101"/>
      <c r="Q758" s="101"/>
      <c r="AA758" s="15"/>
    </row>
    <row r="759" spans="9:27" ht="14.25" customHeight="1" x14ac:dyDescent="0.25">
      <c r="I759" s="100"/>
      <c r="J759" s="100"/>
      <c r="K759" s="100"/>
      <c r="O759" s="103"/>
      <c r="P759" s="101"/>
      <c r="Q759" s="101"/>
      <c r="AA759" s="15"/>
    </row>
    <row r="760" spans="9:27" ht="14.25" customHeight="1" x14ac:dyDescent="0.25">
      <c r="I760" s="100"/>
      <c r="J760" s="100"/>
      <c r="K760" s="100"/>
      <c r="O760" s="103"/>
      <c r="P760" s="101"/>
      <c r="Q760" s="101"/>
      <c r="AA760" s="15"/>
    </row>
    <row r="761" spans="9:27" ht="14.25" customHeight="1" x14ac:dyDescent="0.25">
      <c r="I761" s="100"/>
      <c r="J761" s="100"/>
      <c r="K761" s="100"/>
      <c r="O761" s="103"/>
      <c r="P761" s="101"/>
      <c r="Q761" s="101"/>
      <c r="AA761" s="15"/>
    </row>
    <row r="762" spans="9:27" ht="14.25" customHeight="1" x14ac:dyDescent="0.25">
      <c r="I762" s="100"/>
      <c r="J762" s="100"/>
      <c r="K762" s="100"/>
      <c r="O762" s="103"/>
      <c r="P762" s="101"/>
      <c r="Q762" s="101"/>
      <c r="AA762" s="15"/>
    </row>
    <row r="763" spans="9:27" ht="14.25" customHeight="1" x14ac:dyDescent="0.25">
      <c r="I763" s="100"/>
      <c r="J763" s="100"/>
      <c r="K763" s="100"/>
      <c r="O763" s="103"/>
      <c r="P763" s="101"/>
      <c r="Q763" s="101"/>
      <c r="AA763" s="15"/>
    </row>
    <row r="764" spans="9:27" ht="14.25" customHeight="1" x14ac:dyDescent="0.25">
      <c r="I764" s="100"/>
      <c r="J764" s="100"/>
      <c r="K764" s="100"/>
      <c r="O764" s="103"/>
      <c r="P764" s="101"/>
      <c r="Q764" s="101"/>
      <c r="AA764" s="15"/>
    </row>
    <row r="765" spans="9:27" ht="14.25" customHeight="1" x14ac:dyDescent="0.25">
      <c r="I765" s="100"/>
      <c r="J765" s="100"/>
      <c r="K765" s="100"/>
      <c r="O765" s="103"/>
      <c r="P765" s="101"/>
      <c r="Q765" s="101"/>
      <c r="AA765" s="15"/>
    </row>
    <row r="766" spans="9:27" ht="14.25" customHeight="1" x14ac:dyDescent="0.25">
      <c r="I766" s="100"/>
      <c r="J766" s="100"/>
      <c r="K766" s="100"/>
      <c r="O766" s="103"/>
      <c r="P766" s="101"/>
      <c r="Q766" s="101"/>
      <c r="AA766" s="15"/>
    </row>
    <row r="767" spans="9:27" ht="14.25" customHeight="1" x14ac:dyDescent="0.25">
      <c r="I767" s="100"/>
      <c r="J767" s="100"/>
      <c r="K767" s="100"/>
      <c r="O767" s="103"/>
      <c r="P767" s="101"/>
      <c r="Q767" s="101"/>
      <c r="AA767" s="15"/>
    </row>
    <row r="768" spans="9:27" ht="14.25" customHeight="1" x14ac:dyDescent="0.25">
      <c r="I768" s="100"/>
      <c r="J768" s="100"/>
      <c r="K768" s="100"/>
      <c r="O768" s="103"/>
      <c r="P768" s="101"/>
      <c r="Q768" s="101"/>
      <c r="AA768" s="15"/>
    </row>
    <row r="769" spans="9:27" ht="14.25" customHeight="1" x14ac:dyDescent="0.25">
      <c r="I769" s="100"/>
      <c r="J769" s="100"/>
      <c r="K769" s="100"/>
      <c r="O769" s="103"/>
      <c r="P769" s="101"/>
      <c r="Q769" s="101"/>
      <c r="AA769" s="15"/>
    </row>
    <row r="770" spans="9:27" ht="14.25" customHeight="1" x14ac:dyDescent="0.25">
      <c r="I770" s="100"/>
      <c r="J770" s="100"/>
      <c r="K770" s="100"/>
      <c r="O770" s="103"/>
      <c r="P770" s="101"/>
      <c r="Q770" s="101"/>
      <c r="AA770" s="15"/>
    </row>
    <row r="771" spans="9:27" ht="14.25" customHeight="1" x14ac:dyDescent="0.25">
      <c r="I771" s="100"/>
      <c r="J771" s="100"/>
      <c r="K771" s="100"/>
      <c r="O771" s="103"/>
      <c r="P771" s="101"/>
      <c r="Q771" s="101"/>
      <c r="AA771" s="15"/>
    </row>
    <row r="772" spans="9:27" ht="14.25" customHeight="1" x14ac:dyDescent="0.25">
      <c r="I772" s="100"/>
      <c r="J772" s="100"/>
      <c r="K772" s="100"/>
      <c r="O772" s="103"/>
      <c r="P772" s="101"/>
      <c r="Q772" s="101"/>
      <c r="AA772" s="15"/>
    </row>
    <row r="773" spans="9:27" ht="14.25" customHeight="1" x14ac:dyDescent="0.25">
      <c r="I773" s="100"/>
      <c r="J773" s="100"/>
      <c r="K773" s="100"/>
      <c r="O773" s="103"/>
      <c r="P773" s="101"/>
      <c r="Q773" s="101"/>
      <c r="AA773" s="15"/>
    </row>
    <row r="774" spans="9:27" ht="14.25" customHeight="1" x14ac:dyDescent="0.25">
      <c r="I774" s="100"/>
      <c r="J774" s="100"/>
      <c r="K774" s="100"/>
      <c r="O774" s="103"/>
      <c r="P774" s="101"/>
      <c r="Q774" s="101"/>
      <c r="AA774" s="15"/>
    </row>
    <row r="775" spans="9:27" ht="14.25" customHeight="1" x14ac:dyDescent="0.25">
      <c r="I775" s="100"/>
      <c r="J775" s="100"/>
      <c r="K775" s="100"/>
      <c r="O775" s="103"/>
      <c r="P775" s="101"/>
      <c r="Q775" s="101"/>
      <c r="AA775" s="15"/>
    </row>
    <row r="776" spans="9:27" ht="14.25" customHeight="1" x14ac:dyDescent="0.25">
      <c r="I776" s="100"/>
      <c r="J776" s="100"/>
      <c r="K776" s="100"/>
      <c r="O776" s="103"/>
      <c r="P776" s="101"/>
      <c r="Q776" s="101"/>
      <c r="AA776" s="15"/>
    </row>
    <row r="777" spans="9:27" ht="14.25" customHeight="1" x14ac:dyDescent="0.25">
      <c r="I777" s="100"/>
      <c r="J777" s="100"/>
      <c r="K777" s="100"/>
      <c r="O777" s="103"/>
      <c r="P777" s="101"/>
      <c r="Q777" s="101"/>
      <c r="AA777" s="15"/>
    </row>
    <row r="778" spans="9:27" ht="14.25" customHeight="1" x14ac:dyDescent="0.25">
      <c r="I778" s="100"/>
      <c r="J778" s="100"/>
      <c r="K778" s="100"/>
      <c r="O778" s="103"/>
      <c r="P778" s="101"/>
      <c r="Q778" s="101"/>
      <c r="AA778" s="15"/>
    </row>
    <row r="779" spans="9:27" ht="14.25" customHeight="1" x14ac:dyDescent="0.25">
      <c r="I779" s="100"/>
      <c r="J779" s="100"/>
      <c r="K779" s="100"/>
      <c r="O779" s="103"/>
      <c r="P779" s="101"/>
      <c r="Q779" s="101"/>
      <c r="AA779" s="15"/>
    </row>
    <row r="780" spans="9:27" ht="14.25" customHeight="1" x14ac:dyDescent="0.25">
      <c r="I780" s="100"/>
      <c r="J780" s="100"/>
      <c r="K780" s="100"/>
      <c r="O780" s="103"/>
      <c r="P780" s="101"/>
      <c r="Q780" s="101"/>
      <c r="AA780" s="15"/>
    </row>
    <row r="781" spans="9:27" ht="14.25" customHeight="1" x14ac:dyDescent="0.25">
      <c r="I781" s="100"/>
      <c r="J781" s="100"/>
      <c r="K781" s="100"/>
      <c r="O781" s="103"/>
      <c r="P781" s="101"/>
      <c r="Q781" s="101"/>
      <c r="AA781" s="15"/>
    </row>
    <row r="782" spans="9:27" ht="14.25" customHeight="1" x14ac:dyDescent="0.25">
      <c r="I782" s="100"/>
      <c r="J782" s="100"/>
      <c r="K782" s="100"/>
      <c r="O782" s="103"/>
      <c r="P782" s="101"/>
      <c r="Q782" s="101"/>
      <c r="AA782" s="15"/>
    </row>
    <row r="783" spans="9:27" ht="14.25" customHeight="1" x14ac:dyDescent="0.25">
      <c r="I783" s="100"/>
      <c r="J783" s="100"/>
      <c r="K783" s="100"/>
      <c r="O783" s="103"/>
      <c r="P783" s="101"/>
      <c r="Q783" s="101"/>
      <c r="AA783" s="15"/>
    </row>
    <row r="784" spans="9:27" ht="14.25" customHeight="1" x14ac:dyDescent="0.25">
      <c r="I784" s="100"/>
      <c r="J784" s="100"/>
      <c r="K784" s="100"/>
      <c r="O784" s="103"/>
      <c r="P784" s="101"/>
      <c r="Q784" s="101"/>
      <c r="AA784" s="15"/>
    </row>
    <row r="785" spans="9:27" ht="14.25" customHeight="1" x14ac:dyDescent="0.25">
      <c r="I785" s="100"/>
      <c r="J785" s="100"/>
      <c r="K785" s="100"/>
      <c r="O785" s="103"/>
      <c r="P785" s="101"/>
      <c r="Q785" s="101"/>
      <c r="AA785" s="15"/>
    </row>
    <row r="786" spans="9:27" ht="14.25" customHeight="1" x14ac:dyDescent="0.25">
      <c r="I786" s="100"/>
      <c r="J786" s="100"/>
      <c r="K786" s="100"/>
      <c r="O786" s="103"/>
      <c r="P786" s="101"/>
      <c r="Q786" s="101"/>
      <c r="AA786" s="15"/>
    </row>
    <row r="787" spans="9:27" ht="14.25" customHeight="1" x14ac:dyDescent="0.25">
      <c r="I787" s="100"/>
      <c r="J787" s="100"/>
      <c r="K787" s="100"/>
      <c r="O787" s="103"/>
      <c r="P787" s="101"/>
      <c r="Q787" s="101"/>
      <c r="AA787" s="15"/>
    </row>
    <row r="788" spans="9:27" ht="14.25" customHeight="1" x14ac:dyDescent="0.25">
      <c r="I788" s="100"/>
      <c r="J788" s="100"/>
      <c r="K788" s="100"/>
      <c r="O788" s="103"/>
      <c r="P788" s="101"/>
      <c r="Q788" s="101"/>
      <c r="AA788" s="15"/>
    </row>
    <row r="789" spans="9:27" ht="14.25" customHeight="1" x14ac:dyDescent="0.25">
      <c r="I789" s="100"/>
      <c r="J789" s="100"/>
      <c r="K789" s="100"/>
      <c r="O789" s="103"/>
      <c r="P789" s="101"/>
      <c r="Q789" s="101"/>
      <c r="AA789" s="15"/>
    </row>
    <row r="790" spans="9:27" ht="14.25" customHeight="1" x14ac:dyDescent="0.25">
      <c r="I790" s="100"/>
      <c r="J790" s="100"/>
      <c r="K790" s="100"/>
      <c r="O790" s="103"/>
      <c r="P790" s="101"/>
      <c r="Q790" s="101"/>
      <c r="AA790" s="15"/>
    </row>
    <row r="791" spans="9:27" ht="14.25" customHeight="1" x14ac:dyDescent="0.25">
      <c r="I791" s="100"/>
      <c r="J791" s="100"/>
      <c r="K791" s="100"/>
      <c r="O791" s="103"/>
      <c r="P791" s="101"/>
      <c r="Q791" s="101"/>
      <c r="AA791" s="15"/>
    </row>
    <row r="792" spans="9:27" ht="14.25" customHeight="1" x14ac:dyDescent="0.25">
      <c r="I792" s="100"/>
      <c r="J792" s="100"/>
      <c r="K792" s="100"/>
      <c r="O792" s="103"/>
      <c r="P792" s="101"/>
      <c r="Q792" s="101"/>
      <c r="AA792" s="15"/>
    </row>
    <row r="793" spans="9:27" ht="14.25" customHeight="1" x14ac:dyDescent="0.25">
      <c r="I793" s="100"/>
      <c r="J793" s="100"/>
      <c r="K793" s="100"/>
      <c r="O793" s="103"/>
      <c r="P793" s="101"/>
      <c r="Q793" s="101"/>
      <c r="AA793" s="15"/>
    </row>
    <row r="794" spans="9:27" ht="14.25" customHeight="1" x14ac:dyDescent="0.25">
      <c r="I794" s="100"/>
      <c r="J794" s="100"/>
      <c r="K794" s="100"/>
      <c r="O794" s="103"/>
      <c r="P794" s="101"/>
      <c r="Q794" s="101"/>
      <c r="AA794" s="15"/>
    </row>
    <row r="795" spans="9:27" ht="14.25" customHeight="1" x14ac:dyDescent="0.25">
      <c r="I795" s="100"/>
      <c r="J795" s="100"/>
      <c r="K795" s="100"/>
      <c r="O795" s="103"/>
      <c r="P795" s="101"/>
      <c r="Q795" s="101"/>
      <c r="AA795" s="15"/>
    </row>
    <row r="796" spans="9:27" ht="14.25" customHeight="1" x14ac:dyDescent="0.25">
      <c r="I796" s="100"/>
      <c r="J796" s="100"/>
      <c r="K796" s="100"/>
      <c r="O796" s="103"/>
      <c r="P796" s="101"/>
      <c r="Q796" s="101"/>
      <c r="AA796" s="15"/>
    </row>
    <row r="797" spans="9:27" ht="14.25" customHeight="1" x14ac:dyDescent="0.25">
      <c r="I797" s="100"/>
      <c r="J797" s="100"/>
      <c r="K797" s="100"/>
      <c r="O797" s="103"/>
      <c r="P797" s="101"/>
      <c r="Q797" s="101"/>
      <c r="AA797" s="15"/>
    </row>
    <row r="798" spans="9:27" ht="14.25" customHeight="1" x14ac:dyDescent="0.25">
      <c r="I798" s="100"/>
      <c r="J798" s="100"/>
      <c r="K798" s="100"/>
      <c r="O798" s="103"/>
      <c r="P798" s="101"/>
      <c r="Q798" s="101"/>
      <c r="AA798" s="15"/>
    </row>
    <row r="799" spans="9:27" ht="14.25" customHeight="1" x14ac:dyDescent="0.25">
      <c r="I799" s="100"/>
      <c r="J799" s="100"/>
      <c r="K799" s="100"/>
      <c r="O799" s="103"/>
      <c r="P799" s="101"/>
      <c r="Q799" s="101"/>
      <c r="AA799" s="15"/>
    </row>
    <row r="800" spans="9:27" ht="14.25" customHeight="1" x14ac:dyDescent="0.25">
      <c r="I800" s="100"/>
      <c r="J800" s="100"/>
      <c r="K800" s="100"/>
      <c r="O800" s="103"/>
      <c r="P800" s="101"/>
      <c r="Q800" s="101"/>
      <c r="AA800" s="15"/>
    </row>
    <row r="801" spans="9:27" ht="14.25" customHeight="1" x14ac:dyDescent="0.25">
      <c r="I801" s="100"/>
      <c r="J801" s="100"/>
      <c r="K801" s="100"/>
      <c r="O801" s="103"/>
      <c r="P801" s="101"/>
      <c r="Q801" s="101"/>
      <c r="AA801" s="15"/>
    </row>
    <row r="802" spans="9:27" ht="14.25" customHeight="1" x14ac:dyDescent="0.25">
      <c r="I802" s="100"/>
      <c r="J802" s="100"/>
      <c r="K802" s="100"/>
      <c r="O802" s="103"/>
      <c r="P802" s="101"/>
      <c r="Q802" s="101"/>
      <c r="AA802" s="15"/>
    </row>
    <row r="803" spans="9:27" ht="14.25" customHeight="1" x14ac:dyDescent="0.25">
      <c r="I803" s="100"/>
      <c r="J803" s="100"/>
      <c r="K803" s="100"/>
      <c r="O803" s="103"/>
      <c r="P803" s="101"/>
      <c r="Q803" s="101"/>
      <c r="AA803" s="15"/>
    </row>
    <row r="804" spans="9:27" ht="14.25" customHeight="1" x14ac:dyDescent="0.25">
      <c r="I804" s="100"/>
      <c r="J804" s="100"/>
      <c r="K804" s="100"/>
      <c r="O804" s="103"/>
      <c r="P804" s="101"/>
      <c r="Q804" s="101"/>
      <c r="AA804" s="15"/>
    </row>
    <row r="805" spans="9:27" ht="14.25" customHeight="1" x14ac:dyDescent="0.25">
      <c r="I805" s="100"/>
      <c r="J805" s="100"/>
      <c r="K805" s="100"/>
      <c r="O805" s="103"/>
      <c r="P805" s="101"/>
      <c r="Q805" s="101"/>
      <c r="AA805" s="15"/>
    </row>
    <row r="806" spans="9:27" ht="14.25" customHeight="1" x14ac:dyDescent="0.25">
      <c r="I806" s="100"/>
      <c r="J806" s="100"/>
      <c r="K806" s="100"/>
      <c r="O806" s="103"/>
      <c r="P806" s="101"/>
      <c r="Q806" s="101"/>
      <c r="AA806" s="15"/>
    </row>
    <row r="807" spans="9:27" ht="14.25" customHeight="1" x14ac:dyDescent="0.25">
      <c r="I807" s="100"/>
      <c r="J807" s="100"/>
      <c r="K807" s="100"/>
      <c r="O807" s="103"/>
      <c r="P807" s="101"/>
      <c r="Q807" s="101"/>
      <c r="AA807" s="15"/>
    </row>
    <row r="808" spans="9:27" ht="14.25" customHeight="1" x14ac:dyDescent="0.25">
      <c r="I808" s="100"/>
      <c r="J808" s="100"/>
      <c r="K808" s="100"/>
      <c r="O808" s="103"/>
      <c r="P808" s="101"/>
      <c r="Q808" s="101"/>
      <c r="AA808" s="15"/>
    </row>
    <row r="809" spans="9:27" ht="14.25" customHeight="1" x14ac:dyDescent="0.25">
      <c r="I809" s="100"/>
      <c r="J809" s="100"/>
      <c r="K809" s="100"/>
      <c r="O809" s="103"/>
      <c r="P809" s="101"/>
      <c r="Q809" s="101"/>
      <c r="AA809" s="15"/>
    </row>
    <row r="810" spans="9:27" ht="14.25" customHeight="1" x14ac:dyDescent="0.25">
      <c r="I810" s="100"/>
      <c r="J810" s="100"/>
      <c r="K810" s="100"/>
      <c r="O810" s="103"/>
      <c r="P810" s="101"/>
      <c r="Q810" s="101"/>
      <c r="AA810" s="15"/>
    </row>
    <row r="811" spans="9:27" ht="14.25" customHeight="1" x14ac:dyDescent="0.25">
      <c r="I811" s="100"/>
      <c r="J811" s="100"/>
      <c r="K811" s="100"/>
      <c r="O811" s="103"/>
      <c r="P811" s="101"/>
      <c r="Q811" s="101"/>
      <c r="AA811" s="15"/>
    </row>
    <row r="812" spans="9:27" ht="14.25" customHeight="1" x14ac:dyDescent="0.25">
      <c r="I812" s="100"/>
      <c r="J812" s="100"/>
      <c r="K812" s="100"/>
      <c r="O812" s="103"/>
      <c r="P812" s="101"/>
      <c r="Q812" s="101"/>
      <c r="AA812" s="15"/>
    </row>
    <row r="813" spans="9:27" ht="14.25" customHeight="1" x14ac:dyDescent="0.25">
      <c r="I813" s="100"/>
      <c r="J813" s="100"/>
      <c r="K813" s="100"/>
      <c r="O813" s="103"/>
      <c r="P813" s="101"/>
      <c r="Q813" s="101"/>
      <c r="AA813" s="15"/>
    </row>
    <row r="814" spans="9:27" ht="14.25" customHeight="1" x14ac:dyDescent="0.25">
      <c r="I814" s="100"/>
      <c r="J814" s="100"/>
      <c r="K814" s="100"/>
      <c r="O814" s="103"/>
      <c r="P814" s="101"/>
      <c r="Q814" s="101"/>
      <c r="AA814" s="15"/>
    </row>
    <row r="815" spans="9:27" ht="14.25" customHeight="1" x14ac:dyDescent="0.25">
      <c r="I815" s="100"/>
      <c r="J815" s="100"/>
      <c r="K815" s="100"/>
      <c r="O815" s="103"/>
      <c r="P815" s="101"/>
      <c r="Q815" s="101"/>
      <c r="AA815" s="15"/>
    </row>
    <row r="816" spans="9:27" ht="14.25" customHeight="1" x14ac:dyDescent="0.25">
      <c r="I816" s="100"/>
      <c r="J816" s="100"/>
      <c r="K816" s="100"/>
      <c r="O816" s="103"/>
      <c r="P816" s="101"/>
      <c r="Q816" s="101"/>
      <c r="AA816" s="15"/>
    </row>
    <row r="817" spans="9:27" ht="14.25" customHeight="1" x14ac:dyDescent="0.25">
      <c r="I817" s="100"/>
      <c r="J817" s="100"/>
      <c r="K817" s="100"/>
      <c r="O817" s="103"/>
      <c r="P817" s="101"/>
      <c r="Q817" s="101"/>
      <c r="AA817" s="15"/>
    </row>
    <row r="818" spans="9:27" ht="14.25" customHeight="1" x14ac:dyDescent="0.25">
      <c r="I818" s="100"/>
      <c r="J818" s="100"/>
      <c r="K818" s="100"/>
      <c r="O818" s="103"/>
      <c r="P818" s="101"/>
      <c r="Q818" s="101"/>
      <c r="AA818" s="15"/>
    </row>
    <row r="819" spans="9:27" ht="14.25" customHeight="1" x14ac:dyDescent="0.25">
      <c r="I819" s="100"/>
      <c r="J819" s="100"/>
      <c r="K819" s="100"/>
      <c r="O819" s="103"/>
      <c r="P819" s="101"/>
      <c r="Q819" s="101"/>
      <c r="AA819" s="15"/>
    </row>
    <row r="820" spans="9:27" ht="14.25" customHeight="1" x14ac:dyDescent="0.25">
      <c r="I820" s="100"/>
      <c r="J820" s="100"/>
      <c r="K820" s="100"/>
      <c r="O820" s="103"/>
      <c r="P820" s="101"/>
      <c r="Q820" s="101"/>
      <c r="AA820" s="15"/>
    </row>
    <row r="821" spans="9:27" ht="14.25" customHeight="1" x14ac:dyDescent="0.25">
      <c r="I821" s="100"/>
      <c r="J821" s="100"/>
      <c r="K821" s="100"/>
      <c r="O821" s="103"/>
      <c r="P821" s="101"/>
      <c r="Q821" s="101"/>
      <c r="AA821" s="15"/>
    </row>
    <row r="822" spans="9:27" ht="14.25" customHeight="1" x14ac:dyDescent="0.25">
      <c r="I822" s="100"/>
      <c r="J822" s="100"/>
      <c r="K822" s="100"/>
      <c r="O822" s="103"/>
      <c r="P822" s="101"/>
      <c r="Q822" s="101"/>
      <c r="AA822" s="15"/>
    </row>
    <row r="823" spans="9:27" ht="14.25" customHeight="1" x14ac:dyDescent="0.25">
      <c r="I823" s="100"/>
      <c r="J823" s="100"/>
      <c r="K823" s="100"/>
      <c r="O823" s="103"/>
      <c r="P823" s="101"/>
      <c r="Q823" s="101"/>
      <c r="AA823" s="15"/>
    </row>
    <row r="824" spans="9:27" ht="14.25" customHeight="1" x14ac:dyDescent="0.25">
      <c r="I824" s="100"/>
      <c r="J824" s="100"/>
      <c r="K824" s="100"/>
      <c r="O824" s="103"/>
      <c r="P824" s="101"/>
      <c r="Q824" s="101"/>
      <c r="AA824" s="15"/>
    </row>
    <row r="825" spans="9:27" ht="14.25" customHeight="1" x14ac:dyDescent="0.25">
      <c r="I825" s="100"/>
      <c r="J825" s="100"/>
      <c r="K825" s="100"/>
      <c r="O825" s="103"/>
      <c r="P825" s="101"/>
      <c r="Q825" s="101"/>
      <c r="AA825" s="15"/>
    </row>
    <row r="826" spans="9:27" ht="14.25" customHeight="1" x14ac:dyDescent="0.25">
      <c r="I826" s="100"/>
      <c r="J826" s="100"/>
      <c r="K826" s="100"/>
      <c r="O826" s="103"/>
      <c r="P826" s="101"/>
      <c r="Q826" s="101"/>
      <c r="AA826" s="15"/>
    </row>
    <row r="827" spans="9:27" ht="14.25" customHeight="1" x14ac:dyDescent="0.25">
      <c r="I827" s="100"/>
      <c r="J827" s="100"/>
      <c r="K827" s="100"/>
      <c r="O827" s="103"/>
      <c r="P827" s="101"/>
      <c r="Q827" s="101"/>
      <c r="AA827" s="15"/>
    </row>
    <row r="828" spans="9:27" ht="14.25" customHeight="1" x14ac:dyDescent="0.25">
      <c r="I828" s="100"/>
      <c r="J828" s="100"/>
      <c r="K828" s="100"/>
      <c r="O828" s="103"/>
      <c r="P828" s="101"/>
      <c r="Q828" s="101"/>
      <c r="AA828" s="15"/>
    </row>
    <row r="829" spans="9:27" ht="14.25" customHeight="1" x14ac:dyDescent="0.25">
      <c r="I829" s="100"/>
      <c r="J829" s="100"/>
      <c r="K829" s="100"/>
      <c r="O829" s="103"/>
      <c r="P829" s="101"/>
      <c r="Q829" s="101"/>
      <c r="AA829" s="15"/>
    </row>
    <row r="830" spans="9:27" ht="14.25" customHeight="1" x14ac:dyDescent="0.25">
      <c r="I830" s="100"/>
      <c r="J830" s="100"/>
      <c r="K830" s="100"/>
      <c r="O830" s="103"/>
      <c r="P830" s="101"/>
      <c r="Q830" s="101"/>
      <c r="AA830" s="15"/>
    </row>
    <row r="831" spans="9:27" ht="14.25" customHeight="1" x14ac:dyDescent="0.25">
      <c r="I831" s="100"/>
      <c r="J831" s="100"/>
      <c r="K831" s="100"/>
      <c r="O831" s="103"/>
      <c r="P831" s="101"/>
      <c r="Q831" s="101"/>
      <c r="AA831" s="15"/>
    </row>
    <row r="832" spans="9:27" ht="14.25" customHeight="1" x14ac:dyDescent="0.25">
      <c r="I832" s="100"/>
      <c r="J832" s="100"/>
      <c r="K832" s="100"/>
      <c r="O832" s="103"/>
      <c r="P832" s="101"/>
      <c r="Q832" s="101"/>
      <c r="AA832" s="15"/>
    </row>
    <row r="833" spans="9:27" ht="14.25" customHeight="1" x14ac:dyDescent="0.25">
      <c r="I833" s="100"/>
      <c r="J833" s="100"/>
      <c r="K833" s="100"/>
      <c r="O833" s="103"/>
      <c r="P833" s="101"/>
      <c r="Q833" s="101"/>
      <c r="AA833" s="15"/>
    </row>
    <row r="834" spans="9:27" ht="14.25" customHeight="1" x14ac:dyDescent="0.25">
      <c r="I834" s="100"/>
      <c r="J834" s="100"/>
      <c r="K834" s="100"/>
      <c r="O834" s="103"/>
      <c r="P834" s="101"/>
      <c r="Q834" s="101"/>
      <c r="AA834" s="15"/>
    </row>
    <row r="835" spans="9:27" ht="14.25" customHeight="1" x14ac:dyDescent="0.25">
      <c r="I835" s="100"/>
      <c r="J835" s="100"/>
      <c r="K835" s="100"/>
      <c r="O835" s="103"/>
      <c r="P835" s="101"/>
      <c r="Q835" s="101"/>
      <c r="AA835" s="15"/>
    </row>
    <row r="836" spans="9:27" ht="14.25" customHeight="1" x14ac:dyDescent="0.25">
      <c r="I836" s="100"/>
      <c r="J836" s="100"/>
      <c r="K836" s="100"/>
      <c r="O836" s="103"/>
      <c r="P836" s="101"/>
      <c r="Q836" s="101"/>
      <c r="AA836" s="15"/>
    </row>
    <row r="837" spans="9:27" ht="14.25" customHeight="1" x14ac:dyDescent="0.25">
      <c r="I837" s="100"/>
      <c r="J837" s="100"/>
      <c r="K837" s="100"/>
      <c r="O837" s="103"/>
      <c r="P837" s="101"/>
      <c r="Q837" s="101"/>
      <c r="AA837" s="15"/>
    </row>
    <row r="838" spans="9:27" ht="14.25" customHeight="1" x14ac:dyDescent="0.25">
      <c r="I838" s="100"/>
      <c r="J838" s="100"/>
      <c r="K838" s="100"/>
      <c r="O838" s="103"/>
      <c r="P838" s="101"/>
      <c r="Q838" s="101"/>
      <c r="AA838" s="15"/>
    </row>
    <row r="839" spans="9:27" ht="14.25" customHeight="1" x14ac:dyDescent="0.25">
      <c r="I839" s="100"/>
      <c r="J839" s="100"/>
      <c r="K839" s="100"/>
      <c r="O839" s="103"/>
      <c r="P839" s="101"/>
      <c r="Q839" s="101"/>
      <c r="AA839" s="15"/>
    </row>
    <row r="840" spans="9:27" ht="14.25" customHeight="1" x14ac:dyDescent="0.25">
      <c r="I840" s="100"/>
      <c r="J840" s="100"/>
      <c r="K840" s="100"/>
      <c r="O840" s="103"/>
      <c r="P840" s="101"/>
      <c r="Q840" s="101"/>
      <c r="AA840" s="15"/>
    </row>
    <row r="841" spans="9:27" ht="14.25" customHeight="1" x14ac:dyDescent="0.25">
      <c r="I841" s="100"/>
      <c r="J841" s="100"/>
      <c r="K841" s="100"/>
      <c r="O841" s="103"/>
      <c r="P841" s="101"/>
      <c r="Q841" s="101"/>
      <c r="AA841" s="15"/>
    </row>
    <row r="842" spans="9:27" ht="14.25" customHeight="1" x14ac:dyDescent="0.25">
      <c r="I842" s="100"/>
      <c r="J842" s="100"/>
      <c r="K842" s="100"/>
      <c r="O842" s="103"/>
      <c r="P842" s="101"/>
      <c r="Q842" s="101"/>
      <c r="AA842" s="15"/>
    </row>
    <row r="843" spans="9:27" ht="14.25" customHeight="1" x14ac:dyDescent="0.25">
      <c r="I843" s="100"/>
      <c r="J843" s="100"/>
      <c r="K843" s="100"/>
      <c r="O843" s="103"/>
      <c r="P843" s="101"/>
      <c r="Q843" s="101"/>
      <c r="AA843" s="15"/>
    </row>
    <row r="844" spans="9:27" ht="14.25" customHeight="1" x14ac:dyDescent="0.25">
      <c r="I844" s="100"/>
      <c r="J844" s="100"/>
      <c r="K844" s="100"/>
      <c r="O844" s="103"/>
      <c r="P844" s="101"/>
      <c r="Q844" s="101"/>
      <c r="AA844" s="15"/>
    </row>
    <row r="845" spans="9:27" ht="14.25" customHeight="1" x14ac:dyDescent="0.25">
      <c r="I845" s="100"/>
      <c r="J845" s="100"/>
      <c r="K845" s="100"/>
      <c r="O845" s="103"/>
      <c r="P845" s="101"/>
      <c r="Q845" s="101"/>
      <c r="AA845" s="15"/>
    </row>
    <row r="846" spans="9:27" ht="14.25" customHeight="1" x14ac:dyDescent="0.25">
      <c r="I846" s="100"/>
      <c r="J846" s="100"/>
      <c r="K846" s="100"/>
      <c r="O846" s="103"/>
      <c r="P846" s="101"/>
      <c r="Q846" s="101"/>
      <c r="AA846" s="15"/>
    </row>
    <row r="847" spans="9:27" ht="14.25" customHeight="1" x14ac:dyDescent="0.25">
      <c r="I847" s="100"/>
      <c r="J847" s="100"/>
      <c r="K847" s="100"/>
      <c r="O847" s="103"/>
      <c r="P847" s="101"/>
      <c r="Q847" s="101"/>
      <c r="AA847" s="15"/>
    </row>
    <row r="848" spans="9:27" ht="14.25" customHeight="1" x14ac:dyDescent="0.25">
      <c r="I848" s="100"/>
      <c r="J848" s="100"/>
      <c r="K848" s="100"/>
      <c r="O848" s="103"/>
      <c r="P848" s="101"/>
      <c r="Q848" s="101"/>
      <c r="AA848" s="15"/>
    </row>
    <row r="849" spans="9:27" ht="14.25" customHeight="1" x14ac:dyDescent="0.25">
      <c r="I849" s="100"/>
      <c r="J849" s="100"/>
      <c r="K849" s="100"/>
      <c r="O849" s="103"/>
      <c r="P849" s="101"/>
      <c r="Q849" s="101"/>
      <c r="AA849" s="15"/>
    </row>
    <row r="850" spans="9:27" ht="14.25" customHeight="1" x14ac:dyDescent="0.25">
      <c r="I850" s="100"/>
      <c r="J850" s="100"/>
      <c r="K850" s="100"/>
      <c r="O850" s="103"/>
      <c r="P850" s="101"/>
      <c r="Q850" s="101"/>
      <c r="AA850" s="15"/>
    </row>
    <row r="851" spans="9:27" ht="14.25" customHeight="1" x14ac:dyDescent="0.25">
      <c r="I851" s="100"/>
      <c r="J851" s="100"/>
      <c r="K851" s="100"/>
      <c r="O851" s="103"/>
      <c r="P851" s="101"/>
      <c r="Q851" s="101"/>
      <c r="AA851" s="15"/>
    </row>
    <row r="852" spans="9:27" ht="14.25" customHeight="1" x14ac:dyDescent="0.25">
      <c r="I852" s="100"/>
      <c r="J852" s="100"/>
      <c r="K852" s="100"/>
      <c r="O852" s="103"/>
      <c r="P852" s="101"/>
      <c r="Q852" s="101"/>
      <c r="AA852" s="15"/>
    </row>
    <row r="853" spans="9:27" ht="14.25" customHeight="1" x14ac:dyDescent="0.25">
      <c r="I853" s="100"/>
      <c r="J853" s="100"/>
      <c r="K853" s="100"/>
      <c r="O853" s="103"/>
      <c r="P853" s="101"/>
      <c r="Q853" s="101"/>
      <c r="AA853" s="15"/>
    </row>
    <row r="854" spans="9:27" ht="14.25" customHeight="1" x14ac:dyDescent="0.25">
      <c r="I854" s="100"/>
      <c r="J854" s="100"/>
      <c r="K854" s="100"/>
      <c r="O854" s="103"/>
      <c r="P854" s="101"/>
      <c r="Q854" s="101"/>
      <c r="AA854" s="15"/>
    </row>
    <row r="855" spans="9:27" ht="14.25" customHeight="1" x14ac:dyDescent="0.25">
      <c r="I855" s="100"/>
      <c r="J855" s="100"/>
      <c r="K855" s="100"/>
      <c r="O855" s="103"/>
      <c r="P855" s="101"/>
      <c r="Q855" s="101"/>
      <c r="AA855" s="15"/>
    </row>
    <row r="856" spans="9:27" ht="14.25" customHeight="1" x14ac:dyDescent="0.25">
      <c r="I856" s="100"/>
      <c r="J856" s="100"/>
      <c r="K856" s="100"/>
      <c r="O856" s="103"/>
      <c r="P856" s="101"/>
      <c r="Q856" s="101"/>
      <c r="AA856" s="15"/>
    </row>
    <row r="857" spans="9:27" ht="14.25" customHeight="1" x14ac:dyDescent="0.25">
      <c r="I857" s="100"/>
      <c r="J857" s="100"/>
      <c r="K857" s="100"/>
      <c r="O857" s="103"/>
      <c r="P857" s="101"/>
      <c r="Q857" s="101"/>
      <c r="AA857" s="15"/>
    </row>
    <row r="858" spans="9:27" ht="14.25" customHeight="1" x14ac:dyDescent="0.25">
      <c r="I858" s="100"/>
      <c r="J858" s="100"/>
      <c r="K858" s="100"/>
      <c r="O858" s="103"/>
      <c r="P858" s="101"/>
      <c r="Q858" s="101"/>
      <c r="AA858" s="15"/>
    </row>
    <row r="859" spans="9:27" ht="14.25" customHeight="1" x14ac:dyDescent="0.25">
      <c r="I859" s="100"/>
      <c r="J859" s="100"/>
      <c r="K859" s="100"/>
      <c r="O859" s="103"/>
      <c r="P859" s="101"/>
      <c r="Q859" s="101"/>
      <c r="AA859" s="15"/>
    </row>
    <row r="860" spans="9:27" ht="14.25" customHeight="1" x14ac:dyDescent="0.25">
      <c r="I860" s="100"/>
      <c r="J860" s="100"/>
      <c r="K860" s="100"/>
      <c r="O860" s="103"/>
      <c r="P860" s="101"/>
      <c r="Q860" s="101"/>
      <c r="AA860" s="15"/>
    </row>
    <row r="861" spans="9:27" ht="14.25" customHeight="1" x14ac:dyDescent="0.25">
      <c r="I861" s="100"/>
      <c r="J861" s="100"/>
      <c r="K861" s="100"/>
      <c r="O861" s="103"/>
      <c r="P861" s="101"/>
      <c r="Q861" s="101"/>
      <c r="AA861" s="15"/>
    </row>
    <row r="862" spans="9:27" ht="14.25" customHeight="1" x14ac:dyDescent="0.25">
      <c r="I862" s="100"/>
      <c r="J862" s="100"/>
      <c r="K862" s="100"/>
      <c r="O862" s="103"/>
      <c r="P862" s="101"/>
      <c r="Q862" s="101"/>
      <c r="AA862" s="15"/>
    </row>
    <row r="863" spans="9:27" ht="14.25" customHeight="1" x14ac:dyDescent="0.25">
      <c r="I863" s="100"/>
      <c r="J863" s="100"/>
      <c r="K863" s="100"/>
      <c r="O863" s="103"/>
      <c r="P863" s="101"/>
      <c r="Q863" s="101"/>
      <c r="AA863" s="15"/>
    </row>
    <row r="864" spans="9:27" ht="14.25" customHeight="1" x14ac:dyDescent="0.25">
      <c r="I864" s="100"/>
      <c r="J864" s="100"/>
      <c r="K864" s="100"/>
      <c r="O864" s="103"/>
      <c r="P864" s="101"/>
      <c r="Q864" s="101"/>
      <c r="AA864" s="15"/>
    </row>
    <row r="865" spans="9:27" ht="14.25" customHeight="1" x14ac:dyDescent="0.25">
      <c r="I865" s="100"/>
      <c r="J865" s="100"/>
      <c r="K865" s="100"/>
      <c r="O865" s="103"/>
      <c r="P865" s="101"/>
      <c r="Q865" s="101"/>
      <c r="AA865" s="15"/>
    </row>
    <row r="866" spans="9:27" ht="14.25" customHeight="1" x14ac:dyDescent="0.25">
      <c r="I866" s="100"/>
      <c r="J866" s="100"/>
      <c r="K866" s="100"/>
      <c r="O866" s="103"/>
      <c r="P866" s="101"/>
      <c r="Q866" s="101"/>
      <c r="AA866" s="15"/>
    </row>
    <row r="867" spans="9:27" ht="14.25" customHeight="1" x14ac:dyDescent="0.25">
      <c r="I867" s="100"/>
      <c r="J867" s="100"/>
      <c r="K867" s="100"/>
      <c r="O867" s="103"/>
      <c r="P867" s="101"/>
      <c r="Q867" s="101"/>
      <c r="AA867" s="15"/>
    </row>
    <row r="868" spans="9:27" ht="14.25" customHeight="1" x14ac:dyDescent="0.25">
      <c r="I868" s="100"/>
      <c r="J868" s="100"/>
      <c r="K868" s="100"/>
      <c r="O868" s="103"/>
      <c r="P868" s="101"/>
      <c r="Q868" s="101"/>
      <c r="AA868" s="15"/>
    </row>
    <row r="869" spans="9:27" ht="14.25" customHeight="1" x14ac:dyDescent="0.25">
      <c r="I869" s="100"/>
      <c r="J869" s="100"/>
      <c r="K869" s="100"/>
      <c r="O869" s="103"/>
      <c r="P869" s="101"/>
      <c r="Q869" s="101"/>
      <c r="AA869" s="15"/>
    </row>
    <row r="870" spans="9:27" ht="14.25" customHeight="1" x14ac:dyDescent="0.25">
      <c r="I870" s="100"/>
      <c r="J870" s="100"/>
      <c r="K870" s="100"/>
      <c r="O870" s="103"/>
      <c r="P870" s="101"/>
      <c r="Q870" s="101"/>
      <c r="AA870" s="15"/>
    </row>
    <row r="871" spans="9:27" ht="14.25" customHeight="1" x14ac:dyDescent="0.25">
      <c r="I871" s="100"/>
      <c r="J871" s="100"/>
      <c r="K871" s="100"/>
      <c r="O871" s="103"/>
      <c r="P871" s="101"/>
      <c r="Q871" s="101"/>
      <c r="AA871" s="15"/>
    </row>
    <row r="872" spans="9:27" ht="14.25" customHeight="1" x14ac:dyDescent="0.25">
      <c r="I872" s="100"/>
      <c r="J872" s="100"/>
      <c r="K872" s="100"/>
      <c r="O872" s="103"/>
      <c r="P872" s="101"/>
      <c r="Q872" s="101"/>
      <c r="AA872" s="15"/>
    </row>
    <row r="873" spans="9:27" ht="14.25" customHeight="1" x14ac:dyDescent="0.25">
      <c r="I873" s="100"/>
      <c r="J873" s="100"/>
      <c r="K873" s="100"/>
      <c r="O873" s="103"/>
      <c r="P873" s="101"/>
      <c r="Q873" s="101"/>
      <c r="AA873" s="15"/>
    </row>
    <row r="874" spans="9:27" ht="14.25" customHeight="1" x14ac:dyDescent="0.25">
      <c r="I874" s="100"/>
      <c r="J874" s="100"/>
      <c r="K874" s="100"/>
      <c r="O874" s="103"/>
      <c r="P874" s="101"/>
      <c r="Q874" s="101"/>
      <c r="AA874" s="15"/>
    </row>
    <row r="875" spans="9:27" ht="14.25" customHeight="1" x14ac:dyDescent="0.25">
      <c r="I875" s="100"/>
      <c r="J875" s="100"/>
      <c r="K875" s="100"/>
      <c r="O875" s="103"/>
      <c r="P875" s="101"/>
      <c r="Q875" s="101"/>
      <c r="AA875" s="15"/>
    </row>
    <row r="876" spans="9:27" ht="14.25" customHeight="1" x14ac:dyDescent="0.25">
      <c r="I876" s="100"/>
      <c r="J876" s="100"/>
      <c r="K876" s="100"/>
      <c r="O876" s="103"/>
      <c r="P876" s="101"/>
      <c r="Q876" s="101"/>
      <c r="AA876" s="15"/>
    </row>
    <row r="877" spans="9:27" ht="14.25" customHeight="1" x14ac:dyDescent="0.25">
      <c r="I877" s="100"/>
      <c r="J877" s="100"/>
      <c r="K877" s="100"/>
      <c r="O877" s="103"/>
      <c r="P877" s="101"/>
      <c r="Q877" s="101"/>
      <c r="AA877" s="15"/>
    </row>
    <row r="878" spans="9:27" ht="14.25" customHeight="1" x14ac:dyDescent="0.25">
      <c r="I878" s="100"/>
      <c r="J878" s="100"/>
      <c r="K878" s="100"/>
      <c r="O878" s="103"/>
      <c r="P878" s="101"/>
      <c r="Q878" s="101"/>
      <c r="AA878" s="15"/>
    </row>
    <row r="879" spans="9:27" ht="14.25" customHeight="1" x14ac:dyDescent="0.25">
      <c r="I879" s="100"/>
      <c r="J879" s="100"/>
      <c r="K879" s="100"/>
      <c r="O879" s="103"/>
      <c r="P879" s="101"/>
      <c r="Q879" s="101"/>
      <c r="AA879" s="15"/>
    </row>
    <row r="880" spans="9:27" ht="14.25" customHeight="1" x14ac:dyDescent="0.25">
      <c r="I880" s="100"/>
      <c r="J880" s="100"/>
      <c r="K880" s="100"/>
      <c r="O880" s="103"/>
      <c r="P880" s="101"/>
      <c r="Q880" s="101"/>
      <c r="AA880" s="15"/>
    </row>
    <row r="881" spans="9:27" ht="14.25" customHeight="1" x14ac:dyDescent="0.25">
      <c r="I881" s="100"/>
      <c r="J881" s="100"/>
      <c r="K881" s="100"/>
      <c r="O881" s="103"/>
      <c r="P881" s="101"/>
      <c r="Q881" s="101"/>
      <c r="AA881" s="15"/>
    </row>
    <row r="882" spans="9:27" ht="14.25" customHeight="1" x14ac:dyDescent="0.25">
      <c r="I882" s="100"/>
      <c r="J882" s="100"/>
      <c r="K882" s="100"/>
      <c r="O882" s="103"/>
      <c r="P882" s="101"/>
      <c r="Q882" s="101"/>
      <c r="AA882" s="15"/>
    </row>
    <row r="883" spans="9:27" ht="14.25" customHeight="1" x14ac:dyDescent="0.25">
      <c r="I883" s="100"/>
      <c r="J883" s="100"/>
      <c r="K883" s="100"/>
      <c r="O883" s="103"/>
      <c r="P883" s="101"/>
      <c r="Q883" s="101"/>
      <c r="AA883" s="15"/>
    </row>
    <row r="884" spans="9:27" ht="14.25" customHeight="1" x14ac:dyDescent="0.25">
      <c r="I884" s="100"/>
      <c r="J884" s="100"/>
      <c r="K884" s="100"/>
      <c r="O884" s="103"/>
      <c r="P884" s="101"/>
      <c r="Q884" s="101"/>
      <c r="AA884" s="15"/>
    </row>
    <row r="885" spans="9:27" ht="14.25" customHeight="1" x14ac:dyDescent="0.25">
      <c r="I885" s="100"/>
      <c r="J885" s="100"/>
      <c r="K885" s="100"/>
      <c r="O885" s="103"/>
      <c r="P885" s="101"/>
      <c r="Q885" s="101"/>
      <c r="AA885" s="15"/>
    </row>
    <row r="886" spans="9:27" ht="14.25" customHeight="1" x14ac:dyDescent="0.25">
      <c r="I886" s="100"/>
      <c r="J886" s="100"/>
      <c r="K886" s="100"/>
      <c r="O886" s="103"/>
      <c r="P886" s="101"/>
      <c r="Q886" s="101"/>
      <c r="AA886" s="15"/>
    </row>
    <row r="887" spans="9:27" ht="14.25" customHeight="1" x14ac:dyDescent="0.25">
      <c r="I887" s="100"/>
      <c r="J887" s="100"/>
      <c r="K887" s="100"/>
      <c r="O887" s="103"/>
      <c r="P887" s="101"/>
      <c r="Q887" s="101"/>
      <c r="AA887" s="15"/>
    </row>
    <row r="888" spans="9:27" ht="14.25" customHeight="1" x14ac:dyDescent="0.25">
      <c r="I888" s="100"/>
      <c r="J888" s="100"/>
      <c r="K888" s="100"/>
      <c r="O888" s="103"/>
      <c r="P888" s="101"/>
      <c r="Q888" s="101"/>
      <c r="AA888" s="15"/>
    </row>
    <row r="889" spans="9:27" ht="14.25" customHeight="1" x14ac:dyDescent="0.25">
      <c r="I889" s="100"/>
      <c r="J889" s="100"/>
      <c r="K889" s="100"/>
      <c r="O889" s="103"/>
      <c r="P889" s="101"/>
      <c r="Q889" s="101"/>
      <c r="AA889" s="15"/>
    </row>
    <row r="890" spans="9:27" ht="14.25" customHeight="1" x14ac:dyDescent="0.25">
      <c r="I890" s="100"/>
      <c r="J890" s="100"/>
      <c r="K890" s="100"/>
      <c r="O890" s="103"/>
      <c r="P890" s="101"/>
      <c r="Q890" s="101"/>
      <c r="AA890" s="15"/>
    </row>
    <row r="891" spans="9:27" ht="14.25" customHeight="1" x14ac:dyDescent="0.25">
      <c r="I891" s="100"/>
      <c r="J891" s="100"/>
      <c r="K891" s="100"/>
      <c r="O891" s="103"/>
      <c r="P891" s="101"/>
      <c r="Q891" s="101"/>
      <c r="AA891" s="15"/>
    </row>
    <row r="892" spans="9:27" ht="14.25" customHeight="1" x14ac:dyDescent="0.25">
      <c r="I892" s="100"/>
      <c r="J892" s="100"/>
      <c r="K892" s="100"/>
      <c r="O892" s="103"/>
      <c r="P892" s="101"/>
      <c r="Q892" s="101"/>
      <c r="AA892" s="15"/>
    </row>
    <row r="893" spans="9:27" ht="14.25" customHeight="1" x14ac:dyDescent="0.25">
      <c r="I893" s="100"/>
      <c r="J893" s="100"/>
      <c r="K893" s="100"/>
      <c r="O893" s="103"/>
      <c r="P893" s="101"/>
      <c r="Q893" s="101"/>
      <c r="AA893" s="15"/>
    </row>
    <row r="894" spans="9:27" ht="14.25" customHeight="1" x14ac:dyDescent="0.25">
      <c r="I894" s="100"/>
      <c r="J894" s="100"/>
      <c r="K894" s="100"/>
      <c r="O894" s="103"/>
      <c r="P894" s="101"/>
      <c r="Q894" s="101"/>
      <c r="AA894" s="15"/>
    </row>
    <row r="895" spans="9:27" ht="14.25" customHeight="1" x14ac:dyDescent="0.25">
      <c r="I895" s="100"/>
      <c r="J895" s="100"/>
      <c r="K895" s="100"/>
      <c r="O895" s="103"/>
      <c r="P895" s="101"/>
      <c r="Q895" s="101"/>
      <c r="AA895" s="15"/>
    </row>
    <row r="896" spans="9:27" ht="14.25" customHeight="1" x14ac:dyDescent="0.25">
      <c r="I896" s="100"/>
      <c r="J896" s="100"/>
      <c r="K896" s="100"/>
      <c r="O896" s="103"/>
      <c r="P896" s="101"/>
      <c r="Q896" s="101"/>
      <c r="AA896" s="15"/>
    </row>
    <row r="897" spans="9:27" ht="14.25" customHeight="1" x14ac:dyDescent="0.25">
      <c r="I897" s="100"/>
      <c r="J897" s="100"/>
      <c r="K897" s="100"/>
      <c r="O897" s="103"/>
      <c r="P897" s="101"/>
      <c r="Q897" s="101"/>
      <c r="AA897" s="15"/>
    </row>
    <row r="898" spans="9:27" ht="14.25" customHeight="1" x14ac:dyDescent="0.25">
      <c r="I898" s="100"/>
      <c r="J898" s="100"/>
      <c r="K898" s="100"/>
      <c r="O898" s="103"/>
      <c r="P898" s="101"/>
      <c r="Q898" s="101"/>
      <c r="AA898" s="15"/>
    </row>
    <row r="899" spans="9:27" ht="14.25" customHeight="1" x14ac:dyDescent="0.25">
      <c r="I899" s="100"/>
      <c r="J899" s="100"/>
      <c r="K899" s="100"/>
      <c r="O899" s="103"/>
      <c r="P899" s="101"/>
      <c r="Q899" s="101"/>
      <c r="AA899" s="15"/>
    </row>
    <row r="900" spans="9:27" ht="14.25" customHeight="1" x14ac:dyDescent="0.25">
      <c r="I900" s="100"/>
      <c r="J900" s="100"/>
      <c r="K900" s="100"/>
      <c r="O900" s="103"/>
      <c r="P900" s="101"/>
      <c r="Q900" s="101"/>
      <c r="AA900" s="15"/>
    </row>
    <row r="901" spans="9:27" ht="14.25" customHeight="1" x14ac:dyDescent="0.25">
      <c r="I901" s="100"/>
      <c r="J901" s="100"/>
      <c r="K901" s="100"/>
      <c r="O901" s="103"/>
      <c r="P901" s="101"/>
      <c r="Q901" s="101"/>
      <c r="AA901" s="15"/>
    </row>
    <row r="902" spans="9:27" ht="14.25" customHeight="1" x14ac:dyDescent="0.25">
      <c r="I902" s="100"/>
      <c r="J902" s="100"/>
      <c r="K902" s="100"/>
      <c r="O902" s="103"/>
      <c r="P902" s="101"/>
      <c r="Q902" s="101"/>
      <c r="AA902" s="15"/>
    </row>
    <row r="903" spans="9:27" ht="14.25" customHeight="1" x14ac:dyDescent="0.25">
      <c r="I903" s="100"/>
      <c r="J903" s="100"/>
      <c r="K903" s="100"/>
      <c r="O903" s="103"/>
      <c r="P903" s="101"/>
      <c r="Q903" s="101"/>
      <c r="AA903" s="15"/>
    </row>
    <row r="904" spans="9:27" ht="14.25" customHeight="1" x14ac:dyDescent="0.25">
      <c r="I904" s="100"/>
      <c r="J904" s="100"/>
      <c r="K904" s="100"/>
      <c r="O904" s="103"/>
      <c r="P904" s="101"/>
      <c r="Q904" s="101"/>
      <c r="AA904" s="15"/>
    </row>
    <row r="905" spans="9:27" ht="14.25" customHeight="1" x14ac:dyDescent="0.25">
      <c r="I905" s="100"/>
      <c r="J905" s="100"/>
      <c r="K905" s="100"/>
      <c r="O905" s="103"/>
      <c r="P905" s="101"/>
      <c r="Q905" s="101"/>
      <c r="AA905" s="15"/>
    </row>
    <row r="906" spans="9:27" ht="14.25" customHeight="1" x14ac:dyDescent="0.25">
      <c r="I906" s="100"/>
      <c r="J906" s="100"/>
      <c r="K906" s="100"/>
      <c r="O906" s="103"/>
      <c r="P906" s="101"/>
      <c r="Q906" s="101"/>
      <c r="AA906" s="15"/>
    </row>
    <row r="907" spans="9:27" ht="14.25" customHeight="1" x14ac:dyDescent="0.25">
      <c r="I907" s="100"/>
      <c r="J907" s="100"/>
      <c r="K907" s="100"/>
      <c r="O907" s="103"/>
      <c r="P907" s="101"/>
      <c r="Q907" s="101"/>
      <c r="AA907" s="15"/>
    </row>
    <row r="908" spans="9:27" ht="14.25" customHeight="1" x14ac:dyDescent="0.25">
      <c r="I908" s="100"/>
      <c r="J908" s="100"/>
      <c r="K908" s="100"/>
      <c r="O908" s="103"/>
      <c r="P908" s="101"/>
      <c r="Q908" s="101"/>
      <c r="AA908" s="15"/>
    </row>
    <row r="909" spans="9:27" ht="14.25" customHeight="1" x14ac:dyDescent="0.25">
      <c r="I909" s="100"/>
      <c r="J909" s="100"/>
      <c r="K909" s="100"/>
      <c r="O909" s="103"/>
      <c r="P909" s="101"/>
      <c r="Q909" s="101"/>
      <c r="AA909" s="15"/>
    </row>
    <row r="910" spans="9:27" ht="14.25" customHeight="1" x14ac:dyDescent="0.25">
      <c r="I910" s="100"/>
      <c r="J910" s="100"/>
      <c r="K910" s="100"/>
      <c r="O910" s="103"/>
      <c r="P910" s="101"/>
      <c r="Q910" s="101"/>
      <c r="AA910" s="15"/>
    </row>
    <row r="911" spans="9:27" ht="14.25" customHeight="1" x14ac:dyDescent="0.25">
      <c r="I911" s="100"/>
      <c r="J911" s="100"/>
      <c r="K911" s="100"/>
      <c r="O911" s="103"/>
      <c r="P911" s="101"/>
      <c r="Q911" s="101"/>
      <c r="AA911" s="15"/>
    </row>
    <row r="912" spans="9:27" ht="14.25" customHeight="1" x14ac:dyDescent="0.25">
      <c r="I912" s="100"/>
      <c r="J912" s="100"/>
      <c r="K912" s="100"/>
      <c r="O912" s="103"/>
      <c r="P912" s="101"/>
      <c r="Q912" s="101"/>
      <c r="AA912" s="15"/>
    </row>
    <row r="913" spans="9:27" ht="14.25" customHeight="1" x14ac:dyDescent="0.25">
      <c r="I913" s="100"/>
      <c r="J913" s="100"/>
      <c r="K913" s="100"/>
      <c r="O913" s="103"/>
      <c r="P913" s="101"/>
      <c r="Q913" s="101"/>
      <c r="AA913" s="15"/>
    </row>
    <row r="914" spans="9:27" ht="14.25" customHeight="1" x14ac:dyDescent="0.25">
      <c r="I914" s="100"/>
      <c r="J914" s="100"/>
      <c r="K914" s="100"/>
      <c r="O914" s="103"/>
      <c r="P914" s="101"/>
      <c r="Q914" s="101"/>
      <c r="AA914" s="15"/>
    </row>
    <row r="915" spans="9:27" ht="14.25" customHeight="1" x14ac:dyDescent="0.25">
      <c r="I915" s="100"/>
      <c r="J915" s="100"/>
      <c r="K915" s="100"/>
      <c r="O915" s="103"/>
      <c r="P915" s="101"/>
      <c r="Q915" s="101"/>
      <c r="AA915" s="15"/>
    </row>
    <row r="916" spans="9:27" ht="14.25" customHeight="1" x14ac:dyDescent="0.25">
      <c r="I916" s="100"/>
      <c r="J916" s="100"/>
      <c r="K916" s="100"/>
      <c r="O916" s="103"/>
      <c r="P916" s="101"/>
      <c r="Q916" s="101"/>
      <c r="AA916" s="15"/>
    </row>
    <row r="917" spans="9:27" ht="14.25" customHeight="1" x14ac:dyDescent="0.25">
      <c r="I917" s="100"/>
      <c r="J917" s="100"/>
      <c r="K917" s="100"/>
      <c r="O917" s="103"/>
      <c r="P917" s="101"/>
      <c r="Q917" s="101"/>
      <c r="AA917" s="15"/>
    </row>
    <row r="918" spans="9:27" ht="14.25" customHeight="1" x14ac:dyDescent="0.25">
      <c r="I918" s="100"/>
      <c r="J918" s="100"/>
      <c r="K918" s="100"/>
      <c r="O918" s="103"/>
      <c r="P918" s="101"/>
      <c r="Q918" s="101"/>
      <c r="AA918" s="15"/>
    </row>
    <row r="919" spans="9:27" ht="14.25" customHeight="1" x14ac:dyDescent="0.25">
      <c r="I919" s="100"/>
      <c r="J919" s="100"/>
      <c r="K919" s="100"/>
      <c r="O919" s="103"/>
      <c r="P919" s="101"/>
      <c r="Q919" s="101"/>
      <c r="AA919" s="15"/>
    </row>
    <row r="920" spans="9:27" ht="14.25" customHeight="1" x14ac:dyDescent="0.25">
      <c r="I920" s="100"/>
      <c r="J920" s="100"/>
      <c r="K920" s="100"/>
      <c r="O920" s="103"/>
      <c r="P920" s="101"/>
      <c r="Q920" s="101"/>
      <c r="AA920" s="15"/>
    </row>
    <row r="921" spans="9:27" ht="14.25" customHeight="1" x14ac:dyDescent="0.25">
      <c r="I921" s="100"/>
      <c r="J921" s="100"/>
      <c r="K921" s="100"/>
      <c r="O921" s="103"/>
      <c r="P921" s="101"/>
      <c r="Q921" s="101"/>
      <c r="AA921" s="15"/>
    </row>
    <row r="922" spans="9:27" ht="14.25" customHeight="1" x14ac:dyDescent="0.25">
      <c r="I922" s="100"/>
      <c r="J922" s="100"/>
      <c r="K922" s="100"/>
      <c r="O922" s="103"/>
      <c r="P922" s="101"/>
      <c r="Q922" s="101"/>
      <c r="AA922" s="15"/>
    </row>
    <row r="923" spans="9:27" ht="14.25" customHeight="1" x14ac:dyDescent="0.25">
      <c r="I923" s="100"/>
      <c r="J923" s="100"/>
      <c r="K923" s="100"/>
      <c r="O923" s="103"/>
      <c r="P923" s="101"/>
      <c r="Q923" s="101"/>
      <c r="AA923" s="15"/>
    </row>
    <row r="924" spans="9:27" ht="14.25" customHeight="1" x14ac:dyDescent="0.25">
      <c r="I924" s="100"/>
      <c r="J924" s="100"/>
      <c r="K924" s="100"/>
      <c r="O924" s="103"/>
      <c r="P924" s="101"/>
      <c r="Q924" s="101"/>
      <c r="AA924" s="15"/>
    </row>
    <row r="925" spans="9:27" ht="14.25" customHeight="1" x14ac:dyDescent="0.25">
      <c r="I925" s="100"/>
      <c r="J925" s="100"/>
      <c r="K925" s="100"/>
      <c r="O925" s="103"/>
      <c r="P925" s="101"/>
      <c r="Q925" s="101"/>
      <c r="AA925" s="15"/>
    </row>
    <row r="926" spans="9:27" ht="14.25" customHeight="1" x14ac:dyDescent="0.25">
      <c r="I926" s="100"/>
      <c r="J926" s="100"/>
      <c r="K926" s="100"/>
      <c r="O926" s="103"/>
      <c r="P926" s="101"/>
      <c r="Q926" s="101"/>
      <c r="AA926" s="15"/>
    </row>
    <row r="927" spans="9:27" ht="14.25" customHeight="1" x14ac:dyDescent="0.25">
      <c r="I927" s="100"/>
      <c r="J927" s="100"/>
      <c r="K927" s="100"/>
      <c r="O927" s="103"/>
      <c r="P927" s="101"/>
      <c r="Q927" s="101"/>
      <c r="AA927" s="15"/>
    </row>
    <row r="928" spans="9:27" ht="14.25" customHeight="1" x14ac:dyDescent="0.25">
      <c r="I928" s="100"/>
      <c r="J928" s="100"/>
      <c r="K928" s="100"/>
      <c r="O928" s="103"/>
      <c r="P928" s="101"/>
      <c r="Q928" s="101"/>
      <c r="AA928" s="15"/>
    </row>
    <row r="929" spans="9:27" ht="14.25" customHeight="1" x14ac:dyDescent="0.25">
      <c r="I929" s="100"/>
      <c r="J929" s="100"/>
      <c r="K929" s="100"/>
      <c r="O929" s="103"/>
      <c r="P929" s="101"/>
      <c r="Q929" s="101"/>
      <c r="AA929" s="15"/>
    </row>
    <row r="930" spans="9:27" ht="14.25" customHeight="1" x14ac:dyDescent="0.25">
      <c r="I930" s="100"/>
      <c r="J930" s="100"/>
      <c r="K930" s="100"/>
      <c r="O930" s="103"/>
      <c r="P930" s="101"/>
      <c r="Q930" s="101"/>
      <c r="AA930" s="15"/>
    </row>
    <row r="931" spans="9:27" ht="14.25" customHeight="1" x14ac:dyDescent="0.25">
      <c r="I931" s="100"/>
      <c r="J931" s="100"/>
      <c r="K931" s="100"/>
      <c r="O931" s="103"/>
      <c r="P931" s="101"/>
      <c r="Q931" s="101"/>
      <c r="AA931" s="15"/>
    </row>
    <row r="932" spans="9:27" ht="14.25" customHeight="1" x14ac:dyDescent="0.25">
      <c r="I932" s="100"/>
      <c r="J932" s="100"/>
      <c r="K932" s="100"/>
      <c r="O932" s="103"/>
      <c r="P932" s="101"/>
      <c r="Q932" s="101"/>
      <c r="AA932" s="15"/>
    </row>
    <row r="933" spans="9:27" ht="14.25" customHeight="1" x14ac:dyDescent="0.25">
      <c r="I933" s="100"/>
      <c r="J933" s="100"/>
      <c r="K933" s="100"/>
      <c r="O933" s="103"/>
      <c r="P933" s="101"/>
      <c r="Q933" s="101"/>
      <c r="AA933" s="15"/>
    </row>
    <row r="934" spans="9:27" ht="14.25" customHeight="1" x14ac:dyDescent="0.25">
      <c r="I934" s="100"/>
      <c r="J934" s="100"/>
      <c r="K934" s="100"/>
      <c r="O934" s="103"/>
      <c r="P934" s="101"/>
      <c r="Q934" s="101"/>
      <c r="AA934" s="15"/>
    </row>
    <row r="935" spans="9:27" ht="14.25" customHeight="1" x14ac:dyDescent="0.25">
      <c r="I935" s="100"/>
      <c r="J935" s="100"/>
      <c r="K935" s="100"/>
      <c r="O935" s="103"/>
      <c r="P935" s="101"/>
      <c r="Q935" s="101"/>
      <c r="AA935" s="15"/>
    </row>
    <row r="936" spans="9:27" ht="14.25" customHeight="1" x14ac:dyDescent="0.25">
      <c r="I936" s="100"/>
      <c r="J936" s="100"/>
      <c r="K936" s="100"/>
      <c r="O936" s="103"/>
      <c r="P936" s="101"/>
      <c r="Q936" s="101"/>
      <c r="AA936" s="15"/>
    </row>
    <row r="937" spans="9:27" ht="14.25" customHeight="1" x14ac:dyDescent="0.25">
      <c r="I937" s="100"/>
      <c r="J937" s="100"/>
      <c r="K937" s="100"/>
      <c r="O937" s="103"/>
      <c r="P937" s="101"/>
      <c r="Q937" s="101"/>
      <c r="AA937" s="15"/>
    </row>
    <row r="938" spans="9:27" ht="14.25" customHeight="1" x14ac:dyDescent="0.25">
      <c r="I938" s="100"/>
      <c r="J938" s="100"/>
      <c r="K938" s="100"/>
      <c r="O938" s="103"/>
      <c r="P938" s="101"/>
      <c r="Q938" s="101"/>
      <c r="AA938" s="15"/>
    </row>
    <row r="939" spans="9:27" ht="14.25" customHeight="1" x14ac:dyDescent="0.25">
      <c r="I939" s="100"/>
      <c r="J939" s="100"/>
      <c r="K939" s="100"/>
      <c r="O939" s="103"/>
      <c r="P939" s="101"/>
      <c r="Q939" s="101"/>
      <c r="AA939" s="15"/>
    </row>
    <row r="940" spans="9:27" ht="14.25" customHeight="1" x14ac:dyDescent="0.25">
      <c r="I940" s="100"/>
      <c r="J940" s="100"/>
      <c r="K940" s="100"/>
      <c r="O940" s="103"/>
      <c r="P940" s="101"/>
      <c r="Q940" s="101"/>
      <c r="AA940" s="15"/>
    </row>
    <row r="941" spans="9:27" ht="14.25" customHeight="1" x14ac:dyDescent="0.25">
      <c r="I941" s="100"/>
      <c r="J941" s="100"/>
      <c r="K941" s="100"/>
      <c r="O941" s="103"/>
      <c r="P941" s="101"/>
      <c r="Q941" s="101"/>
      <c r="AA941" s="15"/>
    </row>
    <row r="942" spans="9:27" ht="14.25" customHeight="1" x14ac:dyDescent="0.25">
      <c r="I942" s="100"/>
      <c r="J942" s="100"/>
      <c r="K942" s="100"/>
      <c r="O942" s="103"/>
      <c r="P942" s="101"/>
      <c r="Q942" s="101"/>
      <c r="AA942" s="15"/>
    </row>
    <row r="943" spans="9:27" ht="14.25" customHeight="1" x14ac:dyDescent="0.25">
      <c r="I943" s="100"/>
      <c r="J943" s="100"/>
      <c r="K943" s="100"/>
      <c r="O943" s="103"/>
      <c r="P943" s="101"/>
      <c r="Q943" s="101"/>
      <c r="AA943" s="15"/>
    </row>
    <row r="944" spans="9:27" ht="14.25" customHeight="1" x14ac:dyDescent="0.25">
      <c r="I944" s="100"/>
      <c r="J944" s="100"/>
      <c r="K944" s="100"/>
      <c r="O944" s="103"/>
      <c r="P944" s="101"/>
      <c r="Q944" s="101"/>
      <c r="AA944" s="15"/>
    </row>
    <row r="945" spans="9:27" ht="14.25" customHeight="1" x14ac:dyDescent="0.25">
      <c r="I945" s="100"/>
      <c r="J945" s="100"/>
      <c r="K945" s="100"/>
      <c r="O945" s="103"/>
      <c r="P945" s="101"/>
      <c r="Q945" s="101"/>
      <c r="AA945" s="15"/>
    </row>
    <row r="946" spans="9:27" ht="14.25" customHeight="1" x14ac:dyDescent="0.25">
      <c r="I946" s="100"/>
      <c r="J946" s="100"/>
      <c r="K946" s="100"/>
      <c r="O946" s="103"/>
      <c r="P946" s="101"/>
      <c r="Q946" s="101"/>
      <c r="AA946" s="15"/>
    </row>
    <row r="947" spans="9:27" ht="14.25" customHeight="1" x14ac:dyDescent="0.25">
      <c r="I947" s="100"/>
      <c r="J947" s="100"/>
      <c r="K947" s="100"/>
      <c r="O947" s="103"/>
      <c r="P947" s="101"/>
      <c r="Q947" s="101"/>
      <c r="AA947" s="15"/>
    </row>
    <row r="948" spans="9:27" ht="14.25" customHeight="1" x14ac:dyDescent="0.25">
      <c r="I948" s="100"/>
      <c r="J948" s="100"/>
      <c r="K948" s="100"/>
      <c r="O948" s="103"/>
      <c r="P948" s="101"/>
      <c r="Q948" s="101"/>
      <c r="AA948" s="15"/>
    </row>
    <row r="949" spans="9:27" ht="14.25" customHeight="1" x14ac:dyDescent="0.25">
      <c r="I949" s="100"/>
      <c r="J949" s="100"/>
      <c r="K949" s="100"/>
      <c r="O949" s="103"/>
      <c r="P949" s="101"/>
      <c r="Q949" s="101"/>
      <c r="AA949" s="15"/>
    </row>
    <row r="950" spans="9:27" ht="14.25" customHeight="1" x14ac:dyDescent="0.25">
      <c r="I950" s="100"/>
      <c r="J950" s="100"/>
      <c r="K950" s="100"/>
      <c r="O950" s="103"/>
      <c r="P950" s="101"/>
      <c r="Q950" s="101"/>
      <c r="AA950" s="15"/>
    </row>
    <row r="951" spans="9:27" ht="14.25" customHeight="1" x14ac:dyDescent="0.25">
      <c r="I951" s="100"/>
      <c r="J951" s="100"/>
      <c r="K951" s="100"/>
      <c r="O951" s="103"/>
      <c r="P951" s="101"/>
      <c r="Q951" s="101"/>
      <c r="AA951" s="15"/>
    </row>
    <row r="952" spans="9:27" ht="14.25" customHeight="1" x14ac:dyDescent="0.25">
      <c r="I952" s="100"/>
      <c r="J952" s="100"/>
      <c r="K952" s="100"/>
      <c r="O952" s="103"/>
      <c r="P952" s="101"/>
      <c r="Q952" s="101"/>
      <c r="AA952" s="15"/>
    </row>
    <row r="953" spans="9:27" ht="14.25" customHeight="1" x14ac:dyDescent="0.25">
      <c r="I953" s="100"/>
      <c r="J953" s="100"/>
      <c r="K953" s="100"/>
      <c r="O953" s="103"/>
      <c r="P953" s="101"/>
      <c r="Q953" s="101"/>
      <c r="AA953" s="15"/>
    </row>
    <row r="954" spans="9:27" ht="14.25" customHeight="1" x14ac:dyDescent="0.25">
      <c r="I954" s="100"/>
      <c r="J954" s="100"/>
      <c r="K954" s="100"/>
      <c r="O954" s="103"/>
      <c r="P954" s="101"/>
      <c r="Q954" s="101"/>
      <c r="AA954" s="15"/>
    </row>
    <row r="955" spans="9:27" ht="14.25" customHeight="1" x14ac:dyDescent="0.25">
      <c r="I955" s="100"/>
      <c r="J955" s="100"/>
      <c r="K955" s="100"/>
      <c r="O955" s="103"/>
      <c r="P955" s="101"/>
      <c r="Q955" s="101"/>
      <c r="AA955" s="15"/>
    </row>
    <row r="956" spans="9:27" ht="14.25" customHeight="1" x14ac:dyDescent="0.25">
      <c r="I956" s="100"/>
      <c r="J956" s="100"/>
      <c r="K956" s="100"/>
      <c r="O956" s="103"/>
      <c r="P956" s="101"/>
      <c r="Q956" s="101"/>
      <c r="AA956" s="15"/>
    </row>
    <row r="957" spans="9:27" ht="14.25" customHeight="1" x14ac:dyDescent="0.25">
      <c r="I957" s="100"/>
      <c r="J957" s="100"/>
      <c r="K957" s="100"/>
      <c r="O957" s="103"/>
      <c r="P957" s="101"/>
      <c r="Q957" s="101"/>
      <c r="AA957" s="15"/>
    </row>
    <row r="958" spans="9:27" ht="14.25" customHeight="1" x14ac:dyDescent="0.25">
      <c r="I958" s="100"/>
      <c r="J958" s="100"/>
      <c r="K958" s="100"/>
      <c r="O958" s="103"/>
      <c r="P958" s="101"/>
      <c r="Q958" s="101"/>
      <c r="AA958" s="15"/>
    </row>
    <row r="959" spans="9:27" ht="14.25" customHeight="1" x14ac:dyDescent="0.25">
      <c r="I959" s="100"/>
      <c r="J959" s="100"/>
      <c r="K959" s="100"/>
      <c r="O959" s="103"/>
      <c r="P959" s="101"/>
      <c r="Q959" s="101"/>
      <c r="AA959" s="15"/>
    </row>
    <row r="960" spans="9:27" ht="14.25" customHeight="1" x14ac:dyDescent="0.25">
      <c r="I960" s="100"/>
      <c r="J960" s="100"/>
      <c r="K960" s="100"/>
      <c r="O960" s="103"/>
      <c r="P960" s="101"/>
      <c r="Q960" s="101"/>
      <c r="AA960" s="15"/>
    </row>
    <row r="961" spans="9:27" ht="14.25" customHeight="1" x14ac:dyDescent="0.25">
      <c r="I961" s="100"/>
      <c r="J961" s="100"/>
      <c r="K961" s="100"/>
      <c r="O961" s="103"/>
      <c r="P961" s="101"/>
      <c r="Q961" s="101"/>
      <c r="AA961" s="15"/>
    </row>
    <row r="962" spans="9:27" ht="14.25" customHeight="1" x14ac:dyDescent="0.25">
      <c r="I962" s="100"/>
      <c r="J962" s="100"/>
      <c r="K962" s="100"/>
      <c r="O962" s="103"/>
      <c r="P962" s="101"/>
      <c r="Q962" s="101"/>
      <c r="AA962" s="15"/>
    </row>
    <row r="963" spans="9:27" ht="14.25" customHeight="1" x14ac:dyDescent="0.25">
      <c r="I963" s="100"/>
      <c r="J963" s="100"/>
      <c r="K963" s="100"/>
      <c r="O963" s="103"/>
      <c r="P963" s="101"/>
      <c r="Q963" s="101"/>
      <c r="AA963" s="15"/>
    </row>
    <row r="964" spans="9:27" ht="14.25" customHeight="1" x14ac:dyDescent="0.25">
      <c r="I964" s="100"/>
      <c r="J964" s="100"/>
      <c r="K964" s="100"/>
      <c r="O964" s="103"/>
      <c r="P964" s="101"/>
      <c r="Q964" s="101"/>
      <c r="AA964" s="15"/>
    </row>
    <row r="965" spans="9:27" ht="14.25" customHeight="1" x14ac:dyDescent="0.25">
      <c r="I965" s="100"/>
      <c r="J965" s="100"/>
      <c r="K965" s="100"/>
      <c r="O965" s="103"/>
      <c r="P965" s="101"/>
      <c r="Q965" s="101"/>
      <c r="AA965" s="15"/>
    </row>
    <row r="966" spans="9:27" ht="14.25" customHeight="1" x14ac:dyDescent="0.25">
      <c r="I966" s="100"/>
      <c r="J966" s="100"/>
      <c r="K966" s="100"/>
      <c r="O966" s="103"/>
      <c r="P966" s="101"/>
      <c r="Q966" s="101"/>
      <c r="AA966" s="15"/>
    </row>
    <row r="967" spans="9:27" ht="14.25" customHeight="1" x14ac:dyDescent="0.25">
      <c r="I967" s="100"/>
      <c r="J967" s="100"/>
      <c r="K967" s="100"/>
      <c r="O967" s="103"/>
      <c r="P967" s="101"/>
      <c r="Q967" s="101"/>
      <c r="AA967" s="15"/>
    </row>
    <row r="968" spans="9:27" ht="14.25" customHeight="1" x14ac:dyDescent="0.25">
      <c r="I968" s="100"/>
      <c r="J968" s="100"/>
      <c r="K968" s="100"/>
      <c r="O968" s="103"/>
      <c r="P968" s="101"/>
      <c r="Q968" s="101"/>
      <c r="AA968" s="15"/>
    </row>
    <row r="969" spans="9:27" ht="14.25" customHeight="1" x14ac:dyDescent="0.25">
      <c r="I969" s="100"/>
      <c r="J969" s="100"/>
      <c r="K969" s="100"/>
      <c r="O969" s="103"/>
      <c r="P969" s="101"/>
      <c r="Q969" s="101"/>
      <c r="AA969" s="15"/>
    </row>
    <row r="970" spans="9:27" ht="14.25" customHeight="1" x14ac:dyDescent="0.25">
      <c r="I970" s="100"/>
      <c r="J970" s="100"/>
      <c r="K970" s="100"/>
      <c r="O970" s="103"/>
      <c r="P970" s="101"/>
      <c r="Q970" s="101"/>
      <c r="AA970" s="15"/>
    </row>
    <row r="971" spans="9:27" ht="14.25" customHeight="1" x14ac:dyDescent="0.25">
      <c r="I971" s="100"/>
      <c r="J971" s="100"/>
      <c r="K971" s="100"/>
      <c r="O971" s="103"/>
      <c r="P971" s="101"/>
      <c r="Q971" s="101"/>
      <c r="AA971" s="15"/>
    </row>
    <row r="972" spans="9:27" ht="14.25" customHeight="1" x14ac:dyDescent="0.25">
      <c r="I972" s="100"/>
      <c r="J972" s="100"/>
      <c r="K972" s="100"/>
      <c r="O972" s="103"/>
      <c r="P972" s="101"/>
      <c r="Q972" s="101"/>
      <c r="AA972" s="15"/>
    </row>
    <row r="973" spans="9:27" ht="14.25" customHeight="1" x14ac:dyDescent="0.25">
      <c r="I973" s="100"/>
      <c r="J973" s="100"/>
      <c r="K973" s="100"/>
      <c r="O973" s="103"/>
      <c r="P973" s="101"/>
      <c r="Q973" s="101"/>
      <c r="AA973" s="15"/>
    </row>
    <row r="974" spans="9:27" ht="14.25" customHeight="1" x14ac:dyDescent="0.25">
      <c r="I974" s="100"/>
      <c r="J974" s="100"/>
      <c r="K974" s="100"/>
      <c r="O974" s="103"/>
      <c r="P974" s="101"/>
      <c r="Q974" s="101"/>
      <c r="AA974" s="15"/>
    </row>
    <row r="975" spans="9:27" ht="14.25" customHeight="1" x14ac:dyDescent="0.25">
      <c r="I975" s="100"/>
      <c r="J975" s="100"/>
      <c r="K975" s="100"/>
      <c r="O975" s="103"/>
      <c r="P975" s="101"/>
      <c r="Q975" s="101"/>
      <c r="AA975" s="15"/>
    </row>
    <row r="976" spans="9:27" ht="14.25" customHeight="1" x14ac:dyDescent="0.25">
      <c r="I976" s="100"/>
      <c r="J976" s="100"/>
      <c r="K976" s="100"/>
      <c r="O976" s="103"/>
      <c r="P976" s="101"/>
      <c r="Q976" s="101"/>
      <c r="AA976" s="15"/>
    </row>
    <row r="977" spans="9:27" ht="14.25" customHeight="1" x14ac:dyDescent="0.25">
      <c r="I977" s="100"/>
      <c r="J977" s="100"/>
      <c r="K977" s="100"/>
      <c r="O977" s="103"/>
      <c r="P977" s="101"/>
      <c r="Q977" s="101"/>
      <c r="AA977" s="15"/>
    </row>
    <row r="978" spans="9:27" ht="14.25" customHeight="1" x14ac:dyDescent="0.25">
      <c r="I978" s="100"/>
      <c r="J978" s="100"/>
      <c r="K978" s="100"/>
      <c r="O978" s="103"/>
      <c r="P978" s="101"/>
      <c r="Q978" s="101"/>
      <c r="AA978" s="15"/>
    </row>
    <row r="979" spans="9:27" ht="14.25" customHeight="1" x14ac:dyDescent="0.25">
      <c r="I979" s="100"/>
      <c r="J979" s="100"/>
      <c r="K979" s="100"/>
      <c r="O979" s="103"/>
      <c r="P979" s="101"/>
      <c r="Q979" s="101"/>
      <c r="AA979" s="15"/>
    </row>
    <row r="980" spans="9:27" ht="14.25" customHeight="1" x14ac:dyDescent="0.25">
      <c r="I980" s="100"/>
      <c r="J980" s="100"/>
      <c r="K980" s="100"/>
      <c r="O980" s="103"/>
      <c r="P980" s="101"/>
      <c r="Q980" s="101"/>
      <c r="AA980" s="15"/>
    </row>
    <row r="981" spans="9:27" ht="14.25" customHeight="1" x14ac:dyDescent="0.25">
      <c r="I981" s="100"/>
      <c r="J981" s="100"/>
      <c r="K981" s="100"/>
      <c r="O981" s="103"/>
      <c r="P981" s="101"/>
      <c r="Q981" s="101"/>
      <c r="AA981" s="15"/>
    </row>
    <row r="982" spans="9:27" ht="14.25" customHeight="1" x14ac:dyDescent="0.25">
      <c r="I982" s="100"/>
      <c r="J982" s="100"/>
      <c r="K982" s="100"/>
      <c r="O982" s="103"/>
      <c r="P982" s="101"/>
      <c r="Q982" s="101"/>
      <c r="AA982" s="15"/>
    </row>
    <row r="983" spans="9:27" ht="14.25" customHeight="1" x14ac:dyDescent="0.25">
      <c r="I983" s="100"/>
      <c r="J983" s="100"/>
      <c r="K983" s="100"/>
      <c r="O983" s="103"/>
      <c r="P983" s="101"/>
      <c r="Q983" s="101"/>
      <c r="AA983" s="15"/>
    </row>
    <row r="984" spans="9:27" ht="14.25" customHeight="1" x14ac:dyDescent="0.25">
      <c r="I984" s="100"/>
      <c r="J984" s="100"/>
      <c r="K984" s="100"/>
      <c r="O984" s="103"/>
      <c r="P984" s="101"/>
      <c r="Q984" s="101"/>
      <c r="AA984" s="15"/>
    </row>
    <row r="985" spans="9:27" ht="14.25" customHeight="1" x14ac:dyDescent="0.25">
      <c r="I985" s="100"/>
      <c r="J985" s="100"/>
      <c r="K985" s="100"/>
      <c r="O985" s="103"/>
      <c r="P985" s="101"/>
      <c r="Q985" s="101"/>
      <c r="AA985" s="15"/>
    </row>
    <row r="986" spans="9:27" ht="14.25" customHeight="1" x14ac:dyDescent="0.25">
      <c r="I986" s="100"/>
      <c r="J986" s="100"/>
      <c r="K986" s="100"/>
      <c r="O986" s="103"/>
      <c r="P986" s="101"/>
      <c r="Q986" s="101"/>
      <c r="AA986" s="15"/>
    </row>
    <row r="987" spans="9:27" ht="14.25" customHeight="1" x14ac:dyDescent="0.25">
      <c r="I987" s="100"/>
      <c r="J987" s="100"/>
      <c r="K987" s="100"/>
      <c r="O987" s="103"/>
      <c r="P987" s="101"/>
      <c r="Q987" s="101"/>
      <c r="AA987" s="15"/>
    </row>
    <row r="988" spans="9:27" ht="14.25" customHeight="1" x14ac:dyDescent="0.25">
      <c r="I988" s="100"/>
      <c r="J988" s="100"/>
      <c r="K988" s="100"/>
      <c r="O988" s="103"/>
      <c r="P988" s="101"/>
      <c r="Q988" s="101"/>
      <c r="AA988" s="15"/>
    </row>
    <row r="989" spans="9:27" ht="14.25" customHeight="1" x14ac:dyDescent="0.25">
      <c r="I989" s="100"/>
      <c r="J989" s="100"/>
      <c r="K989" s="100"/>
      <c r="O989" s="103"/>
      <c r="P989" s="101"/>
      <c r="Q989" s="101"/>
      <c r="AA989" s="15"/>
    </row>
    <row r="990" spans="9:27" ht="14.25" customHeight="1" x14ac:dyDescent="0.25">
      <c r="I990" s="100"/>
      <c r="J990" s="100"/>
      <c r="K990" s="100"/>
      <c r="O990" s="103"/>
      <c r="P990" s="101"/>
      <c r="Q990" s="101"/>
      <c r="AA990" s="15"/>
    </row>
    <row r="991" spans="9:27" ht="14.25" customHeight="1" x14ac:dyDescent="0.25">
      <c r="I991" s="100"/>
      <c r="J991" s="100"/>
      <c r="K991" s="100"/>
      <c r="O991" s="103"/>
      <c r="P991" s="101"/>
      <c r="Q991" s="101"/>
      <c r="AA991" s="15"/>
    </row>
    <row r="992" spans="9:27" ht="14.25" customHeight="1" x14ac:dyDescent="0.25">
      <c r="I992" s="100"/>
      <c r="J992" s="100"/>
      <c r="K992" s="100"/>
      <c r="O992" s="103"/>
      <c r="P992" s="101"/>
      <c r="Q992" s="101"/>
      <c r="AA992" s="15"/>
    </row>
    <row r="993" spans="9:27" ht="14.25" customHeight="1" x14ac:dyDescent="0.25">
      <c r="I993" s="100"/>
      <c r="J993" s="100"/>
      <c r="K993" s="100"/>
      <c r="O993" s="103"/>
      <c r="P993" s="101"/>
      <c r="Q993" s="101"/>
      <c r="AA993" s="15"/>
    </row>
    <row r="994" spans="9:27" ht="14.25" customHeight="1" x14ac:dyDescent="0.25">
      <c r="I994" s="100"/>
      <c r="J994" s="100"/>
      <c r="K994" s="100"/>
      <c r="O994" s="103"/>
      <c r="P994" s="101"/>
      <c r="Q994" s="101"/>
      <c r="AA994" s="15"/>
    </row>
    <row r="995" spans="9:27" ht="14.25" customHeight="1" x14ac:dyDescent="0.25">
      <c r="I995" s="100"/>
      <c r="J995" s="100"/>
      <c r="K995" s="100"/>
      <c r="O995" s="103"/>
      <c r="P995" s="101"/>
      <c r="Q995" s="101"/>
      <c r="AA995" s="15"/>
    </row>
    <row r="996" spans="9:27" ht="14.25" customHeight="1" x14ac:dyDescent="0.25">
      <c r="I996" s="100"/>
      <c r="J996" s="100"/>
      <c r="K996" s="100"/>
      <c r="O996" s="103"/>
      <c r="P996" s="101"/>
      <c r="Q996" s="101"/>
      <c r="AA996" s="15"/>
    </row>
    <row r="997" spans="9:27" ht="14.25" customHeight="1" x14ac:dyDescent="0.25">
      <c r="I997" s="100"/>
      <c r="J997" s="100"/>
      <c r="K997" s="100"/>
      <c r="O997" s="103"/>
      <c r="P997" s="101"/>
      <c r="Q997" s="101"/>
      <c r="AA997" s="15"/>
    </row>
    <row r="998" spans="9:27" ht="14.25" customHeight="1" x14ac:dyDescent="0.25">
      <c r="I998" s="100"/>
      <c r="J998" s="100"/>
      <c r="K998" s="100"/>
      <c r="O998" s="103"/>
      <c r="P998" s="101"/>
      <c r="Q998" s="101"/>
      <c r="AA998" s="15"/>
    </row>
    <row r="999" spans="9:27" ht="14.25" customHeight="1" x14ac:dyDescent="0.25">
      <c r="I999" s="100"/>
      <c r="J999" s="100"/>
      <c r="K999" s="100"/>
      <c r="O999" s="103"/>
      <c r="P999" s="101"/>
      <c r="Q999" s="101"/>
      <c r="AA999" s="15"/>
    </row>
    <row r="1000" spans="9:27" ht="14.25" customHeight="1" x14ac:dyDescent="0.25">
      <c r="I1000" s="100"/>
      <c r="J1000" s="100"/>
      <c r="K1000" s="100"/>
      <c r="O1000" s="103"/>
      <c r="P1000" s="101"/>
      <c r="Q1000" s="101"/>
      <c r="AA1000" s="15"/>
    </row>
    <row r="1001" spans="9:27" ht="14.25" customHeight="1" x14ac:dyDescent="0.25">
      <c r="I1001" s="100"/>
      <c r="J1001" s="100"/>
      <c r="K1001" s="100"/>
      <c r="O1001" s="103"/>
      <c r="P1001" s="101"/>
      <c r="Q1001" s="101"/>
      <c r="AA1001" s="15"/>
    </row>
    <row r="1002" spans="9:27" ht="14.25" customHeight="1" x14ac:dyDescent="0.25">
      <c r="I1002" s="100"/>
      <c r="J1002" s="100"/>
      <c r="K1002" s="100"/>
      <c r="O1002" s="103"/>
      <c r="P1002" s="101"/>
      <c r="Q1002" s="101"/>
      <c r="AA1002" s="15"/>
    </row>
    <row r="1003" spans="9:27" ht="14.25" customHeight="1" x14ac:dyDescent="0.25">
      <c r="I1003" s="100"/>
      <c r="J1003" s="100"/>
      <c r="K1003" s="100"/>
      <c r="O1003" s="103"/>
      <c r="P1003" s="101"/>
      <c r="Q1003" s="101"/>
      <c r="AA1003" s="15"/>
    </row>
    <row r="1004" spans="9:27" ht="14.25" customHeight="1" x14ac:dyDescent="0.25">
      <c r="I1004" s="100"/>
      <c r="J1004" s="100"/>
      <c r="K1004" s="100"/>
      <c r="O1004" s="103"/>
      <c r="P1004" s="101"/>
      <c r="Q1004" s="101"/>
      <c r="AA1004" s="15"/>
    </row>
    <row r="1005" spans="9:27" ht="14.25" customHeight="1" x14ac:dyDescent="0.25">
      <c r="I1005" s="100"/>
      <c r="J1005" s="100"/>
      <c r="K1005" s="100"/>
      <c r="O1005" s="103"/>
      <c r="P1005" s="101"/>
      <c r="Q1005" s="101"/>
      <c r="AA1005" s="15"/>
    </row>
    <row r="1006" spans="9:27" ht="14.25" customHeight="1" x14ac:dyDescent="0.25">
      <c r="I1006" s="100"/>
      <c r="J1006" s="100"/>
      <c r="K1006" s="100"/>
      <c r="O1006" s="103"/>
      <c r="P1006" s="101"/>
      <c r="Q1006" s="101"/>
      <c r="AA1006" s="15"/>
    </row>
    <row r="1007" spans="9:27" ht="14.25" customHeight="1" x14ac:dyDescent="0.25">
      <c r="I1007" s="100"/>
      <c r="J1007" s="100"/>
      <c r="K1007" s="100"/>
      <c r="O1007" s="103"/>
      <c r="P1007" s="101"/>
      <c r="Q1007" s="101"/>
      <c r="AA1007" s="15"/>
    </row>
    <row r="1008" spans="9:27" ht="14.25" customHeight="1" x14ac:dyDescent="0.25">
      <c r="I1008" s="100"/>
      <c r="J1008" s="100"/>
      <c r="K1008" s="100"/>
      <c r="O1008" s="103"/>
      <c r="P1008" s="101"/>
      <c r="Q1008" s="101"/>
      <c r="AA1008" s="15"/>
    </row>
    <row r="1009" spans="9:27" ht="14.25" customHeight="1" x14ac:dyDescent="0.25">
      <c r="I1009" s="100"/>
      <c r="J1009" s="100"/>
      <c r="K1009" s="100"/>
      <c r="O1009" s="103"/>
      <c r="P1009" s="101"/>
      <c r="Q1009" s="101"/>
      <c r="AA1009" s="15"/>
    </row>
    <row r="1010" spans="9:27" ht="14.25" customHeight="1" x14ac:dyDescent="0.25">
      <c r="I1010" s="100"/>
      <c r="J1010" s="100"/>
      <c r="K1010" s="100"/>
      <c r="O1010" s="103"/>
      <c r="P1010" s="101"/>
      <c r="Q1010" s="101"/>
      <c r="AA1010" s="15"/>
    </row>
    <row r="1011" spans="9:27" ht="14.25" customHeight="1" x14ac:dyDescent="0.25">
      <c r="I1011" s="100"/>
      <c r="J1011" s="100"/>
      <c r="K1011" s="100"/>
      <c r="O1011" s="103"/>
      <c r="P1011" s="101"/>
      <c r="Q1011" s="101"/>
      <c r="AA1011" s="15"/>
    </row>
    <row r="1012" spans="9:27" ht="14.25" customHeight="1" x14ac:dyDescent="0.25">
      <c r="I1012" s="100"/>
      <c r="J1012" s="100"/>
      <c r="K1012" s="100"/>
      <c r="O1012" s="103"/>
      <c r="P1012" s="101"/>
      <c r="Q1012" s="101"/>
      <c r="AA1012" s="15"/>
    </row>
    <row r="1013" spans="9:27" ht="14.25" customHeight="1" x14ac:dyDescent="0.25">
      <c r="I1013" s="100"/>
      <c r="J1013" s="100"/>
      <c r="K1013" s="100"/>
      <c r="O1013" s="103"/>
      <c r="P1013" s="101"/>
      <c r="Q1013" s="101"/>
      <c r="AA1013" s="15"/>
    </row>
    <row r="1014" spans="9:27" ht="14.25" customHeight="1" x14ac:dyDescent="0.25">
      <c r="I1014" s="100"/>
      <c r="J1014" s="100"/>
      <c r="K1014" s="100"/>
      <c r="O1014" s="103"/>
      <c r="P1014" s="101"/>
      <c r="Q1014" s="101"/>
      <c r="AA1014" s="15"/>
    </row>
    <row r="1015" spans="9:27" ht="14.25" customHeight="1" x14ac:dyDescent="0.25">
      <c r="I1015" s="100"/>
      <c r="J1015" s="100"/>
      <c r="K1015" s="100"/>
      <c r="O1015" s="103"/>
      <c r="P1015" s="101"/>
      <c r="Q1015" s="101"/>
      <c r="AA1015" s="15"/>
    </row>
    <row r="1016" spans="9:27" ht="14.25" customHeight="1" x14ac:dyDescent="0.25">
      <c r="I1016" s="100"/>
      <c r="J1016" s="100"/>
      <c r="K1016" s="100"/>
      <c r="O1016" s="103"/>
      <c r="P1016" s="101"/>
      <c r="Q1016" s="101"/>
      <c r="AA1016" s="15"/>
    </row>
    <row r="1017" spans="9:27" ht="14.25" customHeight="1" x14ac:dyDescent="0.25">
      <c r="I1017" s="100"/>
      <c r="J1017" s="100"/>
      <c r="K1017" s="100"/>
      <c r="O1017" s="103"/>
      <c r="P1017" s="101"/>
      <c r="Q1017" s="101"/>
      <c r="AA1017" s="15"/>
    </row>
    <row r="1018" spans="9:27" ht="14.25" customHeight="1" x14ac:dyDescent="0.25">
      <c r="I1018" s="100"/>
      <c r="J1018" s="100"/>
      <c r="K1018" s="100"/>
      <c r="O1018" s="103"/>
      <c r="P1018" s="101"/>
      <c r="Q1018" s="101"/>
      <c r="AA1018" s="15"/>
    </row>
    <row r="1019" spans="9:27" ht="14.25" customHeight="1" x14ac:dyDescent="0.25">
      <c r="I1019" s="100"/>
      <c r="J1019" s="100"/>
      <c r="K1019" s="100"/>
      <c r="O1019" s="103"/>
      <c r="P1019" s="101"/>
      <c r="Q1019" s="101"/>
      <c r="AA1019" s="15"/>
    </row>
    <row r="1020" spans="9:27" ht="14.25" customHeight="1" x14ac:dyDescent="0.25">
      <c r="I1020" s="100"/>
      <c r="J1020" s="100"/>
      <c r="K1020" s="100"/>
      <c r="O1020" s="103"/>
      <c r="P1020" s="101"/>
      <c r="Q1020" s="101"/>
      <c r="AA1020" s="15"/>
    </row>
    <row r="1021" spans="9:27" ht="14.25" customHeight="1" x14ac:dyDescent="0.25">
      <c r="I1021" s="100"/>
      <c r="J1021" s="100"/>
      <c r="K1021" s="100"/>
      <c r="O1021" s="103"/>
      <c r="P1021" s="101"/>
      <c r="Q1021" s="101"/>
      <c r="AA1021" s="15"/>
    </row>
    <row r="1022" spans="9:27" ht="14.25" customHeight="1" x14ac:dyDescent="0.25">
      <c r="I1022" s="100"/>
      <c r="J1022" s="100"/>
      <c r="K1022" s="100"/>
      <c r="O1022" s="103"/>
      <c r="P1022" s="101"/>
      <c r="Q1022" s="101"/>
      <c r="AA1022" s="15"/>
    </row>
    <row r="1023" spans="9:27" ht="14.25" customHeight="1" x14ac:dyDescent="0.25">
      <c r="I1023" s="100"/>
      <c r="J1023" s="100"/>
      <c r="K1023" s="100"/>
      <c r="O1023" s="103"/>
      <c r="P1023" s="101"/>
      <c r="Q1023" s="101"/>
      <c r="AA1023" s="15"/>
    </row>
    <row r="1024" spans="9:27" ht="14.25" customHeight="1" x14ac:dyDescent="0.25">
      <c r="I1024" s="100"/>
      <c r="J1024" s="100"/>
      <c r="K1024" s="100"/>
      <c r="O1024" s="103"/>
      <c r="P1024" s="101"/>
      <c r="Q1024" s="101"/>
      <c r="AA1024" s="15"/>
    </row>
    <row r="1025" spans="9:27" ht="14.25" customHeight="1" x14ac:dyDescent="0.25">
      <c r="I1025" s="100"/>
      <c r="J1025" s="100"/>
      <c r="K1025" s="100"/>
      <c r="O1025" s="103"/>
      <c r="P1025" s="101"/>
      <c r="Q1025" s="101"/>
      <c r="AA1025" s="15"/>
    </row>
    <row r="1026" spans="9:27" ht="14.25" customHeight="1" x14ac:dyDescent="0.25">
      <c r="I1026" s="100"/>
      <c r="J1026" s="100"/>
      <c r="K1026" s="100"/>
      <c r="O1026" s="103"/>
      <c r="P1026" s="101"/>
      <c r="Q1026" s="101"/>
      <c r="AA1026" s="15"/>
    </row>
    <row r="1027" spans="9:27" ht="14.25" customHeight="1" x14ac:dyDescent="0.25">
      <c r="I1027" s="100"/>
      <c r="J1027" s="100"/>
      <c r="K1027" s="100"/>
      <c r="O1027" s="103"/>
      <c r="P1027" s="101"/>
      <c r="Q1027" s="101"/>
      <c r="AA1027" s="15"/>
    </row>
    <row r="1028" spans="9:27" ht="14.25" customHeight="1" x14ac:dyDescent="0.25">
      <c r="I1028" s="100"/>
      <c r="J1028" s="100"/>
      <c r="K1028" s="100"/>
      <c r="O1028" s="103"/>
      <c r="P1028" s="101"/>
      <c r="Q1028" s="101"/>
      <c r="AA1028" s="15"/>
    </row>
    <row r="1029" spans="9:27" ht="14.25" customHeight="1" x14ac:dyDescent="0.25">
      <c r="I1029" s="100"/>
      <c r="J1029" s="100"/>
      <c r="K1029" s="100"/>
      <c r="O1029" s="103"/>
      <c r="P1029" s="101"/>
      <c r="Q1029" s="101"/>
      <c r="AA1029" s="15"/>
    </row>
    <row r="1030" spans="9:27" ht="14.25" customHeight="1" x14ac:dyDescent="0.25">
      <c r="I1030" s="100"/>
      <c r="J1030" s="100"/>
      <c r="K1030" s="100"/>
      <c r="O1030" s="103"/>
      <c r="P1030" s="101"/>
      <c r="Q1030" s="101"/>
      <c r="AA1030" s="15"/>
    </row>
    <row r="1031" spans="9:27" ht="14.25" customHeight="1" x14ac:dyDescent="0.25">
      <c r="I1031" s="100"/>
      <c r="J1031" s="100"/>
      <c r="K1031" s="100"/>
      <c r="O1031" s="103"/>
      <c r="P1031" s="101"/>
      <c r="Q1031" s="101"/>
      <c r="AA1031" s="15"/>
    </row>
    <row r="1032" spans="9:27" ht="14.25" customHeight="1" x14ac:dyDescent="0.25">
      <c r="I1032" s="100"/>
      <c r="J1032" s="100"/>
      <c r="K1032" s="100"/>
      <c r="O1032" s="103"/>
      <c r="P1032" s="101"/>
      <c r="Q1032" s="101"/>
      <c r="AA1032" s="15"/>
    </row>
    <row r="1033" spans="9:27" ht="14.25" customHeight="1" x14ac:dyDescent="0.25">
      <c r="I1033" s="100"/>
      <c r="J1033" s="100"/>
      <c r="K1033" s="100"/>
      <c r="O1033" s="103"/>
      <c r="P1033" s="101"/>
      <c r="Q1033" s="101"/>
      <c r="AA1033" s="15"/>
    </row>
    <row r="1034" spans="9:27" ht="14.25" customHeight="1" x14ac:dyDescent="0.25">
      <c r="I1034" s="100"/>
      <c r="J1034" s="100"/>
      <c r="K1034" s="100"/>
      <c r="O1034" s="103"/>
      <c r="P1034" s="101"/>
      <c r="Q1034" s="101"/>
      <c r="AA1034" s="15"/>
    </row>
    <row r="1035" spans="9:27" ht="14.25" customHeight="1" x14ac:dyDescent="0.25">
      <c r="I1035" s="100"/>
      <c r="J1035" s="100"/>
      <c r="K1035" s="100"/>
      <c r="O1035" s="103"/>
      <c r="P1035" s="101"/>
      <c r="Q1035" s="101"/>
      <c r="AA1035" s="15"/>
    </row>
    <row r="1036" spans="9:27" ht="14.25" customHeight="1" x14ac:dyDescent="0.25">
      <c r="I1036" s="100"/>
      <c r="J1036" s="100"/>
      <c r="K1036" s="100"/>
      <c r="O1036" s="103"/>
      <c r="P1036" s="101"/>
      <c r="Q1036" s="101"/>
      <c r="AA1036" s="15"/>
    </row>
    <row r="1037" spans="9:27" ht="14.25" customHeight="1" x14ac:dyDescent="0.25">
      <c r="I1037" s="100"/>
      <c r="J1037" s="100"/>
      <c r="K1037" s="100"/>
      <c r="O1037" s="103"/>
      <c r="P1037" s="101"/>
      <c r="Q1037" s="101"/>
      <c r="AA1037" s="15"/>
    </row>
    <row r="1038" spans="9:27" ht="14.25" customHeight="1" x14ac:dyDescent="0.25">
      <c r="I1038" s="100"/>
      <c r="J1038" s="100"/>
      <c r="K1038" s="100"/>
      <c r="O1038" s="103"/>
      <c r="P1038" s="101"/>
      <c r="Q1038" s="101"/>
      <c r="AA1038" s="15"/>
    </row>
    <row r="1039" spans="9:27" ht="14.25" customHeight="1" x14ac:dyDescent="0.25">
      <c r="I1039" s="100"/>
      <c r="J1039" s="100"/>
      <c r="K1039" s="100"/>
      <c r="O1039" s="103"/>
      <c r="P1039" s="101"/>
      <c r="Q1039" s="101"/>
      <c r="AA1039" s="15"/>
    </row>
    <row r="1040" spans="9:27" ht="14.25" customHeight="1" x14ac:dyDescent="0.25">
      <c r="I1040" s="100"/>
      <c r="J1040" s="100"/>
      <c r="K1040" s="100"/>
      <c r="O1040" s="103"/>
      <c r="P1040" s="101"/>
      <c r="Q1040" s="101"/>
      <c r="AA1040" s="15"/>
    </row>
    <row r="1041" spans="9:27" ht="14.25" customHeight="1" x14ac:dyDescent="0.25">
      <c r="I1041" s="100"/>
      <c r="J1041" s="100"/>
      <c r="K1041" s="100"/>
      <c r="O1041" s="103"/>
      <c r="P1041" s="101"/>
      <c r="Q1041" s="101"/>
      <c r="AA1041" s="15"/>
    </row>
    <row r="1042" spans="9:27" ht="14.25" customHeight="1" x14ac:dyDescent="0.25">
      <c r="I1042" s="100"/>
      <c r="J1042" s="100"/>
      <c r="K1042" s="100"/>
      <c r="O1042" s="103"/>
      <c r="P1042" s="101"/>
      <c r="Q1042" s="101"/>
      <c r="AA1042" s="15"/>
    </row>
    <row r="1043" spans="9:27" ht="14.25" customHeight="1" x14ac:dyDescent="0.25">
      <c r="I1043" s="100"/>
      <c r="J1043" s="100"/>
      <c r="K1043" s="100"/>
      <c r="O1043" s="103"/>
      <c r="P1043" s="101"/>
      <c r="Q1043" s="101"/>
      <c r="AA1043" s="15"/>
    </row>
    <row r="1044" spans="9:27" ht="14.25" customHeight="1" x14ac:dyDescent="0.25">
      <c r="I1044" s="100"/>
      <c r="J1044" s="100"/>
      <c r="K1044" s="100"/>
      <c r="O1044" s="103"/>
      <c r="P1044" s="101"/>
      <c r="Q1044" s="101"/>
      <c r="AA1044" s="15"/>
    </row>
    <row r="1045" spans="9:27" ht="14.25" customHeight="1" x14ac:dyDescent="0.25">
      <c r="I1045" s="100"/>
      <c r="J1045" s="100"/>
      <c r="K1045" s="100"/>
      <c r="O1045" s="103"/>
      <c r="P1045" s="101"/>
      <c r="Q1045" s="101"/>
      <c r="AA1045" s="15"/>
    </row>
    <row r="1046" spans="9:27" ht="14.25" customHeight="1" x14ac:dyDescent="0.25">
      <c r="I1046" s="100"/>
      <c r="J1046" s="100"/>
      <c r="K1046" s="100"/>
      <c r="O1046" s="103"/>
      <c r="P1046" s="101"/>
      <c r="Q1046" s="101"/>
      <c r="AA1046" s="15"/>
    </row>
    <row r="1047" spans="9:27" ht="14.25" customHeight="1" x14ac:dyDescent="0.25">
      <c r="I1047" s="100"/>
      <c r="J1047" s="100"/>
      <c r="K1047" s="100"/>
      <c r="O1047" s="103"/>
      <c r="P1047" s="101"/>
      <c r="Q1047" s="101"/>
      <c r="AA1047" s="15"/>
    </row>
    <row r="1048" spans="9:27" ht="14.25" customHeight="1" x14ac:dyDescent="0.25">
      <c r="I1048" s="100"/>
      <c r="J1048" s="100"/>
      <c r="K1048" s="100"/>
      <c r="O1048" s="103"/>
      <c r="P1048" s="101"/>
      <c r="Q1048" s="101"/>
      <c r="AA1048" s="15"/>
    </row>
    <row r="1049" spans="9:27" ht="14.25" customHeight="1" x14ac:dyDescent="0.25">
      <c r="I1049" s="100"/>
      <c r="J1049" s="100"/>
      <c r="K1049" s="100"/>
      <c r="O1049" s="103"/>
      <c r="P1049" s="101"/>
      <c r="Q1049" s="101"/>
      <c r="AA1049" s="15"/>
    </row>
    <row r="1050" spans="9:27" ht="14.25" customHeight="1" x14ac:dyDescent="0.25">
      <c r="I1050" s="100"/>
      <c r="J1050" s="100"/>
      <c r="K1050" s="100"/>
      <c r="O1050" s="103"/>
      <c r="P1050" s="101"/>
      <c r="Q1050" s="101"/>
      <c r="AA1050" s="15"/>
    </row>
  </sheetData>
  <mergeCells count="2">
    <mergeCell ref="B134:B137"/>
    <mergeCell ref="B138:B141"/>
  </mergeCells>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zoomScale="145" zoomScaleNormal="145" workbookViewId="0">
      <selection activeCell="A3" sqref="A3:O11"/>
    </sheetView>
  </sheetViews>
  <sheetFormatPr defaultColWidth="14.42578125" defaultRowHeight="15" customHeight="1" x14ac:dyDescent="0.25"/>
  <cols>
    <col min="1" max="1" width="10.42578125" customWidth="1"/>
    <col min="2" max="2" width="8.7109375" customWidth="1"/>
    <col min="3" max="3" width="9" customWidth="1"/>
    <col min="4" max="4" width="8.7109375" customWidth="1"/>
    <col min="5" max="5" width="9.140625" customWidth="1"/>
    <col min="6" max="18" width="8.7109375" customWidth="1"/>
    <col min="19" max="19" width="64.28515625" customWidth="1"/>
    <col min="20" max="26" width="8.7109375" customWidth="1"/>
  </cols>
  <sheetData>
    <row r="1" spans="1:19" ht="14.25" customHeight="1" x14ac:dyDescent="0.25">
      <c r="A1" s="104"/>
      <c r="B1" s="179" t="s">
        <v>442</v>
      </c>
      <c r="C1" s="180"/>
      <c r="D1" s="180"/>
      <c r="E1" s="180"/>
      <c r="F1" s="180"/>
      <c r="G1" s="180"/>
      <c r="H1" s="180"/>
      <c r="I1" s="181"/>
      <c r="J1" s="182" t="s">
        <v>443</v>
      </c>
      <c r="K1" s="180"/>
      <c r="L1" s="180"/>
      <c r="M1" s="180"/>
      <c r="N1" s="180"/>
      <c r="O1" s="180"/>
      <c r="P1" s="180"/>
      <c r="Q1" s="181"/>
      <c r="R1" s="105"/>
      <c r="S1" s="104"/>
    </row>
    <row r="2" spans="1:19" ht="14.25" customHeight="1" x14ac:dyDescent="0.25">
      <c r="A2" s="106" t="s">
        <v>444</v>
      </c>
      <c r="B2" s="11" t="s">
        <v>445</v>
      </c>
      <c r="C2" s="11" t="s">
        <v>446</v>
      </c>
      <c r="D2" s="11" t="s">
        <v>447</v>
      </c>
      <c r="E2" s="11" t="s">
        <v>448</v>
      </c>
      <c r="F2" s="11" t="s">
        <v>449</v>
      </c>
      <c r="G2" s="11" t="s">
        <v>450</v>
      </c>
      <c r="H2" s="11" t="s">
        <v>451</v>
      </c>
      <c r="I2" s="11" t="s">
        <v>452</v>
      </c>
      <c r="J2" s="107" t="s">
        <v>44</v>
      </c>
      <c r="K2" s="11" t="s">
        <v>46</v>
      </c>
      <c r="L2" s="11" t="s">
        <v>48</v>
      </c>
      <c r="M2" s="11" t="s">
        <v>51</v>
      </c>
      <c r="N2" s="11" t="s">
        <v>52</v>
      </c>
      <c r="O2" s="11" t="s">
        <v>54</v>
      </c>
      <c r="P2" s="11" t="s">
        <v>56</v>
      </c>
      <c r="Q2" s="11" t="s">
        <v>63</v>
      </c>
      <c r="R2" s="108" t="s">
        <v>339</v>
      </c>
      <c r="S2" s="106" t="s">
        <v>453</v>
      </c>
    </row>
    <row r="3" spans="1:19" ht="14.25" customHeight="1" x14ac:dyDescent="0.25">
      <c r="A3" s="109" t="s">
        <v>7</v>
      </c>
      <c r="B3" s="11">
        <v>9</v>
      </c>
      <c r="C3" s="11">
        <v>0</v>
      </c>
      <c r="D3" s="11">
        <v>0</v>
      </c>
      <c r="E3" s="11">
        <v>0</v>
      </c>
      <c r="F3" s="11">
        <v>0</v>
      </c>
      <c r="G3" s="11">
        <v>0</v>
      </c>
      <c r="H3" s="11">
        <v>0</v>
      </c>
      <c r="I3" s="11">
        <v>0</v>
      </c>
      <c r="J3" s="107"/>
      <c r="K3" s="11">
        <f t="shared" ref="K3:Q3" si="0">$B3*2 + SUM($C3:$I3) + C3*2</f>
        <v>18</v>
      </c>
      <c r="L3" s="11">
        <f t="shared" si="0"/>
        <v>18</v>
      </c>
      <c r="M3" s="11">
        <f t="shared" si="0"/>
        <v>18</v>
      </c>
      <c r="N3" s="11">
        <f t="shared" si="0"/>
        <v>18</v>
      </c>
      <c r="O3" s="11">
        <f t="shared" si="0"/>
        <v>18</v>
      </c>
      <c r="P3" s="11">
        <f t="shared" si="0"/>
        <v>18</v>
      </c>
      <c r="Q3" s="11">
        <f t="shared" si="0"/>
        <v>18</v>
      </c>
      <c r="R3" s="108"/>
      <c r="S3" s="106" t="e">
        <f ca="1">"Enemies drop a total of " &amp; _xludf.TEXTJOIN(", ", TRUE, B13:I13)</f>
        <v>#NAME?</v>
      </c>
    </row>
    <row r="4" spans="1:19" ht="14.25" customHeight="1" x14ac:dyDescent="0.25">
      <c r="A4" s="109" t="s">
        <v>454</v>
      </c>
      <c r="B4" s="11">
        <v>0</v>
      </c>
      <c r="C4" s="11">
        <v>0</v>
      </c>
      <c r="D4" s="11">
        <v>0</v>
      </c>
      <c r="E4" s="11">
        <v>0</v>
      </c>
      <c r="F4" s="11">
        <v>0</v>
      </c>
      <c r="G4" s="11">
        <v>0</v>
      </c>
      <c r="H4" s="11">
        <v>0</v>
      </c>
      <c r="I4" s="11">
        <v>0</v>
      </c>
      <c r="J4" s="107"/>
      <c r="K4" s="11">
        <f t="shared" ref="K4:Q4" si="1">$B4*2 + SUM($C4:$I4) + C4*2</f>
        <v>0</v>
      </c>
      <c r="L4" s="11">
        <f t="shared" si="1"/>
        <v>0</v>
      </c>
      <c r="M4" s="11">
        <f t="shared" si="1"/>
        <v>0</v>
      </c>
      <c r="N4" s="11">
        <f t="shared" si="1"/>
        <v>0</v>
      </c>
      <c r="O4" s="11">
        <f t="shared" si="1"/>
        <v>0</v>
      </c>
      <c r="P4" s="11">
        <f t="shared" si="1"/>
        <v>0</v>
      </c>
      <c r="Q4" s="11">
        <f t="shared" si="1"/>
        <v>0</v>
      </c>
      <c r="R4" s="108"/>
      <c r="S4" s="106" t="s">
        <v>455</v>
      </c>
    </row>
    <row r="5" spans="1:19" ht="14.25" customHeight="1" x14ac:dyDescent="0.25">
      <c r="A5" s="109" t="s">
        <v>456</v>
      </c>
      <c r="B5" s="11">
        <f>'Energy Recharge Calculator'!E3</f>
        <v>9</v>
      </c>
      <c r="C5" s="11">
        <v>0</v>
      </c>
      <c r="D5" s="11">
        <v>0</v>
      </c>
      <c r="E5" s="11">
        <v>0</v>
      </c>
      <c r="F5" s="11">
        <v>0</v>
      </c>
      <c r="G5" s="11">
        <v>0</v>
      </c>
      <c r="H5" s="11">
        <v>0</v>
      </c>
      <c r="I5" s="11">
        <v>0</v>
      </c>
      <c r="J5" s="107"/>
      <c r="K5" s="11">
        <f t="shared" ref="K5:Q5" si="2">$B5*2 + SUM($C5:$I5) + C5*2</f>
        <v>18</v>
      </c>
      <c r="L5" s="11">
        <f t="shared" si="2"/>
        <v>18</v>
      </c>
      <c r="M5" s="11">
        <f t="shared" si="2"/>
        <v>18</v>
      </c>
      <c r="N5" s="11">
        <f t="shared" si="2"/>
        <v>18</v>
      </c>
      <c r="O5" s="11">
        <f t="shared" si="2"/>
        <v>18</v>
      </c>
      <c r="P5" s="11">
        <f t="shared" si="2"/>
        <v>18</v>
      </c>
      <c r="Q5" s="11">
        <f t="shared" si="2"/>
        <v>18</v>
      </c>
      <c r="R5" s="108"/>
      <c r="S5" s="106" t="s">
        <v>457</v>
      </c>
    </row>
    <row r="6" spans="1:19" ht="14.25" customHeight="1" x14ac:dyDescent="0.25">
      <c r="A6" s="110"/>
      <c r="B6" s="11"/>
      <c r="C6" s="11"/>
      <c r="D6" s="11"/>
      <c r="E6" s="11"/>
      <c r="F6" s="11"/>
      <c r="G6" s="11"/>
      <c r="H6" s="11"/>
      <c r="I6" s="11"/>
      <c r="J6" s="107"/>
      <c r="K6" s="11">
        <f t="shared" ref="K6:Q6" si="3">$B6*2 + SUM($C6:$I6) + C6*2</f>
        <v>0</v>
      </c>
      <c r="L6" s="11">
        <f t="shared" si="3"/>
        <v>0</v>
      </c>
      <c r="M6" s="11">
        <f t="shared" si="3"/>
        <v>0</v>
      </c>
      <c r="N6" s="11">
        <f t="shared" si="3"/>
        <v>0</v>
      </c>
      <c r="O6" s="11">
        <f t="shared" si="3"/>
        <v>0</v>
      </c>
      <c r="P6" s="11">
        <f t="shared" si="3"/>
        <v>0</v>
      </c>
      <c r="Q6" s="11">
        <f t="shared" si="3"/>
        <v>0</v>
      </c>
      <c r="R6" s="108"/>
      <c r="S6" s="106" t="e">
        <f t="shared" ref="S6:S11" ca="1" si="4">"Enemies drop a total of " &amp; _xludf.TEXTJOIN(", ", TRUE, B16:I16)</f>
        <v>#NAME?</v>
      </c>
    </row>
    <row r="7" spans="1:19" ht="14.25" customHeight="1" x14ac:dyDescent="0.25">
      <c r="A7" s="111"/>
      <c r="B7" s="11"/>
      <c r="C7" s="11"/>
      <c r="D7" s="11"/>
      <c r="E7" s="11"/>
      <c r="F7" s="11"/>
      <c r="G7" s="11"/>
      <c r="H7" s="11"/>
      <c r="I7" s="11"/>
      <c r="J7" s="107"/>
      <c r="K7" s="11">
        <f t="shared" ref="K7:Q7" si="5">$B7*2 + SUM($C7:$I7) + C7*2</f>
        <v>0</v>
      </c>
      <c r="L7" s="11">
        <f t="shared" si="5"/>
        <v>0</v>
      </c>
      <c r="M7" s="11">
        <f t="shared" si="5"/>
        <v>0</v>
      </c>
      <c r="N7" s="11">
        <f t="shared" si="5"/>
        <v>0</v>
      </c>
      <c r="O7" s="11">
        <f t="shared" si="5"/>
        <v>0</v>
      </c>
      <c r="P7" s="11">
        <f t="shared" si="5"/>
        <v>0</v>
      </c>
      <c r="Q7" s="11">
        <f t="shared" si="5"/>
        <v>0</v>
      </c>
      <c r="R7" s="108"/>
      <c r="S7" s="106" t="e">
        <f t="shared" ca="1" si="4"/>
        <v>#NAME?</v>
      </c>
    </row>
    <row r="8" spans="1:19" ht="14.25" customHeight="1" x14ac:dyDescent="0.25">
      <c r="A8" s="110"/>
      <c r="B8" s="11"/>
      <c r="C8" s="11"/>
      <c r="D8" s="11"/>
      <c r="E8" s="11"/>
      <c r="F8" s="11"/>
      <c r="G8" s="11"/>
      <c r="H8" s="11"/>
      <c r="I8" s="11"/>
      <c r="J8" s="107"/>
      <c r="K8" s="11">
        <f t="shared" ref="K8:Q8" si="6">$B8*2 + SUM($C8:$I8) + C8*2</f>
        <v>0</v>
      </c>
      <c r="L8" s="11">
        <f t="shared" si="6"/>
        <v>0</v>
      </c>
      <c r="M8" s="11">
        <f t="shared" si="6"/>
        <v>0</v>
      </c>
      <c r="N8" s="11">
        <f t="shared" si="6"/>
        <v>0</v>
      </c>
      <c r="O8" s="11">
        <f t="shared" si="6"/>
        <v>0</v>
      </c>
      <c r="P8" s="11">
        <f t="shared" si="6"/>
        <v>0</v>
      </c>
      <c r="Q8" s="11">
        <f t="shared" si="6"/>
        <v>0</v>
      </c>
      <c r="R8" s="108"/>
      <c r="S8" s="106" t="e">
        <f t="shared" ca="1" si="4"/>
        <v>#NAME?</v>
      </c>
    </row>
    <row r="9" spans="1:19" ht="14.25" customHeight="1" x14ac:dyDescent="0.25">
      <c r="A9" s="111"/>
      <c r="B9" s="11"/>
      <c r="C9" s="11"/>
      <c r="D9" s="11"/>
      <c r="E9" s="11"/>
      <c r="F9" s="11"/>
      <c r="G9" s="11"/>
      <c r="H9" s="11"/>
      <c r="I9" s="11"/>
      <c r="J9" s="107"/>
      <c r="K9" s="11">
        <f t="shared" ref="K9:Q9" si="7">$B9*2 + SUM($C9:$I9) + C9*2</f>
        <v>0</v>
      </c>
      <c r="L9" s="11">
        <f t="shared" si="7"/>
        <v>0</v>
      </c>
      <c r="M9" s="11">
        <f t="shared" si="7"/>
        <v>0</v>
      </c>
      <c r="N9" s="11">
        <f t="shared" si="7"/>
        <v>0</v>
      </c>
      <c r="O9" s="11">
        <f t="shared" si="7"/>
        <v>0</v>
      </c>
      <c r="P9" s="11">
        <f t="shared" si="7"/>
        <v>0</v>
      </c>
      <c r="Q9" s="11">
        <f t="shared" si="7"/>
        <v>0</v>
      </c>
      <c r="R9" s="108"/>
      <c r="S9" s="106" t="e">
        <f t="shared" ca="1" si="4"/>
        <v>#NAME?</v>
      </c>
    </row>
    <row r="10" spans="1:19" ht="14.25" customHeight="1" x14ac:dyDescent="0.25">
      <c r="A10" s="110"/>
      <c r="B10" s="11"/>
      <c r="C10" s="11"/>
      <c r="D10" s="11"/>
      <c r="E10" s="11"/>
      <c r="F10" s="11"/>
      <c r="G10" s="11"/>
      <c r="H10" s="11"/>
      <c r="I10" s="11"/>
      <c r="J10" s="107"/>
      <c r="K10" s="11">
        <f t="shared" ref="K10:Q10" si="8">$B10*2 + SUM($C10:$I10) + C10*2</f>
        <v>0</v>
      </c>
      <c r="L10" s="11">
        <f t="shared" si="8"/>
        <v>0</v>
      </c>
      <c r="M10" s="11">
        <f t="shared" si="8"/>
        <v>0</v>
      </c>
      <c r="N10" s="11">
        <f t="shared" si="8"/>
        <v>0</v>
      </c>
      <c r="O10" s="11">
        <f t="shared" si="8"/>
        <v>0</v>
      </c>
      <c r="P10" s="11">
        <f t="shared" si="8"/>
        <v>0</v>
      </c>
      <c r="Q10" s="11">
        <f t="shared" si="8"/>
        <v>0</v>
      </c>
      <c r="R10" s="108"/>
      <c r="S10" s="106" t="e">
        <f t="shared" ca="1" si="4"/>
        <v>#NAME?</v>
      </c>
    </row>
    <row r="11" spans="1:19" ht="14.25" customHeight="1" x14ac:dyDescent="0.25">
      <c r="A11" s="112"/>
      <c r="B11" s="113"/>
      <c r="C11" s="113"/>
      <c r="D11" s="113"/>
      <c r="E11" s="113"/>
      <c r="F11" s="113"/>
      <c r="G11" s="113"/>
      <c r="H11" s="113"/>
      <c r="I11" s="113"/>
      <c r="J11" s="114"/>
      <c r="K11" s="113">
        <f t="shared" ref="K11:Q11" si="9">$B11*2 + SUM($C11:$I11) + C11*2</f>
        <v>0</v>
      </c>
      <c r="L11" s="113">
        <f t="shared" si="9"/>
        <v>0</v>
      </c>
      <c r="M11" s="113">
        <f t="shared" si="9"/>
        <v>0</v>
      </c>
      <c r="N11" s="113">
        <f t="shared" si="9"/>
        <v>0</v>
      </c>
      <c r="O11" s="113">
        <f t="shared" si="9"/>
        <v>0</v>
      </c>
      <c r="P11" s="113">
        <f t="shared" si="9"/>
        <v>0</v>
      </c>
      <c r="Q11" s="113">
        <f t="shared" si="9"/>
        <v>0</v>
      </c>
      <c r="R11" s="115"/>
      <c r="S11" s="116" t="e">
        <f t="shared" ca="1" si="4"/>
        <v>#NAME?</v>
      </c>
    </row>
    <row r="12" spans="1:19" ht="14.25" customHeight="1" x14ac:dyDescent="0.25">
      <c r="A12" s="84"/>
    </row>
    <row r="13" spans="1:19" ht="14.25" hidden="1" customHeight="1" x14ac:dyDescent="0.25">
      <c r="A13" s="117" t="str">
        <f t="shared" ref="A13:A21" si="10">A3</f>
        <v>Default</v>
      </c>
      <c r="B13" s="11" t="str">
        <f t="shared" ref="B13:I13" si="11">IF(B3&gt;0, B3 &amp; " " &amp; LOWER(J$2) &amp; " particles", "")</f>
        <v>9 clear particles</v>
      </c>
      <c r="C13" s="11" t="str">
        <f t="shared" si="11"/>
        <v/>
      </c>
      <c r="D13" s="11" t="str">
        <f t="shared" si="11"/>
        <v/>
      </c>
      <c r="E13" s="11" t="str">
        <f t="shared" si="11"/>
        <v/>
      </c>
      <c r="F13" s="11" t="str">
        <f t="shared" si="11"/>
        <v/>
      </c>
      <c r="G13" s="11" t="str">
        <f t="shared" si="11"/>
        <v/>
      </c>
      <c r="H13" s="11" t="str">
        <f t="shared" si="11"/>
        <v/>
      </c>
      <c r="I13" s="11" t="str">
        <f t="shared" si="11"/>
        <v/>
      </c>
    </row>
    <row r="14" spans="1:19" ht="14.25" hidden="1" customHeight="1" x14ac:dyDescent="0.25">
      <c r="A14" s="117" t="str">
        <f t="shared" si="10"/>
        <v>No Particles</v>
      </c>
      <c r="B14" s="11" t="str">
        <f t="shared" ref="B14:I14" si="12">IF(B4&gt;0, B4 &amp; " " &amp; LOWER(J$2) &amp; " particles", "")</f>
        <v/>
      </c>
      <c r="C14" s="11" t="str">
        <f t="shared" si="12"/>
        <v/>
      </c>
      <c r="D14" s="11" t="str">
        <f t="shared" si="12"/>
        <v/>
      </c>
      <c r="E14" s="11" t="str">
        <f t="shared" si="12"/>
        <v/>
      </c>
      <c r="F14" s="11" t="str">
        <f t="shared" si="12"/>
        <v/>
      </c>
      <c r="G14" s="11" t="str">
        <f t="shared" si="12"/>
        <v/>
      </c>
      <c r="H14" s="11" t="str">
        <f t="shared" si="12"/>
        <v/>
      </c>
      <c r="I14" s="11" t="str">
        <f t="shared" si="12"/>
        <v/>
      </c>
    </row>
    <row r="15" spans="1:19" ht="14.25" hidden="1" customHeight="1" x14ac:dyDescent="0.25">
      <c r="A15" s="117" t="str">
        <f t="shared" si="10"/>
        <v>Custom</v>
      </c>
      <c r="B15" s="11" t="str">
        <f t="shared" ref="B15:I15" si="13">IF(B5&gt;0, B5 &amp; " " &amp; LOWER(J$2) &amp; " particles", "")</f>
        <v>9 clear particles</v>
      </c>
      <c r="C15" s="11" t="str">
        <f t="shared" si="13"/>
        <v/>
      </c>
      <c r="D15" s="11" t="str">
        <f t="shared" si="13"/>
        <v/>
      </c>
      <c r="E15" s="11" t="str">
        <f t="shared" si="13"/>
        <v/>
      </c>
      <c r="F15" s="11" t="str">
        <f t="shared" si="13"/>
        <v/>
      </c>
      <c r="G15" s="11" t="str">
        <f t="shared" si="13"/>
        <v/>
      </c>
      <c r="H15" s="11" t="str">
        <f t="shared" si="13"/>
        <v/>
      </c>
      <c r="I15" s="11" t="str">
        <f t="shared" si="13"/>
        <v/>
      </c>
    </row>
    <row r="16" spans="1:19" ht="14.25" hidden="1" customHeight="1" x14ac:dyDescent="0.25">
      <c r="A16" s="117">
        <f t="shared" si="10"/>
        <v>0</v>
      </c>
      <c r="B16" s="11" t="str">
        <f t="shared" ref="B16:I16" si="14">IF(B6&gt;0, B6 &amp; " " &amp; LOWER(J$2) &amp; " particles", "")</f>
        <v/>
      </c>
      <c r="C16" s="11" t="str">
        <f t="shared" si="14"/>
        <v/>
      </c>
      <c r="D16" s="11" t="str">
        <f t="shared" si="14"/>
        <v/>
      </c>
      <c r="E16" s="11" t="str">
        <f t="shared" si="14"/>
        <v/>
      </c>
      <c r="F16" s="11" t="str">
        <f t="shared" si="14"/>
        <v/>
      </c>
      <c r="G16" s="11" t="str">
        <f t="shared" si="14"/>
        <v/>
      </c>
      <c r="H16" s="11" t="str">
        <f t="shared" si="14"/>
        <v/>
      </c>
      <c r="I16" s="11" t="str">
        <f t="shared" si="14"/>
        <v/>
      </c>
    </row>
    <row r="17" spans="1:19" ht="14.25" hidden="1" customHeight="1" x14ac:dyDescent="0.25">
      <c r="A17" s="117">
        <f t="shared" si="10"/>
        <v>0</v>
      </c>
      <c r="B17" s="11" t="str">
        <f t="shared" ref="B17:I17" si="15">IF(B7&gt;0, B7 &amp; " " &amp; LOWER(J$2) &amp; " particles", "")</f>
        <v/>
      </c>
      <c r="C17" s="11" t="str">
        <f t="shared" si="15"/>
        <v/>
      </c>
      <c r="D17" s="11" t="str">
        <f t="shared" si="15"/>
        <v/>
      </c>
      <c r="E17" s="11" t="str">
        <f t="shared" si="15"/>
        <v/>
      </c>
      <c r="F17" s="11" t="str">
        <f t="shared" si="15"/>
        <v/>
      </c>
      <c r="G17" s="11" t="str">
        <f t="shared" si="15"/>
        <v/>
      </c>
      <c r="H17" s="11" t="str">
        <f t="shared" si="15"/>
        <v/>
      </c>
      <c r="I17" s="11" t="str">
        <f t="shared" si="15"/>
        <v/>
      </c>
    </row>
    <row r="18" spans="1:19" ht="14.25" hidden="1" customHeight="1" x14ac:dyDescent="0.25">
      <c r="A18" s="117">
        <f t="shared" si="10"/>
        <v>0</v>
      </c>
      <c r="B18" s="11" t="str">
        <f t="shared" ref="B18:I18" si="16">IF(B8&gt;0, B8 &amp; " " &amp; LOWER(J$2) &amp; " particles", "")</f>
        <v/>
      </c>
      <c r="C18" s="11" t="str">
        <f t="shared" si="16"/>
        <v/>
      </c>
      <c r="D18" s="11" t="str">
        <f t="shared" si="16"/>
        <v/>
      </c>
      <c r="E18" s="11" t="str">
        <f t="shared" si="16"/>
        <v/>
      </c>
      <c r="F18" s="11" t="str">
        <f t="shared" si="16"/>
        <v/>
      </c>
      <c r="G18" s="11" t="str">
        <f t="shared" si="16"/>
        <v/>
      </c>
      <c r="H18" s="11" t="str">
        <f t="shared" si="16"/>
        <v/>
      </c>
      <c r="I18" s="11" t="str">
        <f t="shared" si="16"/>
        <v/>
      </c>
    </row>
    <row r="19" spans="1:19" ht="14.25" hidden="1" customHeight="1" x14ac:dyDescent="0.25">
      <c r="A19" s="117">
        <f t="shared" si="10"/>
        <v>0</v>
      </c>
      <c r="B19" s="11" t="str">
        <f t="shared" ref="B19:I19" si="17">IF(B9&gt;0, B9 &amp; " " &amp; LOWER(J$2) &amp; " particles", "")</f>
        <v/>
      </c>
      <c r="C19" s="11" t="str">
        <f t="shared" si="17"/>
        <v/>
      </c>
      <c r="D19" s="11" t="str">
        <f t="shared" si="17"/>
        <v/>
      </c>
      <c r="E19" s="11" t="str">
        <f t="shared" si="17"/>
        <v/>
      </c>
      <c r="F19" s="11" t="str">
        <f t="shared" si="17"/>
        <v/>
      </c>
      <c r="G19" s="11" t="str">
        <f t="shared" si="17"/>
        <v/>
      </c>
      <c r="H19" s="11" t="str">
        <f t="shared" si="17"/>
        <v/>
      </c>
      <c r="I19" s="11" t="str">
        <f t="shared" si="17"/>
        <v/>
      </c>
    </row>
    <row r="20" spans="1:19" ht="14.25" hidden="1" customHeight="1" x14ac:dyDescent="0.25">
      <c r="A20" s="117">
        <f t="shared" si="10"/>
        <v>0</v>
      </c>
      <c r="B20" s="11" t="str">
        <f t="shared" ref="B20:I20" si="18">IF(B10&gt;0, B10 &amp; " " &amp; LOWER(J$2) &amp; " particles", "")</f>
        <v/>
      </c>
      <c r="C20" s="11" t="str">
        <f t="shared" si="18"/>
        <v/>
      </c>
      <c r="D20" s="11" t="str">
        <f t="shared" si="18"/>
        <v/>
      </c>
      <c r="E20" s="11" t="str">
        <f t="shared" si="18"/>
        <v/>
      </c>
      <c r="F20" s="11" t="str">
        <f t="shared" si="18"/>
        <v/>
      </c>
      <c r="G20" s="11" t="str">
        <f t="shared" si="18"/>
        <v/>
      </c>
      <c r="H20" s="11" t="str">
        <f t="shared" si="18"/>
        <v/>
      </c>
      <c r="I20" s="11" t="str">
        <f t="shared" si="18"/>
        <v/>
      </c>
    </row>
    <row r="21" spans="1:19" ht="14.25" hidden="1" customHeight="1" x14ac:dyDescent="0.25">
      <c r="A21" s="117">
        <f t="shared" si="10"/>
        <v>0</v>
      </c>
      <c r="B21" s="11" t="str">
        <f t="shared" ref="B21:I21" si="19">IF(B11&gt;0, B11 &amp; " " &amp; LOWER(J$2) &amp; " particles", "")</f>
        <v/>
      </c>
      <c r="C21" s="11" t="str">
        <f t="shared" si="19"/>
        <v/>
      </c>
      <c r="D21" s="11" t="str">
        <f t="shared" si="19"/>
        <v/>
      </c>
      <c r="E21" s="11" t="str">
        <f t="shared" si="19"/>
        <v/>
      </c>
      <c r="F21" s="11" t="str">
        <f t="shared" si="19"/>
        <v/>
      </c>
      <c r="G21" s="11" t="str">
        <f t="shared" si="19"/>
        <v/>
      </c>
      <c r="H21" s="11" t="str">
        <f t="shared" si="19"/>
        <v/>
      </c>
      <c r="I21" s="11" t="str">
        <f t="shared" si="19"/>
        <v/>
      </c>
    </row>
    <row r="22" spans="1:19" ht="14.25" customHeight="1" x14ac:dyDescent="0.25">
      <c r="B22" s="183" t="s">
        <v>458</v>
      </c>
      <c r="C22" s="170"/>
      <c r="D22" s="170"/>
      <c r="E22" s="170"/>
      <c r="F22" s="170"/>
      <c r="G22" s="170"/>
      <c r="H22" s="170"/>
      <c r="I22" s="171"/>
      <c r="J22" s="183" t="s">
        <v>459</v>
      </c>
      <c r="K22" s="170"/>
      <c r="L22" s="170"/>
      <c r="M22" s="170"/>
      <c r="N22" s="170"/>
      <c r="O22" s="170"/>
      <c r="P22" s="170"/>
      <c r="Q22" s="170"/>
      <c r="R22" s="170"/>
      <c r="S22" s="171"/>
    </row>
    <row r="23" spans="1:19" ht="14.25" customHeight="1" x14ac:dyDescent="0.25">
      <c r="A23" s="118" t="s">
        <v>460</v>
      </c>
    </row>
    <row r="24" spans="1:19" ht="14.25" customHeight="1" x14ac:dyDescent="0.25">
      <c r="A24" s="119" t="s">
        <v>461</v>
      </c>
    </row>
    <row r="25" spans="1:19" ht="14.25" customHeight="1" x14ac:dyDescent="0.25">
      <c r="A25" s="118" t="s">
        <v>462</v>
      </c>
    </row>
    <row r="26" spans="1:19" ht="14.25" customHeight="1" x14ac:dyDescent="0.25">
      <c r="A26" s="119" t="s">
        <v>463</v>
      </c>
    </row>
    <row r="27" spans="1:19" ht="14.25" customHeight="1" x14ac:dyDescent="0.25">
      <c r="A27" s="118" t="s">
        <v>464</v>
      </c>
    </row>
    <row r="28" spans="1:19" ht="14.25" customHeight="1" x14ac:dyDescent="0.25">
      <c r="A28" s="120" t="s">
        <v>465</v>
      </c>
    </row>
    <row r="29" spans="1:19" ht="14.25" customHeight="1" x14ac:dyDescent="0.25"/>
    <row r="30" spans="1:19" ht="14.25" customHeight="1" x14ac:dyDescent="0.25">
      <c r="A30" s="11" t="s">
        <v>466</v>
      </c>
    </row>
    <row r="31" spans="1:19" ht="14.25" customHeight="1" x14ac:dyDescent="0.25"/>
    <row r="32" spans="1: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B1:I1"/>
    <mergeCell ref="J1:Q1"/>
    <mergeCell ref="B22:I22"/>
    <mergeCell ref="J22:S22"/>
  </mergeCells>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04"/>
  <sheetViews>
    <sheetView workbookViewId="0">
      <selection activeCell="M55" sqref="M55"/>
    </sheetView>
  </sheetViews>
  <sheetFormatPr defaultColWidth="14.42578125" defaultRowHeight="15" customHeight="1" x14ac:dyDescent="0.25"/>
  <cols>
    <col min="1" max="26" width="8.7109375" customWidth="1"/>
  </cols>
  <sheetData>
    <row r="1" spans="1:26" ht="14.25" customHeight="1" x14ac:dyDescent="0.25">
      <c r="A1" s="121" t="s">
        <v>112</v>
      </c>
      <c r="B1" s="10"/>
      <c r="C1" s="10"/>
      <c r="D1" s="10"/>
      <c r="E1" s="10"/>
      <c r="F1" s="10"/>
      <c r="G1" s="10"/>
      <c r="H1" s="10"/>
      <c r="I1" s="10"/>
      <c r="J1" s="10"/>
      <c r="K1" s="10"/>
      <c r="L1" s="10"/>
      <c r="M1" s="10"/>
      <c r="N1" s="10"/>
      <c r="O1" s="10"/>
      <c r="P1" s="10"/>
      <c r="Q1" s="10"/>
      <c r="R1" s="10"/>
      <c r="S1" s="10"/>
      <c r="T1" s="10"/>
      <c r="U1" s="10"/>
      <c r="V1" s="10"/>
      <c r="W1" s="10"/>
      <c r="X1" s="10"/>
      <c r="Y1" s="10"/>
      <c r="Z1" s="10"/>
    </row>
    <row r="2" spans="1:26" ht="14.25" customHeight="1" x14ac:dyDescent="0.25">
      <c r="A2" s="10" t="s">
        <v>467</v>
      </c>
      <c r="B2" s="10"/>
      <c r="C2" s="10"/>
      <c r="D2" s="10"/>
      <c r="E2" s="10"/>
      <c r="F2" s="10"/>
      <c r="G2" s="10"/>
      <c r="H2" s="10"/>
      <c r="I2" s="10"/>
      <c r="J2" s="10"/>
      <c r="K2" s="10"/>
      <c r="L2" s="10"/>
      <c r="M2" s="10"/>
      <c r="N2" s="10"/>
      <c r="O2" s="10"/>
      <c r="P2" s="10"/>
      <c r="Q2" s="10"/>
      <c r="R2" s="10"/>
      <c r="S2" s="10"/>
      <c r="T2" s="10"/>
      <c r="U2" s="10"/>
      <c r="V2" s="10"/>
      <c r="W2" s="10"/>
      <c r="X2" s="10"/>
      <c r="Y2" s="10"/>
      <c r="Z2" s="10"/>
    </row>
    <row r="3" spans="1:26" ht="14.25" customHeight="1" x14ac:dyDescent="0.25">
      <c r="A3" s="121"/>
      <c r="B3" s="10"/>
      <c r="C3" s="10"/>
      <c r="D3" s="10"/>
      <c r="E3" s="10"/>
      <c r="F3" s="10"/>
      <c r="G3" s="10"/>
      <c r="H3" s="10"/>
      <c r="I3" s="10"/>
      <c r="J3" s="10"/>
      <c r="K3" s="10"/>
      <c r="L3" s="10"/>
      <c r="M3" s="10"/>
      <c r="N3" s="10"/>
      <c r="O3" s="10"/>
      <c r="P3" s="10"/>
      <c r="Q3" s="10"/>
      <c r="R3" s="10"/>
      <c r="S3" s="10"/>
      <c r="T3" s="10"/>
      <c r="U3" s="10"/>
      <c r="V3" s="10"/>
      <c r="W3" s="10"/>
      <c r="X3" s="10"/>
      <c r="Y3" s="10"/>
      <c r="Z3" s="10"/>
    </row>
    <row r="4" spans="1:26" ht="14.25" customHeight="1" x14ac:dyDescent="0.25">
      <c r="A4" s="121" t="s">
        <v>468</v>
      </c>
      <c r="B4" s="10"/>
      <c r="C4" s="10"/>
      <c r="D4" s="10"/>
      <c r="E4" s="10"/>
      <c r="F4" s="10"/>
      <c r="G4" s="10"/>
      <c r="H4" s="10"/>
      <c r="I4" s="10"/>
      <c r="J4" s="10"/>
      <c r="K4" s="10"/>
      <c r="L4" s="10"/>
      <c r="M4" s="10"/>
      <c r="N4" s="10"/>
      <c r="O4" s="10"/>
      <c r="P4" s="10"/>
      <c r="Q4" s="10"/>
      <c r="R4" s="10"/>
      <c r="S4" s="10"/>
      <c r="T4" s="10"/>
      <c r="U4" s="10"/>
      <c r="V4" s="10"/>
      <c r="W4" s="10"/>
      <c r="X4" s="10"/>
      <c r="Y4" s="10"/>
      <c r="Z4" s="10"/>
    </row>
    <row r="5" spans="1:26" ht="14.25" customHeight="1" x14ac:dyDescent="0.25">
      <c r="A5" s="10" t="s">
        <v>469</v>
      </c>
      <c r="B5" s="10"/>
      <c r="C5" s="10"/>
      <c r="D5" s="10"/>
      <c r="E5" s="10"/>
      <c r="F5" s="10"/>
      <c r="G5" s="10"/>
      <c r="H5" s="10"/>
      <c r="I5" s="10"/>
      <c r="J5" s="10"/>
      <c r="K5" s="10"/>
      <c r="L5" s="10"/>
      <c r="M5" s="10"/>
      <c r="N5" s="10"/>
      <c r="O5" s="10"/>
      <c r="P5" s="10"/>
      <c r="Q5" s="10"/>
      <c r="R5" s="10"/>
      <c r="S5" s="10"/>
      <c r="T5" s="10"/>
      <c r="U5" s="10"/>
      <c r="V5" s="10"/>
      <c r="W5" s="10"/>
      <c r="X5" s="10"/>
      <c r="Y5" s="10"/>
      <c r="Z5" s="10"/>
    </row>
    <row r="6" spans="1:26" ht="14.25" customHeight="1" x14ac:dyDescent="0.25">
      <c r="A6" s="121"/>
      <c r="B6" s="10"/>
      <c r="C6" s="10"/>
      <c r="D6" s="10"/>
      <c r="E6" s="10"/>
      <c r="F6" s="10"/>
      <c r="G6" s="10"/>
      <c r="H6" s="10"/>
      <c r="I6" s="10"/>
      <c r="J6" s="10"/>
      <c r="K6" s="10"/>
      <c r="L6" s="10"/>
      <c r="M6" s="10"/>
      <c r="N6" s="10"/>
      <c r="O6" s="10"/>
      <c r="P6" s="10"/>
      <c r="Q6" s="10"/>
      <c r="R6" s="10"/>
      <c r="S6" s="10"/>
      <c r="T6" s="10"/>
      <c r="U6" s="10"/>
      <c r="V6" s="10"/>
      <c r="W6" s="10"/>
      <c r="X6" s="10"/>
      <c r="Y6" s="10"/>
      <c r="Z6" s="10"/>
    </row>
    <row r="7" spans="1:26" ht="14.25" customHeight="1" x14ac:dyDescent="0.25">
      <c r="A7" s="121" t="s">
        <v>470</v>
      </c>
      <c r="B7" s="10"/>
      <c r="C7" s="10"/>
      <c r="D7" s="10"/>
      <c r="E7" s="10"/>
      <c r="F7" s="10"/>
      <c r="G7" s="10"/>
      <c r="H7" s="10"/>
      <c r="I7" s="10"/>
      <c r="J7" s="10"/>
      <c r="K7" s="10"/>
      <c r="L7" s="10"/>
      <c r="M7" s="10"/>
      <c r="N7" s="10"/>
      <c r="O7" s="10"/>
      <c r="P7" s="10"/>
      <c r="Q7" s="10"/>
      <c r="R7" s="10"/>
      <c r="S7" s="10"/>
      <c r="T7" s="10"/>
      <c r="U7" s="10"/>
      <c r="V7" s="10"/>
      <c r="W7" s="10"/>
      <c r="X7" s="10"/>
      <c r="Y7" s="10"/>
      <c r="Z7" s="10"/>
    </row>
    <row r="8" spans="1:26" ht="14.25" customHeight="1" x14ac:dyDescent="0.25">
      <c r="A8" s="10" t="s">
        <v>471</v>
      </c>
      <c r="B8" s="10"/>
      <c r="C8" s="10"/>
      <c r="D8" s="10"/>
      <c r="E8" s="10"/>
      <c r="F8" s="10"/>
      <c r="G8" s="10"/>
      <c r="H8" s="10"/>
      <c r="I8" s="10"/>
      <c r="J8" s="10"/>
      <c r="K8" s="10"/>
      <c r="L8" s="10"/>
      <c r="M8" s="10"/>
      <c r="N8" s="10"/>
      <c r="O8" s="10"/>
      <c r="P8" s="10"/>
      <c r="Q8" s="10"/>
      <c r="R8" s="10"/>
      <c r="S8" s="10"/>
      <c r="T8" s="10"/>
      <c r="U8" s="10"/>
      <c r="V8" s="10"/>
      <c r="W8" s="10"/>
      <c r="X8" s="10"/>
      <c r="Y8" s="10"/>
      <c r="Z8" s="10"/>
    </row>
    <row r="9" spans="1:26" ht="14.25" customHeight="1" x14ac:dyDescent="0.25">
      <c r="A9" s="121"/>
      <c r="B9" s="10"/>
      <c r="C9" s="10"/>
      <c r="D9" s="10"/>
      <c r="E9" s="10"/>
      <c r="F9" s="10"/>
      <c r="G9" s="10"/>
      <c r="H9" s="10"/>
      <c r="I9" s="10"/>
      <c r="J9" s="10"/>
      <c r="K9" s="10"/>
      <c r="L9" s="10"/>
      <c r="M9" s="10"/>
      <c r="N9" s="10"/>
      <c r="O9" s="10"/>
      <c r="P9" s="10"/>
      <c r="Q9" s="10"/>
      <c r="R9" s="10"/>
      <c r="S9" s="10"/>
      <c r="T9" s="10"/>
      <c r="U9" s="10"/>
      <c r="V9" s="10"/>
      <c r="W9" s="10"/>
      <c r="X9" s="10"/>
      <c r="Y9" s="10"/>
      <c r="Z9" s="10"/>
    </row>
    <row r="10" spans="1:26" ht="14.25" customHeight="1" x14ac:dyDescent="0.25">
      <c r="A10" s="121" t="s">
        <v>472</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4.25" customHeight="1" x14ac:dyDescent="0.25">
      <c r="A11" s="10" t="s">
        <v>473</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4.25" customHeight="1" x14ac:dyDescent="0.25">
      <c r="A12" s="121"/>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4.25" customHeight="1" x14ac:dyDescent="0.25">
      <c r="A13" s="121" t="s">
        <v>474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4.25" customHeight="1" x14ac:dyDescent="0.25">
      <c r="A14" s="10" t="s">
        <v>475</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25" customHeight="1" x14ac:dyDescent="0.25">
      <c r="A15" s="121"/>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25" customHeight="1" x14ac:dyDescent="0.25">
      <c r="A16" s="121" t="s">
        <v>476</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25" customHeight="1" x14ac:dyDescent="0.25">
      <c r="A17" s="10" t="s">
        <v>477</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25" customHeight="1" x14ac:dyDescent="0.25">
      <c r="A18" s="121"/>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25" customHeight="1" x14ac:dyDescent="0.25">
      <c r="A19" s="121" t="s">
        <v>478</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ustomHeight="1" x14ac:dyDescent="0.25">
      <c r="A20" s="10" t="s">
        <v>479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25" customHeight="1" x14ac:dyDescent="0.25">
      <c r="A21" s="121"/>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4.25" customHeight="1" x14ac:dyDescent="0.25">
      <c r="A22" s="121" t="s">
        <v>480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25" customHeight="1" x14ac:dyDescent="0.25">
      <c r="A23" s="10" t="s">
        <v>481</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4.25" customHeight="1" x14ac:dyDescent="0.25">
      <c r="A24" s="121"/>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4.25" customHeight="1" x14ac:dyDescent="0.25">
      <c r="A25" s="121" t="s">
        <v>482</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4.25" customHeight="1" x14ac:dyDescent="0.25">
      <c r="A26" s="10" t="s">
        <v>483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4.25" customHeight="1" x14ac:dyDescent="0.25">
      <c r="A27" s="121"/>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4.25" customHeight="1" x14ac:dyDescent="0.25">
      <c r="A28" s="121" t="s">
        <v>484</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4.25" customHeight="1" x14ac:dyDescent="0.25">
      <c r="A29" s="10" t="s">
        <v>485</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25" customHeight="1" x14ac:dyDescent="0.25">
      <c r="A30" s="121"/>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25" customHeight="1" x14ac:dyDescent="0.25">
      <c r="A31" s="121" t="s">
        <v>486</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25" customHeight="1" x14ac:dyDescent="0.25">
      <c r="A32" s="10" t="s">
        <v>487</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4.25" customHeight="1" x14ac:dyDescent="0.25">
      <c r="A33" s="121"/>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4.25" customHeight="1" x14ac:dyDescent="0.25">
      <c r="A34" s="121" t="s">
        <v>488</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4.25" customHeight="1" x14ac:dyDescent="0.25">
      <c r="A35" s="10" t="s">
        <v>489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4.25" customHeight="1" x14ac:dyDescent="0.25">
      <c r="A36" s="121"/>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4.25" customHeight="1" x14ac:dyDescent="0.25">
      <c r="A37" s="121" t="s">
        <v>490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4.25" customHeight="1" x14ac:dyDescent="0.25">
      <c r="A38" s="10" t="s">
        <v>491</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4.25" customHeight="1" x14ac:dyDescent="0.25">
      <c r="A39" s="121"/>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4.25" customHeight="1" x14ac:dyDescent="0.25">
      <c r="A40" s="121" t="s">
        <v>492</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4.25" customHeight="1" x14ac:dyDescent="0.25">
      <c r="A41" s="10" t="s">
        <v>493</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25" customHeight="1" x14ac:dyDescent="0.25">
      <c r="A42" s="121"/>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ustomHeight="1" x14ac:dyDescent="0.25">
      <c r="A43" s="121" t="s">
        <v>494</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25" customHeight="1" x14ac:dyDescent="0.25">
      <c r="A44" s="10" t="s">
        <v>495</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25" customHeight="1" x14ac:dyDescent="0.25">
      <c r="A45" s="121"/>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25" customHeight="1" x14ac:dyDescent="0.25">
      <c r="A46" s="121" t="s">
        <v>496</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ustomHeight="1" x14ac:dyDescent="0.25">
      <c r="A47" s="10" t="s">
        <v>497</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ustomHeight="1" x14ac:dyDescent="0.25">
      <c r="A48" s="121"/>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25" customHeight="1" x14ac:dyDescent="0.25">
      <c r="A49" s="121" t="s">
        <v>498</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25" customHeight="1" x14ac:dyDescent="0.25">
      <c r="A50" s="10" t="s">
        <v>499</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25" customHeight="1" x14ac:dyDescent="0.25">
      <c r="A51" s="121"/>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25" customHeight="1" x14ac:dyDescent="0.25">
      <c r="A52" s="121" t="s">
        <v>500</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25" customHeight="1" x14ac:dyDescent="0.25">
      <c r="A53" s="10" t="s">
        <v>501</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ustomHeight="1" x14ac:dyDescent="0.25">
      <c r="A54" s="10" t="s">
        <v>502</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25" customHeight="1" x14ac:dyDescent="0.25">
      <c r="A55" s="10" t="s">
        <v>503</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25" customHeight="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25" customHeight="1" x14ac:dyDescent="0.25">
      <c r="A57" s="121" t="s">
        <v>504</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25" customHeight="1" x14ac:dyDescent="0.25">
      <c r="A58" s="10" t="s">
        <v>505</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25" customHeight="1" x14ac:dyDescent="0.25">
      <c r="A59" s="121"/>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25" customHeight="1" x14ac:dyDescent="0.25">
      <c r="A60" s="121" t="s">
        <v>506</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25" customHeight="1" x14ac:dyDescent="0.25">
      <c r="A61" s="10" t="s">
        <v>507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25" customHeight="1" x14ac:dyDescent="0.25">
      <c r="A62" s="121"/>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25" customHeight="1" x14ac:dyDescent="0.25">
      <c r="A63" s="121" t="s">
        <v>508</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ustomHeight="1" x14ac:dyDescent="0.25">
      <c r="A64" s="10" t="s">
        <v>509</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25" customHeight="1" x14ac:dyDescent="0.25">
      <c r="A65" s="121"/>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25" customHeight="1" x14ac:dyDescent="0.25">
      <c r="A66" s="121" t="s">
        <v>510</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25" customHeight="1" x14ac:dyDescent="0.25">
      <c r="A67" s="10" t="s">
        <v>511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ustomHeight="1" x14ac:dyDescent="0.25">
      <c r="A68" s="121"/>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25" customHeight="1" x14ac:dyDescent="0.25">
      <c r="A69" s="121" t="s">
        <v>512</v>
      </c>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ustomHeight="1" x14ac:dyDescent="0.25">
      <c r="A70" s="10" t="s">
        <v>513</v>
      </c>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25" customHeight="1" x14ac:dyDescent="0.25">
      <c r="A71" s="121"/>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25" customHeight="1" x14ac:dyDescent="0.25">
      <c r="A72" s="121" t="s">
        <v>514</v>
      </c>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25" customHeight="1" x14ac:dyDescent="0.25">
      <c r="A73" s="10" t="s">
        <v>515</v>
      </c>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25" customHeight="1" x14ac:dyDescent="0.25">
      <c r="A74" s="121"/>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25" customHeight="1" x14ac:dyDescent="0.25">
      <c r="A75" s="121" t="s">
        <v>516</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25" customHeight="1" x14ac:dyDescent="0.25">
      <c r="A76" s="10" t="s">
        <v>517</v>
      </c>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25" customHeight="1" x14ac:dyDescent="0.25">
      <c r="A77" s="121"/>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25" customHeight="1" x14ac:dyDescent="0.25">
      <c r="A78" s="121" t="s">
        <v>518</v>
      </c>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25" customHeight="1" x14ac:dyDescent="0.25">
      <c r="A79" s="10" t="s">
        <v>519</v>
      </c>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25" customHeight="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25" customHeight="1" x14ac:dyDescent="0.25">
      <c r="A81" s="121" t="s">
        <v>520</v>
      </c>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25" customHeight="1" x14ac:dyDescent="0.25">
      <c r="A82" s="10" t="s">
        <v>521</v>
      </c>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25" customHeight="1" x14ac:dyDescent="0.25">
      <c r="A83" s="121"/>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25" customHeight="1" x14ac:dyDescent="0.25">
      <c r="A84" s="121" t="s">
        <v>522</v>
      </c>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25" customHeight="1" x14ac:dyDescent="0.25">
      <c r="A85" s="10" t="s">
        <v>523</v>
      </c>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ustomHeight="1" x14ac:dyDescent="0.25">
      <c r="A86" s="121"/>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25" customHeight="1" x14ac:dyDescent="0.25">
      <c r="A87" s="121" t="s">
        <v>524</v>
      </c>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25" customHeight="1" x14ac:dyDescent="0.25">
      <c r="A88" s="10" t="s">
        <v>525</v>
      </c>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25" customHeight="1" x14ac:dyDescent="0.25">
      <c r="A89" s="121"/>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25" customHeight="1" x14ac:dyDescent="0.25">
      <c r="A90" s="121" t="s">
        <v>526</v>
      </c>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ustomHeight="1" x14ac:dyDescent="0.25">
      <c r="A91" s="10" t="s">
        <v>527</v>
      </c>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25" customHeight="1" x14ac:dyDescent="0.25">
      <c r="A92" s="121"/>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25" customHeight="1" x14ac:dyDescent="0.25">
      <c r="A93" s="121" t="s">
        <v>528</v>
      </c>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25" customHeight="1" x14ac:dyDescent="0.25">
      <c r="A94" s="10" t="s">
        <v>529</v>
      </c>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25" customHeight="1" x14ac:dyDescent="0.25">
      <c r="A95" s="121"/>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25" customHeight="1" x14ac:dyDescent="0.25">
      <c r="A96" s="121" t="s">
        <v>530</v>
      </c>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25" customHeight="1" x14ac:dyDescent="0.25">
      <c r="A97" s="10" t="s">
        <v>531</v>
      </c>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25" customHeight="1" x14ac:dyDescent="0.25">
      <c r="A98" s="121"/>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25" customHeight="1" x14ac:dyDescent="0.25">
      <c r="A99" s="121" t="s">
        <v>532</v>
      </c>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25" customHeight="1" x14ac:dyDescent="0.25">
      <c r="A100" s="10" t="s">
        <v>533</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ustomHeight="1" x14ac:dyDescent="0.25">
      <c r="A102" s="121" t="s">
        <v>534</v>
      </c>
    </row>
    <row r="103" spans="1:26" ht="14.25" customHeight="1" x14ac:dyDescent="0.25">
      <c r="A103" s="10" t="s">
        <v>535</v>
      </c>
    </row>
    <row r="104" spans="1:26" ht="14.25" customHeight="1" x14ac:dyDescent="0.25">
      <c r="A104" s="121"/>
    </row>
    <row r="105" spans="1:26" ht="14.25" customHeight="1" x14ac:dyDescent="0.25">
      <c r="A105" s="121" t="s">
        <v>536</v>
      </c>
    </row>
    <row r="106" spans="1:26" ht="14.25" customHeight="1" x14ac:dyDescent="0.25">
      <c r="A106" s="11" t="s">
        <v>537</v>
      </c>
    </row>
    <row r="107" spans="1:26" ht="14.25" customHeight="1" x14ac:dyDescent="0.25"/>
    <row r="108" spans="1:26" ht="14.25" customHeight="1" x14ac:dyDescent="0.25">
      <c r="A108" s="121" t="s">
        <v>538</v>
      </c>
    </row>
    <row r="109" spans="1:26" ht="14.25" customHeight="1" x14ac:dyDescent="0.25">
      <c r="A109" s="11" t="s">
        <v>539</v>
      </c>
    </row>
    <row r="110" spans="1:26" ht="14.25" customHeight="1" x14ac:dyDescent="0.25">
      <c r="A110" s="11" t="s">
        <v>540</v>
      </c>
    </row>
    <row r="111" spans="1:26" ht="14.25" customHeight="1" x14ac:dyDescent="0.25"/>
    <row r="112" spans="1:26" ht="14.25" customHeight="1" x14ac:dyDescent="0.25">
      <c r="A112" s="121" t="s">
        <v>541</v>
      </c>
    </row>
    <row r="113" spans="1:1" ht="14.25" customHeight="1" x14ac:dyDescent="0.25">
      <c r="A113" s="11" t="s">
        <v>542</v>
      </c>
    </row>
    <row r="114" spans="1:1" ht="14.25" customHeight="1" x14ac:dyDescent="0.25"/>
    <row r="115" spans="1:1" ht="14.25" customHeight="1" x14ac:dyDescent="0.25">
      <c r="A115" s="121" t="s">
        <v>543</v>
      </c>
    </row>
    <row r="116" spans="1:1" ht="14.25" customHeight="1" x14ac:dyDescent="0.25">
      <c r="A116" s="11" t="s">
        <v>544</v>
      </c>
    </row>
    <row r="117" spans="1:1" ht="14.25" customHeight="1" x14ac:dyDescent="0.25"/>
    <row r="118" spans="1:1" ht="14.25" customHeight="1" x14ac:dyDescent="0.25">
      <c r="A118" s="121" t="s">
        <v>545</v>
      </c>
    </row>
    <row r="119" spans="1:1" ht="14.25" customHeight="1" x14ac:dyDescent="0.25">
      <c r="A119" s="11" t="s">
        <v>546</v>
      </c>
    </row>
    <row r="120" spans="1:1" ht="14.25" customHeight="1" x14ac:dyDescent="0.25"/>
    <row r="121" spans="1:1" ht="14.25" customHeight="1" x14ac:dyDescent="0.25">
      <c r="A121" s="121" t="s">
        <v>547</v>
      </c>
    </row>
    <row r="122" spans="1:1" ht="14.25" customHeight="1" x14ac:dyDescent="0.25">
      <c r="A122" s="11" t="s">
        <v>548</v>
      </c>
    </row>
    <row r="123" spans="1:1" ht="14.25" customHeight="1" x14ac:dyDescent="0.25"/>
    <row r="124" spans="1:1" ht="14.25" customHeight="1" x14ac:dyDescent="0.25">
      <c r="A124" s="121" t="s">
        <v>549</v>
      </c>
    </row>
    <row r="125" spans="1:1" ht="14.25" customHeight="1" x14ac:dyDescent="0.25">
      <c r="A125" s="11" t="s">
        <v>550</v>
      </c>
    </row>
    <row r="126" spans="1:1" ht="14.25" customHeight="1" x14ac:dyDescent="0.25"/>
    <row r="127" spans="1:1" ht="14.25" customHeight="1" x14ac:dyDescent="0.25">
      <c r="A127" s="121" t="s">
        <v>551</v>
      </c>
    </row>
    <row r="128" spans="1:1" ht="14.25" customHeight="1" x14ac:dyDescent="0.25">
      <c r="A128" s="11" t="s">
        <v>552</v>
      </c>
    </row>
    <row r="129" spans="1:1" ht="14.25" customHeight="1" x14ac:dyDescent="0.25"/>
    <row r="130" spans="1:1" ht="14.25" customHeight="1" x14ac:dyDescent="0.25">
      <c r="A130" s="121" t="s">
        <v>553</v>
      </c>
    </row>
    <row r="131" spans="1:1" ht="14.25" customHeight="1" x14ac:dyDescent="0.25">
      <c r="A131" s="11" t="s">
        <v>554</v>
      </c>
    </row>
    <row r="132" spans="1:1" ht="14.25" customHeight="1" x14ac:dyDescent="0.25">
      <c r="A132" s="11" t="s">
        <v>555</v>
      </c>
    </row>
    <row r="133" spans="1:1" ht="14.25" customHeight="1" x14ac:dyDescent="0.25"/>
    <row r="134" spans="1:1" ht="14.25" customHeight="1" x14ac:dyDescent="0.25">
      <c r="A134" s="121" t="s">
        <v>556</v>
      </c>
    </row>
    <row r="135" spans="1:1" ht="14.25" customHeight="1" x14ac:dyDescent="0.25">
      <c r="A135" s="11" t="s">
        <v>557</v>
      </c>
    </row>
    <row r="136" spans="1:1" ht="14.25" customHeight="1" x14ac:dyDescent="0.25"/>
    <row r="137" spans="1:1" ht="14.25" customHeight="1" x14ac:dyDescent="0.25">
      <c r="A137" s="121" t="s">
        <v>558</v>
      </c>
    </row>
    <row r="138" spans="1:1" ht="14.25" customHeight="1" x14ac:dyDescent="0.25">
      <c r="A138" s="11" t="s">
        <v>559</v>
      </c>
    </row>
    <row r="139" spans="1:1" ht="14.25" customHeight="1" x14ac:dyDescent="0.25"/>
    <row r="140" spans="1:1" ht="14.25" customHeight="1" x14ac:dyDescent="0.25">
      <c r="A140" s="121" t="s">
        <v>560</v>
      </c>
    </row>
    <row r="141" spans="1:1" ht="14.25" customHeight="1" x14ac:dyDescent="0.25">
      <c r="A141" s="11" t="s">
        <v>561</v>
      </c>
    </row>
    <row r="142" spans="1:1" ht="14.25" customHeight="1" x14ac:dyDescent="0.25"/>
    <row r="143" spans="1:1" ht="14.25" customHeight="1" x14ac:dyDescent="0.25">
      <c r="A143" s="121" t="s">
        <v>562</v>
      </c>
    </row>
    <row r="144" spans="1:1" ht="14.25" customHeight="1" x14ac:dyDescent="0.25">
      <c r="A144" s="11" t="s">
        <v>563</v>
      </c>
    </row>
    <row r="145" spans="1:1" ht="14.25" customHeight="1" x14ac:dyDescent="0.25"/>
    <row r="146" spans="1:1" ht="14.25" customHeight="1" x14ac:dyDescent="0.25">
      <c r="A146" s="121" t="s">
        <v>564</v>
      </c>
    </row>
    <row r="147" spans="1:1" ht="14.25" customHeight="1" x14ac:dyDescent="0.25">
      <c r="A147" s="11" t="s">
        <v>565</v>
      </c>
    </row>
    <row r="148" spans="1:1" ht="14.25" customHeight="1" x14ac:dyDescent="0.25">
      <c r="A148" s="11" t="s">
        <v>566</v>
      </c>
    </row>
    <row r="149" spans="1:1" ht="14.25" customHeight="1" x14ac:dyDescent="0.25">
      <c r="A149" s="11" t="s">
        <v>567</v>
      </c>
    </row>
    <row r="150" spans="1:1" ht="14.25" customHeight="1" x14ac:dyDescent="0.25">
      <c r="A150" s="11" t="s">
        <v>568</v>
      </c>
    </row>
    <row r="151" spans="1:1" ht="14.25" customHeight="1" x14ac:dyDescent="0.25"/>
    <row r="152" spans="1:1" ht="14.25" customHeight="1" x14ac:dyDescent="0.25">
      <c r="A152" s="121" t="s">
        <v>569</v>
      </c>
    </row>
    <row r="153" spans="1:1" ht="14.25" customHeight="1" x14ac:dyDescent="0.25">
      <c r="A153" s="11" t="s">
        <v>570</v>
      </c>
    </row>
    <row r="154" spans="1:1" ht="14.25" customHeight="1" x14ac:dyDescent="0.25">
      <c r="A154" s="11" t="s">
        <v>571</v>
      </c>
    </row>
    <row r="155" spans="1:1" ht="14.25" customHeight="1" x14ac:dyDescent="0.25">
      <c r="A155" s="11" t="s">
        <v>572</v>
      </c>
    </row>
    <row r="156" spans="1:1" ht="14.25" customHeight="1" x14ac:dyDescent="0.25"/>
    <row r="157" spans="1:1" ht="14.25" customHeight="1" x14ac:dyDescent="0.25">
      <c r="A157" s="121" t="s">
        <v>573</v>
      </c>
    </row>
    <row r="158" spans="1:1" ht="14.25" customHeight="1" x14ac:dyDescent="0.25">
      <c r="A158" s="11" t="s">
        <v>574</v>
      </c>
    </row>
    <row r="159" spans="1:1" ht="14.25" customHeight="1" x14ac:dyDescent="0.25">
      <c r="A159" s="11" t="s">
        <v>575</v>
      </c>
    </row>
    <row r="160" spans="1:1" ht="14.25" customHeight="1" x14ac:dyDescent="0.25"/>
    <row r="161" spans="1:1" ht="14.25" customHeight="1" x14ac:dyDescent="0.25">
      <c r="A161" s="121" t="s">
        <v>576</v>
      </c>
    </row>
    <row r="162" spans="1:1" ht="14.25" customHeight="1" x14ac:dyDescent="0.25">
      <c r="A162" s="11" t="s">
        <v>577</v>
      </c>
    </row>
    <row r="163" spans="1:1" ht="14.25" customHeight="1" x14ac:dyDescent="0.25"/>
    <row r="164" spans="1:1" ht="14.25" customHeight="1" x14ac:dyDescent="0.25">
      <c r="A164" s="121" t="s">
        <v>578</v>
      </c>
    </row>
    <row r="165" spans="1:1" ht="14.25" customHeight="1" x14ac:dyDescent="0.25">
      <c r="A165" s="11" t="s">
        <v>579</v>
      </c>
    </row>
    <row r="166" spans="1:1" ht="14.25" customHeight="1" x14ac:dyDescent="0.25"/>
    <row r="167" spans="1:1" ht="14.25" customHeight="1" x14ac:dyDescent="0.25">
      <c r="A167" s="121" t="s">
        <v>580</v>
      </c>
    </row>
    <row r="168" spans="1:1" ht="14.25" customHeight="1" x14ac:dyDescent="0.25">
      <c r="A168" s="11" t="s">
        <v>581</v>
      </c>
    </row>
    <row r="169" spans="1:1" ht="14.25" customHeight="1" x14ac:dyDescent="0.25">
      <c r="A169" s="11" t="s">
        <v>582</v>
      </c>
    </row>
    <row r="170" spans="1:1" ht="14.25" customHeight="1" x14ac:dyDescent="0.25">
      <c r="A170" s="11" t="s">
        <v>583</v>
      </c>
    </row>
    <row r="171" spans="1:1" ht="14.25" customHeight="1" x14ac:dyDescent="0.25"/>
    <row r="172" spans="1:1" ht="14.25" customHeight="1" x14ac:dyDescent="0.25">
      <c r="A172" s="121" t="s">
        <v>584</v>
      </c>
    </row>
    <row r="173" spans="1:1" ht="14.25" customHeight="1" x14ac:dyDescent="0.25">
      <c r="A173" s="11" t="s">
        <v>585</v>
      </c>
    </row>
    <row r="174" spans="1:1" ht="14.25" customHeight="1" x14ac:dyDescent="0.25"/>
    <row r="175" spans="1:1" ht="14.25" customHeight="1" x14ac:dyDescent="0.25">
      <c r="A175" s="121" t="s">
        <v>586</v>
      </c>
    </row>
    <row r="176" spans="1:1" ht="14.25" customHeight="1" x14ac:dyDescent="0.25">
      <c r="A176" s="11" t="s">
        <v>587</v>
      </c>
    </row>
    <row r="177" spans="1:1" ht="14.25" customHeight="1" x14ac:dyDescent="0.25">
      <c r="A177" s="11" t="s">
        <v>588</v>
      </c>
    </row>
    <row r="178" spans="1:1" ht="14.25" customHeight="1" x14ac:dyDescent="0.25"/>
    <row r="179" spans="1:1" ht="14.25" customHeight="1" x14ac:dyDescent="0.25">
      <c r="A179" s="121" t="s">
        <v>589</v>
      </c>
    </row>
    <row r="180" spans="1:1" ht="14.25" customHeight="1" x14ac:dyDescent="0.25">
      <c r="A180" s="11" t="s">
        <v>590</v>
      </c>
    </row>
    <row r="181" spans="1:1" ht="14.25" customHeight="1" x14ac:dyDescent="0.25"/>
    <row r="182" spans="1:1" ht="14.25" customHeight="1" x14ac:dyDescent="0.25">
      <c r="A182" s="121" t="s">
        <v>591</v>
      </c>
    </row>
    <row r="183" spans="1:1" ht="14.25" customHeight="1" x14ac:dyDescent="0.25">
      <c r="A183" s="11" t="s">
        <v>592</v>
      </c>
    </row>
    <row r="184" spans="1:1" ht="14.25" customHeight="1" x14ac:dyDescent="0.25"/>
    <row r="185" spans="1:1" ht="14.25" customHeight="1" x14ac:dyDescent="0.25">
      <c r="A185" s="121" t="s">
        <v>593</v>
      </c>
    </row>
    <row r="186" spans="1:1" ht="14.25" customHeight="1" x14ac:dyDescent="0.25">
      <c r="A186" s="11" t="s">
        <v>594</v>
      </c>
    </row>
    <row r="187" spans="1:1" ht="14.25" customHeight="1" x14ac:dyDescent="0.25"/>
    <row r="188" spans="1:1" ht="14.25" customHeight="1" x14ac:dyDescent="0.25">
      <c r="A188" s="121" t="s">
        <v>595</v>
      </c>
    </row>
    <row r="189" spans="1:1" ht="14.25" customHeight="1" x14ac:dyDescent="0.25">
      <c r="A189" s="11" t="s">
        <v>596</v>
      </c>
    </row>
    <row r="190" spans="1:1" ht="14.25" customHeight="1" x14ac:dyDescent="0.25"/>
    <row r="191" spans="1:1" ht="14.25" customHeight="1" x14ac:dyDescent="0.25">
      <c r="A191" s="121" t="s">
        <v>597</v>
      </c>
    </row>
    <row r="192" spans="1:1" ht="14.25" customHeight="1" x14ac:dyDescent="0.25">
      <c r="A192" s="11" t="s">
        <v>598</v>
      </c>
    </row>
    <row r="193" spans="1:1" ht="14.25" customHeight="1" x14ac:dyDescent="0.25">
      <c r="A193" s="11" t="s">
        <v>599</v>
      </c>
    </row>
    <row r="194" spans="1:1" ht="14.25" customHeight="1" x14ac:dyDescent="0.25"/>
    <row r="195" spans="1:1" ht="14.25" customHeight="1" x14ac:dyDescent="0.25">
      <c r="A195" s="121" t="s">
        <v>600</v>
      </c>
    </row>
    <row r="196" spans="1:1" ht="14.25" customHeight="1" x14ac:dyDescent="0.25">
      <c r="A196" s="11" t="s">
        <v>601</v>
      </c>
    </row>
    <row r="197" spans="1:1" ht="14.25" customHeight="1" x14ac:dyDescent="0.25"/>
    <row r="198" spans="1:1" ht="14.25" customHeight="1" x14ac:dyDescent="0.25">
      <c r="A198" s="121" t="s">
        <v>602</v>
      </c>
    </row>
    <row r="199" spans="1:1" ht="14.25" customHeight="1" x14ac:dyDescent="0.25">
      <c r="A199" s="11" t="s">
        <v>603</v>
      </c>
    </row>
    <row r="200" spans="1:1" ht="14.25" customHeight="1" x14ac:dyDescent="0.25"/>
    <row r="201" spans="1:1" ht="14.25" customHeight="1" x14ac:dyDescent="0.25">
      <c r="A201" s="121" t="s">
        <v>604</v>
      </c>
    </row>
    <row r="202" spans="1:1" ht="14.25" customHeight="1" x14ac:dyDescent="0.25">
      <c r="A202" s="11" t="s">
        <v>605</v>
      </c>
    </row>
    <row r="203" spans="1:1" ht="14.25" customHeight="1" x14ac:dyDescent="0.25">
      <c r="A203" s="11" t="s">
        <v>606</v>
      </c>
    </row>
    <row r="204" spans="1:1" ht="14.25" customHeight="1" x14ac:dyDescent="0.25"/>
    <row r="205" spans="1:1" ht="14.25" customHeight="1" x14ac:dyDescent="0.25">
      <c r="A205" s="121" t="s">
        <v>607</v>
      </c>
    </row>
    <row r="206" spans="1:1" ht="14.25" customHeight="1" x14ac:dyDescent="0.25">
      <c r="A206" s="11" t="s">
        <v>608</v>
      </c>
    </row>
    <row r="207" spans="1:1" ht="14.25" customHeight="1" x14ac:dyDescent="0.25">
      <c r="A207" s="11" t="s">
        <v>609</v>
      </c>
    </row>
    <row r="208" spans="1:1" ht="14.25" customHeight="1" x14ac:dyDescent="0.25"/>
    <row r="209" spans="1:1" ht="14.25" customHeight="1" x14ac:dyDescent="0.25">
      <c r="A209" s="121" t="s">
        <v>610</v>
      </c>
    </row>
    <row r="210" spans="1:1" ht="14.25" customHeight="1" x14ac:dyDescent="0.25">
      <c r="A210" s="11" t="s">
        <v>611</v>
      </c>
    </row>
    <row r="211" spans="1:1" ht="14.25" customHeight="1" x14ac:dyDescent="0.25"/>
    <row r="212" spans="1:1" ht="14.25" customHeight="1" x14ac:dyDescent="0.25">
      <c r="A212" s="121" t="s">
        <v>612</v>
      </c>
    </row>
    <row r="213" spans="1:1" ht="14.25" customHeight="1" x14ac:dyDescent="0.25">
      <c r="A213" s="11" t="s">
        <v>613</v>
      </c>
    </row>
    <row r="214" spans="1:1" ht="14.25" customHeight="1" x14ac:dyDescent="0.25"/>
    <row r="215" spans="1:1" ht="14.25" customHeight="1" x14ac:dyDescent="0.25">
      <c r="A215" s="121" t="s">
        <v>614</v>
      </c>
    </row>
    <row r="216" spans="1:1" ht="14.25" customHeight="1" x14ac:dyDescent="0.25">
      <c r="A216" s="11" t="s">
        <v>615</v>
      </c>
    </row>
    <row r="217" spans="1:1" ht="14.25" customHeight="1" x14ac:dyDescent="0.25"/>
    <row r="218" spans="1:1" ht="14.25" customHeight="1" x14ac:dyDescent="0.25">
      <c r="A218" s="121" t="s">
        <v>616</v>
      </c>
    </row>
    <row r="219" spans="1:1" ht="14.25" customHeight="1" x14ac:dyDescent="0.25">
      <c r="A219" s="11" t="s">
        <v>617</v>
      </c>
    </row>
    <row r="220" spans="1:1" ht="14.25" customHeight="1" x14ac:dyDescent="0.25"/>
    <row r="221" spans="1:1" ht="14.25" customHeight="1" x14ac:dyDescent="0.25">
      <c r="A221" s="121" t="s">
        <v>618</v>
      </c>
    </row>
    <row r="222" spans="1:1" ht="14.25" customHeight="1" x14ac:dyDescent="0.25">
      <c r="A222" s="11" t="s">
        <v>619</v>
      </c>
    </row>
    <row r="223" spans="1:1" ht="14.25" customHeight="1" x14ac:dyDescent="0.25"/>
    <row r="224" spans="1:1" ht="14.25" customHeight="1" x14ac:dyDescent="0.25">
      <c r="A224" s="121" t="s">
        <v>620</v>
      </c>
    </row>
    <row r="225" spans="1:1" ht="14.25" customHeight="1" x14ac:dyDescent="0.25">
      <c r="A225" s="11" t="s">
        <v>621</v>
      </c>
    </row>
    <row r="226" spans="1:1" ht="14.25" customHeight="1" x14ac:dyDescent="0.25"/>
    <row r="227" spans="1:1" ht="14.25" customHeight="1" x14ac:dyDescent="0.25">
      <c r="A227" s="121" t="s">
        <v>622</v>
      </c>
    </row>
    <row r="228" spans="1:1" ht="14.25" customHeight="1" x14ac:dyDescent="0.25">
      <c r="A228" s="11" t="s">
        <v>623</v>
      </c>
    </row>
    <row r="229" spans="1:1" ht="14.25" customHeight="1" x14ac:dyDescent="0.25"/>
    <row r="230" spans="1:1" ht="14.25" customHeight="1" x14ac:dyDescent="0.25">
      <c r="A230" s="121" t="s">
        <v>624</v>
      </c>
    </row>
    <row r="231" spans="1:1" ht="14.25" customHeight="1" x14ac:dyDescent="0.25">
      <c r="A231" s="11" t="s">
        <v>625</v>
      </c>
    </row>
    <row r="232" spans="1:1" ht="14.25" customHeight="1" x14ac:dyDescent="0.25">
      <c r="A232" s="11" t="s">
        <v>626</v>
      </c>
    </row>
    <row r="233" spans="1:1" ht="14.25" customHeight="1" x14ac:dyDescent="0.25"/>
    <row r="234" spans="1:1" ht="14.25" customHeight="1" x14ac:dyDescent="0.25">
      <c r="A234" s="121" t="s">
        <v>627</v>
      </c>
    </row>
    <row r="235" spans="1:1" ht="14.25" customHeight="1" x14ac:dyDescent="0.25">
      <c r="A235" s="11" t="s">
        <v>628</v>
      </c>
    </row>
    <row r="236" spans="1:1" ht="14.25" customHeight="1" x14ac:dyDescent="0.25"/>
    <row r="237" spans="1:1" ht="14.25" customHeight="1" x14ac:dyDescent="0.25">
      <c r="A237" s="121" t="s">
        <v>629</v>
      </c>
    </row>
    <row r="238" spans="1:1" ht="14.25" customHeight="1" x14ac:dyDescent="0.25">
      <c r="A238" s="11" t="s">
        <v>630</v>
      </c>
    </row>
    <row r="239" spans="1:1" ht="14.25" customHeight="1" x14ac:dyDescent="0.25"/>
    <row r="240" spans="1:1" ht="14.25" customHeight="1" x14ac:dyDescent="0.25">
      <c r="A240" s="121" t="s">
        <v>631</v>
      </c>
    </row>
    <row r="241" spans="1:1" ht="14.25" customHeight="1" x14ac:dyDescent="0.25">
      <c r="A241" s="11" t="s">
        <v>632</v>
      </c>
    </row>
    <row r="242" spans="1:1" ht="14.25" customHeight="1" x14ac:dyDescent="0.25"/>
    <row r="243" spans="1:1" ht="14.25" customHeight="1" x14ac:dyDescent="0.25">
      <c r="A243" s="121" t="s">
        <v>633</v>
      </c>
    </row>
    <row r="244" spans="1:1" ht="14.25" customHeight="1" x14ac:dyDescent="0.25">
      <c r="A244" s="11" t="s">
        <v>634</v>
      </c>
    </row>
    <row r="245" spans="1:1" ht="14.25" customHeight="1" x14ac:dyDescent="0.25"/>
    <row r="246" spans="1:1" ht="14.25" customHeight="1" x14ac:dyDescent="0.25">
      <c r="A246" s="121" t="s">
        <v>635</v>
      </c>
    </row>
    <row r="247" spans="1:1" ht="14.25" customHeight="1" x14ac:dyDescent="0.25">
      <c r="A247" s="11" t="s">
        <v>636</v>
      </c>
    </row>
    <row r="248" spans="1:1" ht="14.25" customHeight="1" x14ac:dyDescent="0.25"/>
    <row r="249" spans="1:1" ht="14.25" customHeight="1" x14ac:dyDescent="0.25">
      <c r="A249" s="121" t="s">
        <v>637</v>
      </c>
    </row>
    <row r="250" spans="1:1" ht="14.25" customHeight="1" x14ac:dyDescent="0.25">
      <c r="A250" s="11" t="s">
        <v>638</v>
      </c>
    </row>
    <row r="251" spans="1:1" ht="14.25" customHeight="1" x14ac:dyDescent="0.25"/>
    <row r="252" spans="1:1" ht="14.25" customHeight="1" x14ac:dyDescent="0.25">
      <c r="A252" s="121" t="s">
        <v>639</v>
      </c>
    </row>
    <row r="253" spans="1:1" ht="14.25" customHeight="1" x14ac:dyDescent="0.25">
      <c r="A253" s="11" t="s">
        <v>640</v>
      </c>
    </row>
    <row r="254" spans="1:1" ht="14.25" customHeight="1" x14ac:dyDescent="0.25"/>
    <row r="255" spans="1:1" ht="14.25" customHeight="1" x14ac:dyDescent="0.25">
      <c r="A255" s="121" t="s">
        <v>641</v>
      </c>
    </row>
    <row r="256" spans="1:1" ht="14.25" customHeight="1" x14ac:dyDescent="0.25">
      <c r="A256" s="11" t="s">
        <v>642</v>
      </c>
    </row>
    <row r="257" spans="1:1" ht="14.25" customHeight="1" x14ac:dyDescent="0.25"/>
    <row r="258" spans="1:1" ht="14.25" customHeight="1" x14ac:dyDescent="0.25">
      <c r="A258" s="121" t="s">
        <v>643</v>
      </c>
    </row>
    <row r="259" spans="1:1" ht="14.25" customHeight="1" x14ac:dyDescent="0.25">
      <c r="A259" s="11" t="s">
        <v>644</v>
      </c>
    </row>
    <row r="260" spans="1:1" ht="14.25" customHeight="1" x14ac:dyDescent="0.25"/>
    <row r="261" spans="1:1" ht="14.25" customHeight="1" x14ac:dyDescent="0.25">
      <c r="A261" s="121" t="s">
        <v>645</v>
      </c>
    </row>
    <row r="262" spans="1:1" ht="14.25" customHeight="1" x14ac:dyDescent="0.25">
      <c r="A262" s="11" t="s">
        <v>646</v>
      </c>
    </row>
    <row r="263" spans="1:1" ht="14.25" customHeight="1" x14ac:dyDescent="0.25"/>
    <row r="264" spans="1:1" ht="14.25" customHeight="1" x14ac:dyDescent="0.25">
      <c r="A264" s="121" t="s">
        <v>647</v>
      </c>
    </row>
    <row r="265" spans="1:1" ht="14.25" customHeight="1" x14ac:dyDescent="0.25">
      <c r="A265" s="11" t="s">
        <v>648</v>
      </c>
    </row>
    <row r="266" spans="1:1" ht="14.25" customHeight="1" x14ac:dyDescent="0.25"/>
    <row r="267" spans="1:1" ht="14.25" customHeight="1" x14ac:dyDescent="0.25">
      <c r="A267" s="121" t="s">
        <v>649</v>
      </c>
    </row>
    <row r="268" spans="1:1" ht="14.25" customHeight="1" x14ac:dyDescent="0.25">
      <c r="A268" s="11" t="s">
        <v>650</v>
      </c>
    </row>
    <row r="269" spans="1:1" ht="14.25" customHeight="1" x14ac:dyDescent="0.25">
      <c r="A269" s="11" t="s">
        <v>651</v>
      </c>
    </row>
    <row r="270" spans="1:1" ht="14.25" customHeight="1" x14ac:dyDescent="0.25"/>
    <row r="271" spans="1:1" ht="14.25" customHeight="1" x14ac:dyDescent="0.25">
      <c r="A271" s="121" t="s">
        <v>652</v>
      </c>
    </row>
    <row r="272" spans="1:1" ht="14.25" customHeight="1" x14ac:dyDescent="0.25">
      <c r="A272" s="11" t="s">
        <v>653</v>
      </c>
    </row>
    <row r="273" spans="1:1" ht="14.25" customHeight="1" x14ac:dyDescent="0.25">
      <c r="A273" s="11" t="s">
        <v>654</v>
      </c>
    </row>
    <row r="274" spans="1:1" ht="14.25" customHeight="1" x14ac:dyDescent="0.25"/>
    <row r="275" spans="1:1" ht="14.25" customHeight="1" x14ac:dyDescent="0.25">
      <c r="A275" s="121" t="s">
        <v>655</v>
      </c>
    </row>
    <row r="276" spans="1:1" ht="14.25" customHeight="1" x14ac:dyDescent="0.25">
      <c r="A276" s="11" t="s">
        <v>656</v>
      </c>
    </row>
    <row r="277" spans="1:1" ht="14.25" customHeight="1" x14ac:dyDescent="0.25"/>
    <row r="278" spans="1:1" ht="14.25" customHeight="1" x14ac:dyDescent="0.25">
      <c r="A278" s="121" t="s">
        <v>657</v>
      </c>
    </row>
    <row r="279" spans="1:1" ht="14.25" customHeight="1" x14ac:dyDescent="0.25">
      <c r="A279" s="11" t="s">
        <v>658</v>
      </c>
    </row>
    <row r="280" spans="1:1" ht="14.25" customHeight="1" x14ac:dyDescent="0.25"/>
    <row r="281" spans="1:1" ht="14.25" customHeight="1" x14ac:dyDescent="0.25">
      <c r="A281" s="121" t="s">
        <v>659</v>
      </c>
    </row>
    <row r="282" spans="1:1" ht="14.25" customHeight="1" x14ac:dyDescent="0.25">
      <c r="A282" s="11" t="s">
        <v>660</v>
      </c>
    </row>
    <row r="283" spans="1:1" ht="14.25" customHeight="1" x14ac:dyDescent="0.25"/>
    <row r="284" spans="1:1" ht="14.25" customHeight="1" x14ac:dyDescent="0.25">
      <c r="A284" s="121" t="s">
        <v>661</v>
      </c>
    </row>
    <row r="285" spans="1:1" ht="14.25" customHeight="1" x14ac:dyDescent="0.25">
      <c r="A285" s="11" t="s">
        <v>662</v>
      </c>
    </row>
    <row r="286" spans="1:1" ht="14.25" customHeight="1" x14ac:dyDescent="0.25"/>
    <row r="287" spans="1:1" ht="14.25" customHeight="1" x14ac:dyDescent="0.25">
      <c r="A287" s="121" t="s">
        <v>663</v>
      </c>
    </row>
    <row r="288" spans="1:1" ht="14.25" customHeight="1" x14ac:dyDescent="0.25">
      <c r="A288" s="11" t="s">
        <v>664</v>
      </c>
    </row>
    <row r="289" spans="1:1" ht="14.25" customHeight="1" x14ac:dyDescent="0.25">
      <c r="A289" s="11" t="s">
        <v>665</v>
      </c>
    </row>
    <row r="290" spans="1:1" ht="14.25" customHeight="1" x14ac:dyDescent="0.25">
      <c r="A290" s="11" t="s">
        <v>666</v>
      </c>
    </row>
    <row r="291" spans="1:1" ht="14.25" customHeight="1" x14ac:dyDescent="0.25">
      <c r="A291" s="11" t="s">
        <v>667</v>
      </c>
    </row>
    <row r="292" spans="1:1" ht="14.25" customHeight="1" x14ac:dyDescent="0.25"/>
    <row r="293" spans="1:1" ht="14.25" customHeight="1" x14ac:dyDescent="0.25">
      <c r="A293" s="121" t="s">
        <v>668</v>
      </c>
    </row>
    <row r="294" spans="1:1" ht="14.25" customHeight="1" x14ac:dyDescent="0.25">
      <c r="A294" s="11" t="s">
        <v>669</v>
      </c>
    </row>
    <row r="295" spans="1:1" ht="14.25" customHeight="1" x14ac:dyDescent="0.25"/>
    <row r="296" spans="1:1" ht="14.25" customHeight="1" x14ac:dyDescent="0.25">
      <c r="A296" s="121" t="s">
        <v>670</v>
      </c>
    </row>
    <row r="297" spans="1:1" ht="14.25" customHeight="1" x14ac:dyDescent="0.25">
      <c r="A297" s="11" t="s">
        <v>671</v>
      </c>
    </row>
    <row r="298" spans="1:1" ht="14.25" customHeight="1" x14ac:dyDescent="0.25"/>
    <row r="299" spans="1:1" ht="14.25" customHeight="1" x14ac:dyDescent="0.25">
      <c r="A299" s="121" t="s">
        <v>672</v>
      </c>
    </row>
    <row r="300" spans="1:1" ht="14.25" customHeight="1" x14ac:dyDescent="0.25">
      <c r="A300" s="11" t="s">
        <v>673</v>
      </c>
    </row>
    <row r="301" spans="1:1" ht="14.25" customHeight="1" x14ac:dyDescent="0.25"/>
    <row r="302" spans="1:1" ht="14.25" customHeight="1" x14ac:dyDescent="0.25">
      <c r="A302" s="121" t="s">
        <v>674</v>
      </c>
    </row>
    <row r="303" spans="1:1" ht="14.25" customHeight="1" x14ac:dyDescent="0.25">
      <c r="A303" s="11" t="s">
        <v>675</v>
      </c>
    </row>
    <row r="304" spans="1:1" ht="14.25" customHeight="1" x14ac:dyDescent="0.25"/>
    <row r="305" spans="1:1" ht="14.25" customHeight="1" x14ac:dyDescent="0.25">
      <c r="A305" s="121" t="s">
        <v>676</v>
      </c>
    </row>
    <row r="306" spans="1:1" ht="14.25" customHeight="1" x14ac:dyDescent="0.25">
      <c r="A306" s="11" t="s">
        <v>677</v>
      </c>
    </row>
    <row r="307" spans="1:1" ht="14.25" customHeight="1" x14ac:dyDescent="0.25">
      <c r="A307" s="11" t="s">
        <v>678</v>
      </c>
    </row>
    <row r="308" spans="1:1" ht="14.25" customHeight="1" x14ac:dyDescent="0.25">
      <c r="A308" s="11" t="s">
        <v>679</v>
      </c>
    </row>
    <row r="309" spans="1:1" ht="14.25" customHeight="1" x14ac:dyDescent="0.25">
      <c r="A309" s="11" t="s">
        <v>680</v>
      </c>
    </row>
    <row r="310" spans="1:1" ht="14.25" customHeight="1" x14ac:dyDescent="0.25"/>
    <row r="311" spans="1:1" ht="14.25" customHeight="1" x14ac:dyDescent="0.25">
      <c r="A311" s="121" t="s">
        <v>681</v>
      </c>
    </row>
    <row r="312" spans="1:1" ht="14.25" customHeight="1" x14ac:dyDescent="0.25">
      <c r="A312" s="11" t="s">
        <v>682</v>
      </c>
    </row>
    <row r="313" spans="1:1" ht="14.25" customHeight="1" x14ac:dyDescent="0.25">
      <c r="A313" s="11" t="s">
        <v>683</v>
      </c>
    </row>
    <row r="314" spans="1:1" ht="14.25" customHeight="1" x14ac:dyDescent="0.25"/>
    <row r="315" spans="1:1" ht="14.25" customHeight="1" x14ac:dyDescent="0.25">
      <c r="A315" s="121" t="s">
        <v>684</v>
      </c>
    </row>
    <row r="316" spans="1:1" ht="14.25" customHeight="1" x14ac:dyDescent="0.25">
      <c r="A316" s="11" t="s">
        <v>685</v>
      </c>
    </row>
    <row r="317" spans="1:1" ht="14.25" customHeight="1" x14ac:dyDescent="0.25">
      <c r="A317" s="11" t="s">
        <v>686</v>
      </c>
    </row>
    <row r="318" spans="1:1" ht="14.25" customHeight="1" x14ac:dyDescent="0.25"/>
    <row r="319" spans="1:1" ht="14.25" customHeight="1" x14ac:dyDescent="0.25">
      <c r="A319" s="121" t="s">
        <v>687</v>
      </c>
    </row>
    <row r="320" spans="1:1" ht="14.25" customHeight="1" x14ac:dyDescent="0.25">
      <c r="A320" s="11" t="s">
        <v>688</v>
      </c>
    </row>
    <row r="321" spans="1:1" ht="14.25" customHeight="1" x14ac:dyDescent="0.25"/>
    <row r="322" spans="1:1" ht="14.25" customHeight="1" x14ac:dyDescent="0.25">
      <c r="A322" s="121" t="s">
        <v>689</v>
      </c>
    </row>
    <row r="323" spans="1:1" ht="14.25" customHeight="1" x14ac:dyDescent="0.25">
      <c r="A323" s="11" t="s">
        <v>690</v>
      </c>
    </row>
    <row r="324" spans="1:1" ht="14.25" customHeight="1" x14ac:dyDescent="0.25"/>
    <row r="325" spans="1:1" ht="14.25" customHeight="1" x14ac:dyDescent="0.25">
      <c r="A325" s="121" t="s">
        <v>691</v>
      </c>
    </row>
    <row r="326" spans="1:1" ht="14.25" customHeight="1" x14ac:dyDescent="0.25">
      <c r="A326" s="11" t="s">
        <v>692</v>
      </c>
    </row>
    <row r="327" spans="1:1" ht="14.25" customHeight="1" x14ac:dyDescent="0.25"/>
    <row r="328" spans="1:1" ht="14.25" customHeight="1" x14ac:dyDescent="0.25">
      <c r="A328" s="121" t="s">
        <v>693</v>
      </c>
    </row>
    <row r="329" spans="1:1" ht="14.25" customHeight="1" x14ac:dyDescent="0.25">
      <c r="A329" s="11" t="s">
        <v>694</v>
      </c>
    </row>
    <row r="330" spans="1:1" ht="14.25" customHeight="1" x14ac:dyDescent="0.25"/>
    <row r="331" spans="1:1" ht="14.25" customHeight="1" x14ac:dyDescent="0.25">
      <c r="A331" s="121" t="s">
        <v>695</v>
      </c>
    </row>
    <row r="332" spans="1:1" ht="14.25" customHeight="1" x14ac:dyDescent="0.25">
      <c r="A332" s="11" t="s">
        <v>696</v>
      </c>
    </row>
    <row r="333" spans="1:1" ht="14.25" customHeight="1" x14ac:dyDescent="0.25">
      <c r="A333" s="11" t="s">
        <v>697</v>
      </c>
    </row>
    <row r="334" spans="1:1" ht="14.25" customHeight="1" x14ac:dyDescent="0.25"/>
    <row r="335" spans="1:1" ht="14.25" customHeight="1" x14ac:dyDescent="0.25">
      <c r="A335" s="121" t="s">
        <v>698</v>
      </c>
    </row>
    <row r="336" spans="1:1" ht="14.25" customHeight="1" x14ac:dyDescent="0.25">
      <c r="A336" s="11" t="s">
        <v>699</v>
      </c>
    </row>
    <row r="337" spans="1:1" ht="14.25" customHeight="1" x14ac:dyDescent="0.25">
      <c r="A337" s="11" t="s">
        <v>700</v>
      </c>
    </row>
    <row r="338" spans="1:1" ht="14.25" customHeight="1" x14ac:dyDescent="0.25">
      <c r="A338" s="11" t="s">
        <v>701</v>
      </c>
    </row>
    <row r="339" spans="1:1" ht="14.25" customHeight="1" x14ac:dyDescent="0.25">
      <c r="A339" s="11" t="s">
        <v>702</v>
      </c>
    </row>
    <row r="340" spans="1:1" ht="14.25" customHeight="1" x14ac:dyDescent="0.25"/>
    <row r="341" spans="1:1" ht="14.25" customHeight="1" x14ac:dyDescent="0.25"/>
    <row r="342" spans="1:1" ht="14.25" customHeight="1" x14ac:dyDescent="0.25"/>
    <row r="343" spans="1:1" ht="14.25" customHeight="1" x14ac:dyDescent="0.25"/>
    <row r="344" spans="1:1" ht="14.25" customHeight="1" x14ac:dyDescent="0.25"/>
    <row r="345" spans="1:1" ht="14.25" customHeight="1" x14ac:dyDescent="0.25"/>
    <row r="346" spans="1:1" ht="14.25" customHeight="1" x14ac:dyDescent="0.25"/>
    <row r="347" spans="1:1" ht="14.25" customHeight="1" x14ac:dyDescent="0.25"/>
    <row r="348" spans="1:1" ht="14.25" customHeight="1" x14ac:dyDescent="0.25"/>
    <row r="349" spans="1:1" ht="14.25" customHeight="1" x14ac:dyDescent="0.25"/>
    <row r="350" spans="1:1" ht="14.25" customHeight="1" x14ac:dyDescent="0.25"/>
    <row r="351" spans="1:1" ht="14.25" customHeight="1" x14ac:dyDescent="0.25"/>
    <row r="352" spans="1:1"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row r="1048" ht="14.25" customHeight="1" x14ac:dyDescent="0.25"/>
    <row r="1049" ht="14.25" customHeight="1" x14ac:dyDescent="0.25"/>
    <row r="1050" ht="14.25" customHeight="1" x14ac:dyDescent="0.25"/>
    <row r="1051" ht="14.25" customHeight="1" x14ac:dyDescent="0.25"/>
    <row r="1052" ht="14.25" customHeight="1" x14ac:dyDescent="0.25"/>
    <row r="1053" ht="14.25" customHeight="1" x14ac:dyDescent="0.25"/>
    <row r="1054" ht="14.25" customHeight="1" x14ac:dyDescent="0.25"/>
    <row r="1055" ht="14.25" customHeight="1" x14ac:dyDescent="0.25"/>
    <row r="1056" ht="14.25" customHeight="1" x14ac:dyDescent="0.25"/>
    <row r="1057" ht="14.25" customHeight="1" x14ac:dyDescent="0.25"/>
    <row r="1058" ht="14.25" customHeight="1" x14ac:dyDescent="0.25"/>
    <row r="1059" ht="14.25" customHeight="1" x14ac:dyDescent="0.25"/>
    <row r="1060" ht="14.25" customHeight="1" x14ac:dyDescent="0.25"/>
    <row r="1061" ht="14.25" customHeight="1" x14ac:dyDescent="0.25"/>
    <row r="1062" ht="14.25" customHeight="1" x14ac:dyDescent="0.25"/>
    <row r="1063" ht="14.25" customHeight="1" x14ac:dyDescent="0.25"/>
    <row r="1064" ht="14.25" customHeight="1" x14ac:dyDescent="0.25"/>
    <row r="1065" ht="14.25" customHeight="1" x14ac:dyDescent="0.25"/>
    <row r="1066" ht="14.25" customHeight="1" x14ac:dyDescent="0.25"/>
    <row r="1067" ht="14.25" customHeight="1" x14ac:dyDescent="0.25"/>
    <row r="1068" ht="14.25" customHeight="1" x14ac:dyDescent="0.25"/>
    <row r="1069" ht="14.25" customHeight="1" x14ac:dyDescent="0.25"/>
    <row r="1070" ht="14.25" customHeight="1" x14ac:dyDescent="0.25"/>
    <row r="1071" ht="14.25" customHeight="1" x14ac:dyDescent="0.25"/>
    <row r="1072" ht="14.25" customHeight="1" x14ac:dyDescent="0.25"/>
    <row r="1073" ht="14.25" customHeight="1" x14ac:dyDescent="0.25"/>
    <row r="1074" ht="14.25" customHeight="1" x14ac:dyDescent="0.25"/>
    <row r="1075" ht="14.25" customHeight="1" x14ac:dyDescent="0.25"/>
    <row r="1076" ht="14.25" customHeight="1" x14ac:dyDescent="0.25"/>
    <row r="1077" ht="14.25" customHeight="1" x14ac:dyDescent="0.25"/>
    <row r="1078" ht="14.25" customHeight="1" x14ac:dyDescent="0.25"/>
    <row r="1079" ht="14.25" customHeight="1" x14ac:dyDescent="0.25"/>
    <row r="1080" ht="14.25" customHeight="1" x14ac:dyDescent="0.25"/>
    <row r="1081" ht="14.25" customHeight="1" x14ac:dyDescent="0.25"/>
    <row r="1082" ht="14.25" customHeight="1" x14ac:dyDescent="0.25"/>
    <row r="1083" ht="14.25" customHeight="1" x14ac:dyDescent="0.25"/>
    <row r="1084" ht="14.25" customHeight="1" x14ac:dyDescent="0.25"/>
    <row r="1085" ht="14.25" customHeight="1" x14ac:dyDescent="0.25"/>
    <row r="1086" ht="14.25" customHeight="1" x14ac:dyDescent="0.25"/>
    <row r="1087" ht="14.25" customHeight="1" x14ac:dyDescent="0.25"/>
    <row r="1088" ht="14.25" customHeight="1" x14ac:dyDescent="0.25"/>
    <row r="1089" ht="14.25" customHeight="1" x14ac:dyDescent="0.25"/>
    <row r="1090" ht="14.25" customHeight="1" x14ac:dyDescent="0.25"/>
    <row r="1091" ht="14.25" customHeight="1" x14ac:dyDescent="0.25"/>
    <row r="1092" ht="14.25" customHeight="1" x14ac:dyDescent="0.25"/>
    <row r="1093" ht="14.25" customHeight="1" x14ac:dyDescent="0.25"/>
    <row r="1094" ht="14.25" customHeight="1" x14ac:dyDescent="0.25"/>
    <row r="1095" ht="14.25" customHeight="1" x14ac:dyDescent="0.25"/>
    <row r="1096" ht="14.25" customHeight="1" x14ac:dyDescent="0.25"/>
    <row r="1097" ht="14.25" customHeight="1" x14ac:dyDescent="0.25"/>
    <row r="1098" ht="14.25" customHeight="1" x14ac:dyDescent="0.25"/>
    <row r="1099" ht="14.25" customHeight="1" x14ac:dyDescent="0.25"/>
    <row r="1100" ht="14.25" customHeight="1" x14ac:dyDescent="0.25"/>
    <row r="1101" ht="14.25" customHeight="1" x14ac:dyDescent="0.25"/>
    <row r="1102" ht="14.25" customHeight="1" x14ac:dyDescent="0.25"/>
    <row r="1103" ht="14.25" customHeight="1" x14ac:dyDescent="0.25"/>
    <row r="1104" ht="14.25" customHeight="1" x14ac:dyDescent="0.25"/>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heetViews>
  <sheetFormatPr defaultColWidth="14.42578125" defaultRowHeight="15" customHeight="1" x14ac:dyDescent="0.25"/>
  <cols>
    <col min="1" max="1" width="33.85546875" customWidth="1"/>
    <col min="2" max="2" width="8.7109375" hidden="1" customWidth="1"/>
    <col min="3" max="6" width="8.7109375" customWidth="1"/>
    <col min="7" max="7" width="3.140625" customWidth="1"/>
    <col min="8" max="8" width="83.140625" customWidth="1"/>
    <col min="9" max="26" width="8.7109375" customWidth="1"/>
  </cols>
  <sheetData>
    <row r="1" spans="1:8" ht="14.25" customHeight="1" x14ac:dyDescent="0.3">
      <c r="A1" s="184" t="s">
        <v>703</v>
      </c>
      <c r="B1" s="152"/>
      <c r="C1" s="152"/>
      <c r="D1" s="152"/>
      <c r="E1" s="152"/>
      <c r="F1" s="134"/>
    </row>
    <row r="2" spans="1:8" ht="14.25" customHeight="1" x14ac:dyDescent="0.25">
      <c r="A2" s="158" t="s">
        <v>704</v>
      </c>
      <c r="B2" s="134"/>
      <c r="C2" s="122" t="s">
        <v>705</v>
      </c>
      <c r="D2" s="122" t="s">
        <v>706</v>
      </c>
      <c r="E2" s="122" t="s">
        <v>707</v>
      </c>
      <c r="F2" s="122" t="s">
        <v>708</v>
      </c>
    </row>
    <row r="3" spans="1:8" ht="14.25" customHeight="1" x14ac:dyDescent="0.25">
      <c r="A3" s="123" t="str">
        <f>IF(ISBLANK(Calculations!$B3), Calculations!$A3, CONCATENATE(Calculations!$A3, " (", Calculations!$B3, ")"))</f>
        <v>Albedo</v>
      </c>
      <c r="B3" s="123" t="str">
        <f>Calculations!$C3</f>
        <v>Geo</v>
      </c>
      <c r="C3" s="15">
        <f>Calculations!S3</f>
        <v>3.2006828123332975</v>
      </c>
      <c r="D3" s="15">
        <f>Calculations!T3</f>
        <v>2.318930200200974</v>
      </c>
      <c r="E3" s="15">
        <f>Calculations!U3</f>
        <v>1.5660889538525788</v>
      </c>
      <c r="F3" s="15">
        <f>Calculations!V3</f>
        <v>1.0760864886580486</v>
      </c>
      <c r="H3" s="11" t="s">
        <v>709</v>
      </c>
    </row>
    <row r="4" spans="1:8" ht="14.25" customHeight="1" x14ac:dyDescent="0.25">
      <c r="A4" s="123" t="str">
        <f>IF(ISBLANK(Calculations!$B4), Calculations!$A4, CONCATENATE(Calculations!$A4, " (", Calculations!$B4, ")"))</f>
        <v>Amber</v>
      </c>
      <c r="B4" s="14" t="str">
        <f>Calculations!$C4</f>
        <v>Pyro</v>
      </c>
      <c r="C4" s="15">
        <f>Calculations!S4</f>
        <v>2.2746227917203727</v>
      </c>
      <c r="D4" s="15">
        <f>Calculations!T4</f>
        <v>1.7907240494239838</v>
      </c>
      <c r="E4" s="15">
        <f>Calculations!U4</f>
        <v>1.3059376632422077</v>
      </c>
      <c r="F4" s="15">
        <f>Calculations!V4</f>
        <v>1</v>
      </c>
    </row>
    <row r="5" spans="1:8" ht="14.25" customHeight="1" x14ac:dyDescent="0.25">
      <c r="A5" s="123" t="str">
        <f>IF(ISBLANK(Calculations!$B5), Calculations!$A5, CONCATENATE(Calculations!$A5, " (", Calculations!$B5, ")"))</f>
        <v>Barbara</v>
      </c>
      <c r="B5" s="124" t="str">
        <f>Calculations!$C5</f>
        <v>Hydro</v>
      </c>
      <c r="C5" s="15">
        <f>Calculations!S5</f>
        <v>8.7697929354445794</v>
      </c>
      <c r="D5" s="15">
        <f>Calculations!T5</f>
        <v>4.6942234971965062</v>
      </c>
      <c r="E5" s="15">
        <f>Calculations!U5</f>
        <v>2.592165898617512</v>
      </c>
      <c r="F5" s="15">
        <f>Calculations!V5</f>
        <v>1.5921594990004777</v>
      </c>
      <c r="H5" s="11" t="s">
        <v>709</v>
      </c>
    </row>
    <row r="6" spans="1:8" ht="14.25" customHeight="1" x14ac:dyDescent="0.25">
      <c r="A6" s="123" t="str">
        <f>IF(ISBLANK(Calculations!$B6), Calculations!$A6, CONCATENATE(Calculations!$A6, " (", Calculations!$B6, ")"))</f>
        <v>Beidou</v>
      </c>
      <c r="B6" s="125" t="str">
        <f>Calculations!$C6</f>
        <v>Electro</v>
      </c>
      <c r="C6" s="15">
        <f>Calculations!S6</f>
        <v>3.2658985757053434</v>
      </c>
      <c r="D6" s="15">
        <f>Calculations!T6</f>
        <v>2.4679509151984642</v>
      </c>
      <c r="E6" s="15">
        <f>Calculations!U6</f>
        <v>1.73027011439008</v>
      </c>
      <c r="F6" s="15">
        <f>Calculations!V6</f>
        <v>1.2191487632413103</v>
      </c>
      <c r="H6" s="11" t="s">
        <v>710</v>
      </c>
    </row>
    <row r="7" spans="1:8" ht="14.25" customHeight="1" x14ac:dyDescent="0.25">
      <c r="A7" s="123" t="str">
        <f>IF(ISBLANK(Calculations!$B7), Calculations!$A7, CONCATENATE(Calculations!$A7, " (", Calculations!$B7, ")"))</f>
        <v>Bennett (carry)</v>
      </c>
      <c r="B7" s="11" t="str">
        <f>Calculations!$C7</f>
        <v>Pyro</v>
      </c>
      <c r="C7" s="15">
        <f>Calculations!S7</f>
        <v>1.227454055712776</v>
      </c>
      <c r="D7" s="15">
        <f>Calculations!T7</f>
        <v>1.0944577873711734</v>
      </c>
      <c r="E7" s="15">
        <f>Calculations!U7</f>
        <v>1</v>
      </c>
      <c r="F7" s="15">
        <f>Calculations!V7</f>
        <v>1</v>
      </c>
    </row>
    <row r="8" spans="1:8" ht="14.25" customHeight="1" x14ac:dyDescent="0.25">
      <c r="A8" s="123" t="str">
        <f>IF(ISBLANK(Calculations!$B8), Calculations!$A8, CONCATENATE(Calculations!$A8, " (", Calculations!$B8, ")"))</f>
        <v>Bennett (support)</v>
      </c>
      <c r="B8" s="11" t="str">
        <f>Calculations!$C8</f>
        <v>Pyro</v>
      </c>
      <c r="C8" s="15">
        <f>Calculations!S8</f>
        <v>2.9095611411945366</v>
      </c>
      <c r="D8" s="15">
        <f>Calculations!T8</f>
        <v>2.258894396686955</v>
      </c>
      <c r="E8" s="15">
        <f>Calculations!U8</f>
        <v>1.6248420292471568</v>
      </c>
      <c r="F8" s="15">
        <f>Calculations!V8</f>
        <v>1.1658484137984637</v>
      </c>
    </row>
    <row r="9" spans="1:8" ht="14.25" customHeight="1" x14ac:dyDescent="0.25">
      <c r="A9" s="123" t="str">
        <f>IF(ISBLANK(Calculations!$B9), Calculations!$A9, CONCATENATE(Calculations!$A9, " (", Calculations!$B9, ")"))</f>
        <v>Chongyun</v>
      </c>
      <c r="B9" s="11" t="str">
        <f>Calculations!$C9</f>
        <v>Cryo</v>
      </c>
      <c r="C9" s="15">
        <f>Calculations!S9</f>
        <v>2.2746227917203727</v>
      </c>
      <c r="D9" s="15">
        <f>Calculations!T9</f>
        <v>1.7907240494239838</v>
      </c>
      <c r="E9" s="15">
        <f>Calculations!U9</f>
        <v>1.3059376632422077</v>
      </c>
      <c r="F9" s="15">
        <f>Calculations!V9</f>
        <v>1</v>
      </c>
      <c r="H9" s="11" t="s">
        <v>709</v>
      </c>
    </row>
    <row r="10" spans="1:8" ht="14.25" customHeight="1" x14ac:dyDescent="0.25">
      <c r="A10" s="123" t="str">
        <f>IF(ISBLANK(Calculations!$B10), Calculations!$A10, CONCATENATE(Calculations!$A10, " (", Calculations!$B10, ")"))</f>
        <v>Diluc</v>
      </c>
      <c r="B10" s="11" t="str">
        <f>Calculations!$C10</f>
        <v>Pyro</v>
      </c>
      <c r="C10" s="15">
        <f>Calculations!S10</f>
        <v>2.2003007077633945</v>
      </c>
      <c r="D10" s="15">
        <f>Calculations!T10</f>
        <v>1.7443381690263684</v>
      </c>
      <c r="E10" s="15">
        <f>Calculations!U10</f>
        <v>1.2810931995302657</v>
      </c>
      <c r="F10" s="15">
        <f>Calculations!V10</f>
        <v>1</v>
      </c>
    </row>
    <row r="11" spans="1:8" ht="14.25" customHeight="1" x14ac:dyDescent="0.25">
      <c r="A11" s="123" t="str">
        <f>IF(ISBLANK(Calculations!$B11), Calculations!$A11, CONCATENATE(Calculations!$A11, " (", Calculations!$B11, ")"))</f>
        <v>Diona</v>
      </c>
      <c r="B11" s="11" t="str">
        <f>Calculations!$C11</f>
        <v>Cryo</v>
      </c>
      <c r="C11" s="15">
        <f>Calculations!S11</f>
        <v>3.7543018041505896</v>
      </c>
      <c r="D11" s="15">
        <f>Calculations!T11</f>
        <v>2.7370181707595229</v>
      </c>
      <c r="E11" s="15">
        <f>Calculations!U11</f>
        <v>1.8583522609952512</v>
      </c>
      <c r="F11" s="15">
        <f>Calculations!V11</f>
        <v>1.2813759129803381</v>
      </c>
    </row>
    <row r="12" spans="1:8" ht="14.25" customHeight="1" x14ac:dyDescent="0.25">
      <c r="A12" s="123" t="str">
        <f>IF(ISBLANK(Calculations!$B12), Calculations!$A12, CONCATENATE(Calculations!$A12, " (", Calculations!$B12, ")"))</f>
        <v>Fischl</v>
      </c>
      <c r="B12" s="11" t="str">
        <f>Calculations!$C12</f>
        <v>Electro</v>
      </c>
      <c r="C12" s="15">
        <f>Calculations!S12</f>
        <v>2.4746372594217227</v>
      </c>
      <c r="D12" s="15">
        <f>Calculations!T12</f>
        <v>1.757161572308175</v>
      </c>
      <c r="E12" s="15">
        <f>Calculations!U12</f>
        <v>1.16683895548034</v>
      </c>
      <c r="F12" s="15">
        <f>Calculations!V12</f>
        <v>1</v>
      </c>
      <c r="H12" s="11" t="s">
        <v>711</v>
      </c>
    </row>
    <row r="13" spans="1:8" ht="14.25" customHeight="1" x14ac:dyDescent="0.25">
      <c r="A13" s="123" t="str">
        <f>IF(ISBLANK(Calculations!$B13), Calculations!$A13, CONCATENATE(Calculations!$A13, " (", Calculations!$B13, ")"))</f>
        <v>Ganyu</v>
      </c>
      <c r="B13" s="126" t="str">
        <f>Calculations!$C13</f>
        <v>Cryo</v>
      </c>
      <c r="C13" s="15">
        <f>Calculations!S13</f>
        <v>2.2504219541163968</v>
      </c>
      <c r="D13" s="15">
        <f>Calculations!T13</f>
        <v>1.8403967077347787</v>
      </c>
      <c r="E13" s="15">
        <f>Calculations!U13</f>
        <v>1.3964313421256787</v>
      </c>
      <c r="F13" s="15">
        <f>Calculations!V13</f>
        <v>1.0433935796515066</v>
      </c>
      <c r="H13" s="11" t="s">
        <v>712</v>
      </c>
    </row>
    <row r="14" spans="1:8" ht="14.25" customHeight="1" x14ac:dyDescent="0.25">
      <c r="A14" s="123" t="str">
        <f>IF(ISBLANK(Calculations!$B14), Calculations!$A14, CONCATENATE(Calculations!$A14, " (", Calculations!$B14, ")"))</f>
        <v>Hu Tao</v>
      </c>
      <c r="B14" s="126" t="str">
        <f>Calculations!$C14</f>
        <v>Pyro</v>
      </c>
      <c r="C14" s="15">
        <f>Calculations!S14</f>
        <v>2.6336966859316702</v>
      </c>
      <c r="D14" s="15">
        <f>Calculations!T14</f>
        <v>2.0890152614170487</v>
      </c>
      <c r="E14" s="15">
        <f>Calculations!U14</f>
        <v>1.5350503155381205</v>
      </c>
      <c r="F14" s="15">
        <f>Calculations!V14</f>
        <v>1.1188880738963412</v>
      </c>
      <c r="H14" s="11" t="s">
        <v>713</v>
      </c>
    </row>
    <row r="15" spans="1:8" ht="14.25" customHeight="1" x14ac:dyDescent="0.25">
      <c r="A15" s="123" t="str">
        <f>IF(ISBLANK(Calculations!$B15), Calculations!$A15, CONCATENATE(Calculations!$A15, " (", Calculations!$B15, ")"))</f>
        <v>Jean (1 E)</v>
      </c>
      <c r="B15" s="127" t="str">
        <f>Calculations!$C15</f>
        <v>Anemo</v>
      </c>
      <c r="C15" s="15">
        <f>Calculations!S15</f>
        <v>3.6953871816257138</v>
      </c>
      <c r="D15" s="15">
        <f>Calculations!T15</f>
        <v>2.5357693154303327</v>
      </c>
      <c r="E15" s="15">
        <f>Calculations!U15</f>
        <v>1.6385514749807983</v>
      </c>
      <c r="F15" s="15">
        <f>Calculations!V15</f>
        <v>1.0950861810010153</v>
      </c>
      <c r="H15" s="11" t="s">
        <v>713</v>
      </c>
    </row>
    <row r="16" spans="1:8" ht="14.25" customHeight="1" x14ac:dyDescent="0.25">
      <c r="A16" s="123" t="str">
        <f>IF(ISBLANK(Calculations!$B16), Calculations!$A16, CONCATENATE(Calculations!$A16, " (", Calculations!$B16, ")"))</f>
        <v>Jean (2 E)</v>
      </c>
      <c r="B16" s="11" t="str">
        <f>Calculations!$C16</f>
        <v>Anemo</v>
      </c>
      <c r="C16" s="15">
        <f>Calculations!S16</f>
        <v>2.5082738198920049</v>
      </c>
      <c r="D16" s="15">
        <f>Calculations!T16</f>
        <v>1.914130001329257</v>
      </c>
      <c r="E16" s="15">
        <f>Calculations!U16</f>
        <v>1.3543381142722786</v>
      </c>
      <c r="F16" s="15">
        <f>Calculations!V16</f>
        <v>1</v>
      </c>
    </row>
    <row r="17" spans="1:8" ht="14.25" customHeight="1" x14ac:dyDescent="0.25">
      <c r="A17" s="123" t="str">
        <f>IF(ISBLANK(Calculations!$B17), Calculations!$A17, CONCATENATE(Calculations!$A17, " (", Calculations!$B17, ")"))</f>
        <v>Kaeya (1 E)</v>
      </c>
      <c r="B17" s="11" t="str">
        <f>Calculations!$C17</f>
        <v>Cryo</v>
      </c>
      <c r="C17" s="15">
        <f>Calculations!S17</f>
        <v>4.0022234574763758</v>
      </c>
      <c r="D17" s="15">
        <f>Calculations!T17</f>
        <v>2.8664702603710488</v>
      </c>
      <c r="E17" s="15">
        <f>Calculations!U17</f>
        <v>1.9171370753008841</v>
      </c>
      <c r="F17" s="15">
        <f>Calculations!V17</f>
        <v>1.3090528275541076</v>
      </c>
    </row>
    <row r="18" spans="1:8" ht="14.25" customHeight="1" x14ac:dyDescent="0.25">
      <c r="A18" s="123" t="str">
        <f>IF(ISBLANK(Calculations!$B18), Calculations!$A18, CONCATENATE(Calculations!$A18, " (", Calculations!$B18, ")"))</f>
        <v>Kaeya (2 E)</v>
      </c>
      <c r="B18" s="11" t="str">
        <f>Calculations!$C18</f>
        <v>Cryo</v>
      </c>
      <c r="C18" s="15">
        <f>Calculations!S18</f>
        <v>2.5927259632697157</v>
      </c>
      <c r="D18" s="15">
        <f>Calculations!T18</f>
        <v>2.0631554816894955</v>
      </c>
      <c r="E18" s="15">
        <f>Calculations!U18</f>
        <v>1.5210410681088389</v>
      </c>
      <c r="F18" s="15">
        <f>Calculations!V18</f>
        <v>1.111426701409042</v>
      </c>
    </row>
    <row r="19" spans="1:8" ht="14.25" customHeight="1" x14ac:dyDescent="0.25">
      <c r="A19" s="123" t="str">
        <f>IF(ISBLANK(Calculations!$B19), Calculations!$A19, CONCATENATE(Calculations!$A19, " (", Calculations!$B19, ")"))</f>
        <v>Keqing</v>
      </c>
      <c r="B19" s="11" t="str">
        <f>Calculations!$C19</f>
        <v>Electro</v>
      </c>
      <c r="C19" s="15">
        <f>Calculations!S19</f>
        <v>1.8428650408501752</v>
      </c>
      <c r="D19" s="15">
        <f>Calculations!T19</f>
        <v>1.5118681650960037</v>
      </c>
      <c r="E19" s="15">
        <f>Calculations!U19</f>
        <v>1.1511012201672934</v>
      </c>
      <c r="F19" s="15">
        <f>Calculations!V19</f>
        <v>1</v>
      </c>
    </row>
    <row r="20" spans="1:8" ht="14.25" customHeight="1" x14ac:dyDescent="0.25">
      <c r="A20" s="123" t="str">
        <f>IF(ISBLANK(Calculations!$B20), Calculations!$A20, CONCATENATE(Calculations!$A20, " (", Calculations!$B20, ")"))</f>
        <v>Klee</v>
      </c>
      <c r="B20" s="11" t="str">
        <f>Calculations!$C20</f>
        <v>Pyro</v>
      </c>
      <c r="C20" s="15">
        <f>Calculations!S20</f>
        <v>2.903928369766879</v>
      </c>
      <c r="D20" s="15">
        <f>Calculations!T20</f>
        <v>2.2554977758285824</v>
      </c>
      <c r="E20" s="15">
        <f>Calculations!U20</f>
        <v>1.6230838593327321</v>
      </c>
      <c r="F20" s="15">
        <f>Calculations!V20</f>
        <v>1.1649429825129114</v>
      </c>
      <c r="H20" s="11" t="s">
        <v>709</v>
      </c>
    </row>
    <row r="21" spans="1:8" ht="14.25" customHeight="1" x14ac:dyDescent="0.25">
      <c r="A21" s="123" t="str">
        <f>IF(ISBLANK(Calculations!$B21), Calculations!$A21, CONCATENATE(Calculations!$A21, " (", Calculations!$B21, ")"))</f>
        <v>Lisa</v>
      </c>
      <c r="B21" s="11" t="str">
        <f>Calculations!$C21</f>
        <v>Electro</v>
      </c>
      <c r="C21" s="15">
        <f>Calculations!S21</f>
        <v>3.2658985757053434</v>
      </c>
      <c r="D21" s="15">
        <f>Calculations!T21</f>
        <v>2.4679509151984642</v>
      </c>
      <c r="E21" s="15">
        <f>Calculations!U21</f>
        <v>1.73027011439008</v>
      </c>
      <c r="F21" s="15">
        <f>Calculations!V21</f>
        <v>1.2191487632413103</v>
      </c>
    </row>
    <row r="22" spans="1:8" ht="14.25" customHeight="1" x14ac:dyDescent="0.25">
      <c r="A22" s="123" t="str">
        <f>IF(ISBLANK(Calculations!$B22), Calculations!$A22, CONCATENATE(Calculations!$A22, " (", Calculations!$B22, ")"))</f>
        <v>Mona</v>
      </c>
      <c r="B22" s="11" t="str">
        <f>Calculations!$C22</f>
        <v>Hydro</v>
      </c>
      <c r="C22" s="15">
        <f>Calculations!S22</f>
        <v>3.5353039379357751</v>
      </c>
      <c r="D22" s="15">
        <f>Calculations!T22</f>
        <v>2.6187531825125485</v>
      </c>
      <c r="E22" s="15">
        <f>Calculations!U22</f>
        <v>1.8030652108584591</v>
      </c>
      <c r="F22" s="15">
        <f>Calculations!V22</f>
        <v>1.2548450963442179</v>
      </c>
    </row>
    <row r="23" spans="1:8" ht="14.25" customHeight="1" x14ac:dyDescent="0.25">
      <c r="A23" s="123" t="str">
        <f>IF(ISBLANK(Calculations!$B23), Calculations!$A23, CONCATENATE(Calculations!$A23, " (", Calculations!$B23, ")"))</f>
        <v>Ningguang (carry)</v>
      </c>
      <c r="B23" s="11" t="str">
        <f>Calculations!$C23</f>
        <v>Geo</v>
      </c>
      <c r="C23" s="15">
        <f>Calculations!S23</f>
        <v>2.3661172016720564</v>
      </c>
      <c r="D23" s="15">
        <f>Calculations!T23</f>
        <v>1.8469494551499106</v>
      </c>
      <c r="E23" s="15">
        <f>Calculations!U23</f>
        <v>1.3355889947466832</v>
      </c>
      <c r="F23" s="15">
        <f>Calculations!V23</f>
        <v>1</v>
      </c>
      <c r="H23" s="11" t="s">
        <v>714</v>
      </c>
    </row>
    <row r="24" spans="1:8" ht="14.25" customHeight="1" x14ac:dyDescent="0.25">
      <c r="A24" s="123" t="str">
        <f>IF(ISBLANK(Calculations!$B24), Calculations!$A24, CONCATENATE(Calculations!$A24, " (", Calculations!$B24, ")"))</f>
        <v>Ningguang (support)</v>
      </c>
      <c r="B24" s="11" t="str">
        <f>Calculations!$C24</f>
        <v>Geo</v>
      </c>
      <c r="C24" s="15">
        <f>Calculations!S24</f>
        <v>2.5161452654533258</v>
      </c>
      <c r="D24" s="15">
        <f>Calculations!T24</f>
        <v>1.9371085426486734</v>
      </c>
      <c r="E24" s="15">
        <f>Calculations!U24</f>
        <v>1.3821063300469916</v>
      </c>
      <c r="F24" s="15">
        <f>Calculations!V24</f>
        <v>1</v>
      </c>
    </row>
    <row r="25" spans="1:8" ht="14.25" customHeight="1" x14ac:dyDescent="0.25">
      <c r="A25" s="123" t="str">
        <f>IF(ISBLANK(Calculations!$B25), Calculations!$A25, CONCATENATE(Calculations!$A25, " (", Calculations!$B25, ")"))</f>
        <v>Noelle</v>
      </c>
      <c r="B25" s="11" t="str">
        <f>Calculations!$C25</f>
        <v>Geo</v>
      </c>
      <c r="C25" s="15">
        <f>Calculations!S25</f>
        <v>6.9270733115258798</v>
      </c>
      <c r="D25" s="15">
        <f>Calculations!T25</f>
        <v>4.1091199634744902</v>
      </c>
      <c r="E25" s="15">
        <f>Calculations!U25</f>
        <v>2.4032042723631508</v>
      </c>
      <c r="F25" s="15">
        <f>Calculations!V25</f>
        <v>1.5188079045513612</v>
      </c>
      <c r="H25" s="11" t="s">
        <v>714</v>
      </c>
    </row>
    <row r="26" spans="1:8" ht="14.25" customHeight="1" x14ac:dyDescent="0.25">
      <c r="A26" s="123" t="str">
        <f>IF(ISBLANK(Calculations!$B26), Calculations!$A26, CONCATENATE(Calculations!$A26, " (", Calculations!$B26, ")"))</f>
        <v>Qiqi</v>
      </c>
      <c r="B26" s="11" t="str">
        <f>Calculations!$C26</f>
        <v>Cryo</v>
      </c>
      <c r="C26" s="15">
        <f>Calculations!S26</f>
        <v>8.7697929354445794</v>
      </c>
      <c r="D26" s="15">
        <f>Calculations!T26</f>
        <v>4.6942234971965062</v>
      </c>
      <c r="E26" s="15">
        <f>Calculations!U26</f>
        <v>2.592165898617512</v>
      </c>
      <c r="F26" s="15">
        <f>Calculations!V26</f>
        <v>1.5921594990004777</v>
      </c>
      <c r="H26" s="11" t="s">
        <v>709</v>
      </c>
    </row>
    <row r="27" spans="1:8" ht="14.25" customHeight="1" x14ac:dyDescent="0.25">
      <c r="A27" s="123" t="str">
        <f>IF(ISBLANK(Calculations!$B27), Calculations!$A27, CONCATENATE(Calculations!$A27, " (", Calculations!$B27, ")"))</f>
        <v>Razor</v>
      </c>
      <c r="B27" s="11" t="str">
        <f>Calculations!$C27</f>
        <v>Electro</v>
      </c>
      <c r="C27" s="15">
        <f>Calculations!S27</f>
        <v>2.6735982176011883</v>
      </c>
      <c r="D27" s="15">
        <f>Calculations!T27</f>
        <v>2.1140407540078692</v>
      </c>
      <c r="E27" s="15">
        <f>Calculations!U27</f>
        <v>1.5485203028217482</v>
      </c>
      <c r="F27" s="15">
        <f>Calculations!V27</f>
        <v>1.1260275000938358</v>
      </c>
      <c r="H27" s="11" t="s">
        <v>715</v>
      </c>
    </row>
    <row r="28" spans="1:8" ht="14.25" customHeight="1" x14ac:dyDescent="0.25">
      <c r="A28" s="123" t="str">
        <f>IF(ISBLANK(Calculations!$B28), Calculations!$A28, CONCATENATE(Calculations!$A28, " (", Calculations!$B28, ")"))</f>
        <v>Sucrose</v>
      </c>
      <c r="B28" s="11" t="str">
        <f>Calculations!$C28</f>
        <v>Anemo</v>
      </c>
      <c r="C28" s="15">
        <f>Calculations!S28</f>
        <v>3.2117048800071371</v>
      </c>
      <c r="D28" s="15">
        <f>Calculations!T28</f>
        <v>2.436878088404522</v>
      </c>
      <c r="E28" s="15">
        <f>Calculations!U28</f>
        <v>1.7149390243902438</v>
      </c>
      <c r="F28" s="15">
        <f>Calculations!V28</f>
        <v>1.2115174929664678</v>
      </c>
      <c r="H28" s="11" t="s">
        <v>713</v>
      </c>
    </row>
    <row r="29" spans="1:8" ht="14.25" customHeight="1" x14ac:dyDescent="0.25">
      <c r="A29" s="123" t="str">
        <f>IF(ISBLANK(Calculations!$B29), Calculations!$A29, CONCATENATE(Calculations!$A29, " (", Calculations!$B29, ")"))</f>
        <v>Tartaglia (ranged burst)</v>
      </c>
      <c r="B29" s="11" t="str">
        <f>Calculations!$C29</f>
        <v>Hydro</v>
      </c>
      <c r="C29" s="15">
        <f>Calculations!S29</f>
        <v>1</v>
      </c>
      <c r="D29" s="15">
        <f>Calculations!T29</f>
        <v>1</v>
      </c>
      <c r="E29" s="15">
        <f>Calculations!U29</f>
        <v>1</v>
      </c>
      <c r="F29" s="15">
        <f>Calculations!V29</f>
        <v>1</v>
      </c>
      <c r="H29" s="11" t="s">
        <v>716</v>
      </c>
    </row>
    <row r="30" spans="1:8" ht="14.25" customHeight="1" x14ac:dyDescent="0.25">
      <c r="A30" s="123" t="str">
        <f>IF(ISBLANK(Calculations!$B30), Calculations!$A30, CONCATENATE(Calculations!$A30, " (", Calculations!$B30, ")"))</f>
        <v>Tartaglia (melee burst)</v>
      </c>
      <c r="B30" s="11" t="str">
        <f>Calculations!$C30</f>
        <v>Hydro</v>
      </c>
      <c r="C30" s="15">
        <f>Calculations!S30</f>
        <v>1.3604928007255959</v>
      </c>
      <c r="D30" s="15">
        <f>Calculations!T30</f>
        <v>1.199000832639467</v>
      </c>
      <c r="E30" s="15">
        <f>Calculations!U30</f>
        <v>1</v>
      </c>
      <c r="F30" s="15">
        <f>Calculations!V30</f>
        <v>1</v>
      </c>
    </row>
    <row r="31" spans="1:8" ht="14.25" customHeight="1" x14ac:dyDescent="0.25">
      <c r="A31" s="123" t="str">
        <f>IF(ISBLANK(Calculations!$B31), Calculations!$A31, CONCATENATE(Calculations!$A31, " (", Calculations!$B31, ")"))</f>
        <v>Traveler (Anemo)</v>
      </c>
      <c r="B31" s="11" t="str">
        <f>Calculations!$C31</f>
        <v>Anemo</v>
      </c>
      <c r="C31" s="15">
        <f>Calculations!S31</f>
        <v>3.5353039379357751</v>
      </c>
      <c r="D31" s="15">
        <f>Calculations!T31</f>
        <v>2.6187531825125485</v>
      </c>
      <c r="E31" s="15">
        <f>Calculations!U31</f>
        <v>1.8030652108584591</v>
      </c>
      <c r="F31" s="15">
        <f>Calculations!V31</f>
        <v>1.2548450963442179</v>
      </c>
    </row>
    <row r="32" spans="1:8" ht="14.25" customHeight="1" x14ac:dyDescent="0.25">
      <c r="A32" s="123" t="str">
        <f>IF(ISBLANK(Calculations!$B32), Calculations!$A32, CONCATENATE(Calculations!$A32, " (", Calculations!$B32, ")"))</f>
        <v>Traveler (Geo) (1 E)</v>
      </c>
      <c r="B32" s="11" t="str">
        <f>Calculations!$C32</f>
        <v>Geo</v>
      </c>
      <c r="C32" s="15">
        <f>Calculations!S32</f>
        <v>2.9219830524982959</v>
      </c>
      <c r="D32" s="15">
        <f>Calculations!T32</f>
        <v>2.1690405610584924</v>
      </c>
      <c r="E32" s="15">
        <f>Calculations!U32</f>
        <v>1.4962593516209477</v>
      </c>
      <c r="F32" s="15">
        <f>Calculations!V32</f>
        <v>1.0426513929822609</v>
      </c>
      <c r="H32" s="11" t="s">
        <v>717</v>
      </c>
    </row>
    <row r="33" spans="1:8" ht="14.25" customHeight="1" x14ac:dyDescent="0.25">
      <c r="A33" s="123" t="str">
        <f>IF(ISBLANK(Calculations!$B33), Calculations!$A33, CONCATENATE(Calculations!$A33, " (", Calculations!$B33, ")"))</f>
        <v>Traveler (Geo) (2 E)</v>
      </c>
      <c r="B33" s="11" t="str">
        <f>Calculations!$C33</f>
        <v>Geo</v>
      </c>
      <c r="C33" s="15">
        <f>Calculations!S33</f>
        <v>1.8449049873931493</v>
      </c>
      <c r="D33" s="15">
        <f>Calculations!T33</f>
        <v>1.5132408575031526</v>
      </c>
      <c r="E33" s="15">
        <f>Calculations!U33</f>
        <v>1.1518967900476118</v>
      </c>
      <c r="F33" s="15">
        <f>Calculations!V33</f>
        <v>1</v>
      </c>
    </row>
    <row r="34" spans="1:8" ht="14.25" customHeight="1" x14ac:dyDescent="0.25">
      <c r="A34" s="123" t="str">
        <f>IF(ISBLANK(Calculations!$B34), Calculations!$A34, CONCATENATE(Calculations!$A34, " (", Calculations!$B34, ")"))</f>
        <v>Venti (1 E)</v>
      </c>
      <c r="B34" s="11" t="str">
        <f>Calculations!$C34</f>
        <v>Anemo</v>
      </c>
      <c r="C34" s="15">
        <f>Calculations!S34</f>
        <v>2.7912746821048278</v>
      </c>
      <c r="D34" s="15">
        <f>Calculations!T34</f>
        <v>2.0397371005514846</v>
      </c>
      <c r="E34" s="15">
        <f>Calculations!U34</f>
        <v>1.3877467105263159</v>
      </c>
      <c r="F34" s="15">
        <f>Calculations!V34</f>
        <v>1</v>
      </c>
    </row>
    <row r="35" spans="1:8" ht="14.25" customHeight="1" x14ac:dyDescent="0.25">
      <c r="A35" s="123" t="str">
        <f>IF(ISBLANK(Calculations!$B35), Calculations!$A35, CONCATENATE(Calculations!$A35, " (", Calculations!$B35, ")"))</f>
        <v>Venti (2 E)</v>
      </c>
      <c r="B35" s="11" t="str">
        <f>Calculations!$C35</f>
        <v>Anemo</v>
      </c>
      <c r="C35" s="15">
        <f>Calculations!S35</f>
        <v>1.7912824255290918</v>
      </c>
      <c r="D35" s="15">
        <f>Calculations!T35</f>
        <v>1.4487310189408167</v>
      </c>
      <c r="E35" s="15">
        <f>Calculations!U35</f>
        <v>1.0862568393949148</v>
      </c>
      <c r="F35" s="15">
        <f>Calculations!V35</f>
        <v>1</v>
      </c>
    </row>
    <row r="36" spans="1:8" ht="14.25" customHeight="1" x14ac:dyDescent="0.25">
      <c r="A36" s="123" t="str">
        <f>IF(ISBLANK(Calculations!$B36), Calculations!$A36, CONCATENATE(Calculations!$A36, " (", Calculations!$B36, ")"))</f>
        <v>Xiangling (support)</v>
      </c>
      <c r="B36" s="11" t="str">
        <f>Calculations!$C36</f>
        <v>Pyro</v>
      </c>
      <c r="C36" s="15">
        <f>Calculations!S36</f>
        <v>4.7089601046435581</v>
      </c>
      <c r="D36" s="15">
        <f>Calculations!T36</f>
        <v>3.2117048800071375</v>
      </c>
      <c r="E36" s="15">
        <f>Calculations!U36</f>
        <v>2.0656414964425065</v>
      </c>
      <c r="F36" s="15">
        <f>Calculations!V36</f>
        <v>1.3766309252489408</v>
      </c>
    </row>
    <row r="37" spans="1:8" ht="14.25" customHeight="1" x14ac:dyDescent="0.25">
      <c r="A37" s="123" t="str">
        <f>IF(ISBLANK(Calculations!$B37), Calculations!$A37, CONCATENATE(Calculations!$A37, " (", Calculations!$B37, ")"))</f>
        <v>Xiao</v>
      </c>
      <c r="B37" s="11" t="str">
        <f>Calculations!$C37</f>
        <v>Anemo</v>
      </c>
      <c r="C37" s="15">
        <f>Calculations!S37</f>
        <v>2.4364775495997213</v>
      </c>
      <c r="D37" s="15">
        <f>Calculations!T37</f>
        <v>1.952144570249317</v>
      </c>
      <c r="E37" s="15">
        <f>Calculations!U37</f>
        <v>1.4493953950637735</v>
      </c>
      <c r="F37" s="15">
        <f>Calculations!V37</f>
        <v>1.0647748153376249</v>
      </c>
    </row>
    <row r="38" spans="1:8" ht="14.25" customHeight="1" x14ac:dyDescent="0.25">
      <c r="A38" s="123" t="str">
        <f>IF(ISBLANK(Calculations!$B38), Calculations!$A38, CONCATENATE(Calculations!$A38, " (", Calculations!$B38, ")"))</f>
        <v>Xingqiu</v>
      </c>
      <c r="B38" s="11" t="str">
        <f>Calculations!$C38</f>
        <v>Hydro</v>
      </c>
      <c r="C38" s="15">
        <f>Calculations!S38</f>
        <v>3.2909772374074415</v>
      </c>
      <c r="D38" s="15">
        <f>Calculations!T38</f>
        <v>2.4822450527477073</v>
      </c>
      <c r="E38" s="15">
        <f>Calculations!U38</f>
        <v>1.7372840459415118</v>
      </c>
      <c r="F38" s="15">
        <f>Calculations!V38</f>
        <v>1.2226267456392981</v>
      </c>
      <c r="H38" s="11" t="s">
        <v>718</v>
      </c>
    </row>
    <row r="39" spans="1:8" ht="14.25" customHeight="1" x14ac:dyDescent="0.25">
      <c r="A39" s="123" t="str">
        <f>IF(ISBLANK(Calculations!$B39), Calculations!$A39, CONCATENATE(Calculations!$A39, " (", Calculations!$B39, ")"))</f>
        <v>Xingqiu (Sac trigger)</v>
      </c>
      <c r="B39" s="11" t="str">
        <f>Calculations!$C39</f>
        <v>Hydro</v>
      </c>
      <c r="C39" s="15">
        <f>Calculations!S39</f>
        <v>2.0351630957091977</v>
      </c>
      <c r="D39" s="15">
        <f>Calculations!T39</f>
        <v>1.6938785112689974</v>
      </c>
      <c r="E39" s="15">
        <f>Calculations!U39</f>
        <v>1.3104251601630752</v>
      </c>
      <c r="F39" s="15">
        <f>Calculations!V39</f>
        <v>1</v>
      </c>
    </row>
    <row r="40" spans="1:8" ht="14.25" customHeight="1" x14ac:dyDescent="0.25">
      <c r="A40" s="123" t="str">
        <f>IF(ISBLANK(Calculations!$B40), Calculations!$A40, CONCATENATE(Calculations!$A40, " (", Calculations!$B40, ")"))</f>
        <v>Xinyan</v>
      </c>
      <c r="B40" s="11" t="str">
        <f>Calculations!$C40</f>
        <v>Pyro</v>
      </c>
      <c r="C40" s="15">
        <f>Calculations!S40</f>
        <v>3.1609447712705236</v>
      </c>
      <c r="D40" s="15">
        <f>Calculations!T40</f>
        <v>2.4075436367284158</v>
      </c>
      <c r="E40" s="15">
        <f>Calculations!U40</f>
        <v>1.7003589646703192</v>
      </c>
      <c r="F40" s="15">
        <f>Calculations!V40</f>
        <v>1.2042228079799833</v>
      </c>
    </row>
    <row r="41" spans="1:8" ht="14.25" customHeight="1" x14ac:dyDescent="0.25">
      <c r="A41" s="123" t="str">
        <f>IF(ISBLANK(Calculations!$B41), Calculations!$A41, CONCATENATE(Calculations!$A41, " (", Calculations!$B41, ")"))</f>
        <v>Zhongli</v>
      </c>
      <c r="B41" s="11" t="str">
        <f>Calculations!$C41</f>
        <v>Geo</v>
      </c>
      <c r="C41" s="15">
        <f>Calculations!S41</f>
        <v>3.5256786931484312</v>
      </c>
      <c r="D41" s="15">
        <f>Calculations!T41</f>
        <v>2.4848836246169141</v>
      </c>
      <c r="E41" s="15">
        <f>Calculations!U41</f>
        <v>1.6400612289525476</v>
      </c>
      <c r="F41" s="15">
        <f>Calculations!V41</f>
        <v>1.1105023912818162</v>
      </c>
      <c r="H41" s="11" t="s">
        <v>717</v>
      </c>
    </row>
    <row r="42" spans="1:8" ht="14.25" customHeight="1" x14ac:dyDescent="0.25"/>
    <row r="43" spans="1:8" ht="14.25" customHeight="1" x14ac:dyDescent="0.25">
      <c r="A43" s="185" t="s">
        <v>719</v>
      </c>
      <c r="B43" s="154"/>
      <c r="C43" s="154"/>
      <c r="D43" s="154"/>
      <c r="E43" s="154"/>
      <c r="F43" s="154"/>
      <c r="G43" s="154"/>
      <c r="H43" s="154"/>
    </row>
    <row r="44" spans="1:8" ht="14.25" customHeight="1" x14ac:dyDescent="0.25">
      <c r="A44" s="162" t="s">
        <v>720</v>
      </c>
      <c r="B44" s="154"/>
      <c r="C44" s="154"/>
      <c r="D44" s="154"/>
      <c r="E44" s="154"/>
      <c r="F44" s="154"/>
      <c r="G44" s="154"/>
      <c r="H44" s="154"/>
    </row>
    <row r="45" spans="1:8" ht="14.25" customHeight="1" x14ac:dyDescent="0.25">
      <c r="A45" s="162" t="s">
        <v>721</v>
      </c>
      <c r="B45" s="154"/>
      <c r="C45" s="154"/>
      <c r="D45" s="154"/>
      <c r="E45" s="154"/>
      <c r="F45" s="154"/>
      <c r="G45" s="154"/>
      <c r="H45" s="154"/>
    </row>
    <row r="46" spans="1:8" ht="14.25" customHeight="1" x14ac:dyDescent="0.25">
      <c r="A46" s="162" t="s">
        <v>722</v>
      </c>
      <c r="B46" s="154"/>
      <c r="C46" s="154"/>
      <c r="D46" s="154"/>
      <c r="E46" s="154"/>
      <c r="F46" s="154"/>
      <c r="G46" s="154"/>
      <c r="H46" s="154"/>
    </row>
    <row r="47" spans="1:8" ht="14.25" customHeight="1" x14ac:dyDescent="0.25">
      <c r="A47" s="162" t="s">
        <v>723</v>
      </c>
      <c r="B47" s="154"/>
      <c r="C47" s="154"/>
      <c r="D47" s="154"/>
      <c r="E47" s="154"/>
      <c r="F47" s="154"/>
      <c r="G47" s="154"/>
      <c r="H47" s="154"/>
    </row>
    <row r="48" spans="1:8" ht="14.25" customHeight="1" x14ac:dyDescent="0.25">
      <c r="A48" s="162" t="s">
        <v>724</v>
      </c>
      <c r="B48" s="154"/>
      <c r="C48" s="154"/>
      <c r="D48" s="154"/>
      <c r="E48" s="154"/>
      <c r="F48" s="154"/>
      <c r="G48" s="154"/>
      <c r="H48" s="154"/>
    </row>
    <row r="49" spans="1:8" ht="14.25" customHeight="1" x14ac:dyDescent="0.25"/>
    <row r="50" spans="1:8" ht="14.25" customHeight="1" x14ac:dyDescent="0.25">
      <c r="A50" s="185" t="s">
        <v>725</v>
      </c>
      <c r="B50" s="154"/>
      <c r="C50" s="154"/>
      <c r="D50" s="154"/>
      <c r="E50" s="154"/>
      <c r="F50" s="154"/>
      <c r="G50" s="154"/>
      <c r="H50" s="154"/>
    </row>
    <row r="51" spans="1:8" ht="14.25" customHeight="1" x14ac:dyDescent="0.25">
      <c r="A51" s="162" t="s">
        <v>726</v>
      </c>
      <c r="B51" s="154"/>
      <c r="C51" s="154"/>
      <c r="D51" s="154"/>
      <c r="E51" s="154"/>
      <c r="F51" s="154"/>
      <c r="G51" s="154"/>
      <c r="H51" s="154"/>
    </row>
    <row r="52" spans="1:8" ht="14.25" customHeight="1" x14ac:dyDescent="0.25">
      <c r="A52" s="162" t="s">
        <v>727</v>
      </c>
      <c r="B52" s="154"/>
      <c r="C52" s="154"/>
      <c r="D52" s="154"/>
      <c r="E52" s="154"/>
      <c r="F52" s="154"/>
      <c r="G52" s="154"/>
      <c r="H52" s="154"/>
    </row>
    <row r="53" spans="1:8" ht="14.25" customHeight="1" x14ac:dyDescent="0.25">
      <c r="A53" s="162" t="s">
        <v>728</v>
      </c>
      <c r="B53" s="154"/>
      <c r="C53" s="154"/>
      <c r="D53" s="154"/>
      <c r="E53" s="154"/>
      <c r="F53" s="154"/>
      <c r="G53" s="154"/>
      <c r="H53" s="154"/>
    </row>
    <row r="54" spans="1:8" ht="14.25" customHeight="1" x14ac:dyDescent="0.25">
      <c r="A54" s="162" t="s">
        <v>729</v>
      </c>
      <c r="B54" s="154"/>
      <c r="C54" s="154"/>
      <c r="D54" s="154"/>
      <c r="E54" s="154"/>
      <c r="F54" s="154"/>
      <c r="G54" s="154"/>
      <c r="H54" s="154"/>
    </row>
    <row r="55" spans="1:8" ht="14.25" customHeight="1" x14ac:dyDescent="0.25">
      <c r="A55" s="162" t="s">
        <v>730</v>
      </c>
      <c r="B55" s="154"/>
      <c r="C55" s="154"/>
      <c r="D55" s="154"/>
      <c r="E55" s="154"/>
      <c r="F55" s="154"/>
      <c r="G55" s="154"/>
      <c r="H55" s="154"/>
    </row>
    <row r="56" spans="1:8" ht="14.25" customHeight="1" x14ac:dyDescent="0.25">
      <c r="A56" s="162" t="s">
        <v>731</v>
      </c>
      <c r="B56" s="154"/>
      <c r="C56" s="154"/>
      <c r="D56" s="154"/>
      <c r="E56" s="154"/>
      <c r="F56" s="154"/>
      <c r="G56" s="154"/>
      <c r="H56" s="154"/>
    </row>
    <row r="57" spans="1:8" ht="14.25" customHeight="1" x14ac:dyDescent="0.25"/>
    <row r="58" spans="1:8" ht="14.25" customHeight="1" x14ac:dyDescent="0.25">
      <c r="A58" s="162" t="s">
        <v>732</v>
      </c>
      <c r="B58" s="154"/>
      <c r="C58" s="154"/>
      <c r="D58" s="154"/>
      <c r="E58" s="154"/>
      <c r="F58" s="154"/>
      <c r="G58" s="154"/>
      <c r="H58" s="154"/>
    </row>
    <row r="59" spans="1:8" ht="14.25" customHeight="1" x14ac:dyDescent="0.25"/>
    <row r="60" spans="1:8" ht="14.25" customHeight="1" x14ac:dyDescent="0.25"/>
    <row r="61" spans="1:8" ht="14.25" customHeight="1" x14ac:dyDescent="0.25"/>
    <row r="62" spans="1:8" ht="14.25" customHeight="1" x14ac:dyDescent="0.25"/>
    <row r="63" spans="1:8" ht="14.25" customHeight="1" x14ac:dyDescent="0.25"/>
    <row r="64" spans="1:8"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6">
    <mergeCell ref="A46:H46"/>
    <mergeCell ref="A47:H47"/>
    <mergeCell ref="A56:H56"/>
    <mergeCell ref="A58:H58"/>
    <mergeCell ref="A48:H48"/>
    <mergeCell ref="A50:H50"/>
    <mergeCell ref="A51:H51"/>
    <mergeCell ref="A52:H52"/>
    <mergeCell ref="A53:H53"/>
    <mergeCell ref="A54:H54"/>
    <mergeCell ref="A55:H55"/>
    <mergeCell ref="A1:F1"/>
    <mergeCell ref="A2:B2"/>
    <mergeCell ref="A43:H43"/>
    <mergeCell ref="A44:H44"/>
    <mergeCell ref="A45:H45"/>
  </mergeCells>
  <conditionalFormatting sqref="A3:F41">
    <cfRule type="expression" dxfId="5" priority="1">
      <formula>$B3="Anemo"</formula>
    </cfRule>
    <cfRule type="expression" dxfId="4" priority="2">
      <formula>$B3="Electro"</formula>
    </cfRule>
    <cfRule type="expression" dxfId="3" priority="3">
      <formula>$B3="Cryo"</formula>
    </cfRule>
    <cfRule type="expression" dxfId="2" priority="4">
      <formula>$B3="Hydro"</formula>
    </cfRule>
    <cfRule type="expression" dxfId="1" priority="5">
      <formula>$B3="Pyro"</formula>
    </cfRule>
    <cfRule type="expression" dxfId="0" priority="6">
      <formula>$B3="Geo"</formula>
    </cfRule>
  </conditionalFormatting>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heetViews>
  <sheetFormatPr defaultColWidth="14.42578125" defaultRowHeight="15" customHeight="1" x14ac:dyDescent="0.25"/>
  <cols>
    <col min="1" max="1" width="16.7109375" customWidth="1"/>
    <col min="2" max="3" width="8.7109375" customWidth="1"/>
    <col min="4" max="6" width="16" customWidth="1"/>
    <col min="7" max="7" width="18.28515625" customWidth="1"/>
    <col min="8" max="9" width="22.140625" customWidth="1"/>
    <col min="10" max="11" width="25.42578125" customWidth="1"/>
    <col min="12" max="26" width="8.7109375" customWidth="1"/>
  </cols>
  <sheetData>
    <row r="1" spans="1:11" ht="14.25" customHeight="1" x14ac:dyDescent="0.25">
      <c r="A1" s="11" t="s">
        <v>14</v>
      </c>
      <c r="B1" s="11" t="s">
        <v>19</v>
      </c>
      <c r="C1" s="11" t="s">
        <v>22</v>
      </c>
      <c r="D1" s="11" t="s">
        <v>733</v>
      </c>
      <c r="E1" s="11" t="s">
        <v>20</v>
      </c>
      <c r="F1" s="11" t="s">
        <v>45</v>
      </c>
      <c r="G1" s="11" t="s">
        <v>734</v>
      </c>
      <c r="H1" s="11" t="s">
        <v>735</v>
      </c>
      <c r="I1" s="11" t="s">
        <v>736</v>
      </c>
      <c r="J1" s="11" t="s">
        <v>737</v>
      </c>
      <c r="K1" s="11" t="s">
        <v>738</v>
      </c>
    </row>
    <row r="2" spans="1:11" ht="14.25" customHeight="1" x14ac:dyDescent="0.25">
      <c r="A2" s="11" t="str">
        <f>Data!$A2</f>
        <v>Albedo</v>
      </c>
      <c r="B2" s="11">
        <v>1</v>
      </c>
      <c r="C2" s="11"/>
      <c r="D2" s="15">
        <f>MIN(1,Data!$R2/Data!$X2)</f>
        <v>1</v>
      </c>
      <c r="E2" s="100">
        <f>Data!$U2</f>
        <v>4</v>
      </c>
      <c r="F2" s="100">
        <f>Data!$X2</f>
        <v>12</v>
      </c>
      <c r="G2" s="100">
        <f>('Self-Funding'!$B2*Data!$F2+'Self-Funding'!$C2*Data!$G2)*3 + ('Self-Funding'!$D2*Data!$O2*Data!$X2)*3*0.6</f>
        <v>6.4799999999999995</v>
      </c>
      <c r="H2" s="100">
        <f>Data!$Y2-Data!$Z2</f>
        <v>40</v>
      </c>
      <c r="I2" s="100">
        <f>'Self-Funding'!$H2-1.2*'Self-Funding'!$F2/2.25</f>
        <v>33.6</v>
      </c>
      <c r="J2" s="15">
        <f>MIN(1,'Self-Funding'!$G2/'Self-Funding'!$H2)</f>
        <v>0.16199999999999998</v>
      </c>
      <c r="K2" s="15">
        <f>MIN(1,'Self-Funding'!$G2/'Self-Funding'!$I2)-'Self-Funding'!$J2</f>
        <v>3.0857142857142861E-2</v>
      </c>
    </row>
    <row r="3" spans="1:11" ht="14.25" customHeight="1" x14ac:dyDescent="0.25">
      <c r="A3" s="11" t="str">
        <f>Data!$A3</f>
        <v>Alhaitham</v>
      </c>
      <c r="B3" s="11">
        <v>1</v>
      </c>
      <c r="C3" s="11"/>
      <c r="D3" s="15">
        <f>MIN(1,Data!$R3/Data!$X3)</f>
        <v>0</v>
      </c>
      <c r="E3" s="100">
        <f>Data!$U3</f>
        <v>1.5</v>
      </c>
      <c r="F3" s="100">
        <f>Data!$X3</f>
        <v>18</v>
      </c>
      <c r="G3" s="100">
        <f>('Self-Funding'!$B3*Data!$F3+'Self-Funding'!$C3*Data!$G3)*3 + ('Self-Funding'!$D3*Data!$O3*Data!$X3)*3*0.6</f>
        <v>3</v>
      </c>
      <c r="H3" s="100">
        <f>Data!$Y3-Data!$Z3</f>
        <v>70</v>
      </c>
      <c r="I3" s="100">
        <f>'Self-Funding'!$H3</f>
        <v>70</v>
      </c>
      <c r="J3" s="15">
        <f>MIN(1,'Self-Funding'!$G3/'Self-Funding'!$H3)</f>
        <v>4.2857142857142858E-2</v>
      </c>
      <c r="K3" s="15">
        <f>MIN(1,'Self-Funding'!$G3/'Self-Funding'!$I3)-'Self-Funding'!$J3</f>
        <v>0</v>
      </c>
    </row>
    <row r="4" spans="1:11" ht="14.25" customHeight="1" x14ac:dyDescent="0.25">
      <c r="A4" s="11" t="str">
        <f>Data!$A4</f>
        <v>Aloy</v>
      </c>
      <c r="B4" s="11">
        <v>1</v>
      </c>
      <c r="C4" s="11"/>
      <c r="D4" s="15">
        <f>MIN(1,Data!$R4/Data!$X4)</f>
        <v>0</v>
      </c>
      <c r="E4" s="100">
        <f>Data!$U4</f>
        <v>20</v>
      </c>
      <c r="F4" s="100">
        <f>Data!$X4</f>
        <v>12</v>
      </c>
      <c r="G4" s="100">
        <f>('Self-Funding'!$B4*Data!$F4+'Self-Funding'!$C4*Data!$G4)*3 + ('Self-Funding'!$D4*Data!$O4*Data!$X4)*3*0.6</f>
        <v>15</v>
      </c>
      <c r="H4" s="100">
        <f>Data!$Y4-Data!$Z4</f>
        <v>40</v>
      </c>
      <c r="I4" s="100">
        <f>'Self-Funding'!$H4-2</f>
        <v>38</v>
      </c>
      <c r="J4" s="15">
        <f>MIN(1,'Self-Funding'!$G4/'Self-Funding'!$H4)</f>
        <v>0.375</v>
      </c>
      <c r="K4" s="15">
        <f>MIN(1,'Self-Funding'!$G4/'Self-Funding'!$I4)-'Self-Funding'!$J4</f>
        <v>1.9736842105263164E-2</v>
      </c>
    </row>
    <row r="5" spans="1:11" ht="14.25" customHeight="1" x14ac:dyDescent="0.25">
      <c r="A5" s="11" t="str">
        <f>Data!$A5</f>
        <v>Amber</v>
      </c>
      <c r="B5" s="11">
        <v>1</v>
      </c>
      <c r="C5" s="11">
        <v>1</v>
      </c>
      <c r="D5" s="15">
        <f>MIN(1,Data!$R5/Data!$X5)</f>
        <v>0</v>
      </c>
      <c r="E5" s="100">
        <f>Data!$U5</f>
        <v>15</v>
      </c>
      <c r="F5" s="100">
        <f>Data!$X5</f>
        <v>12</v>
      </c>
      <c r="G5" s="100">
        <f>('Self-Funding'!$B5*Data!$F5+'Self-Funding'!$C5*Data!$G5)*3 + ('Self-Funding'!$D5*Data!$O5*Data!$X5)*3*0.6</f>
        <v>12</v>
      </c>
      <c r="H5" s="100">
        <f>Data!$Y5-Data!$Z5</f>
        <v>40</v>
      </c>
      <c r="I5" s="100">
        <f>'Self-Funding'!$H5</f>
        <v>40</v>
      </c>
      <c r="J5" s="15">
        <f>MIN(1,'Self-Funding'!$G5/'Self-Funding'!$H5)</f>
        <v>0.3</v>
      </c>
      <c r="K5" s="15">
        <f>MIN(1,'Self-Funding'!$G5/'Self-Funding'!$I5)-'Self-Funding'!$J5</f>
        <v>0</v>
      </c>
    </row>
    <row r="6" spans="1:11" ht="14.25" customHeight="1" x14ac:dyDescent="0.25">
      <c r="A6" s="11" t="str">
        <f>Data!$A7</f>
        <v>Ayaka</v>
      </c>
      <c r="B6" s="11">
        <v>2</v>
      </c>
      <c r="C6" s="11"/>
      <c r="D6" s="15">
        <f>MIN(1,Data!$R7/Data!$X7)</f>
        <v>0</v>
      </c>
      <c r="E6" s="100">
        <f>Data!$U7</f>
        <v>10</v>
      </c>
      <c r="F6" s="100">
        <f>Data!$X7</f>
        <v>20</v>
      </c>
      <c r="G6" s="100">
        <f>('Self-Funding'!$B6*Data!$F7+'Self-Funding'!$C6*Data!$G7)*3 + ('Self-Funding'!$D6*Data!$O7*Data!$X7)*3*0.6</f>
        <v>27</v>
      </c>
      <c r="H6" s="100">
        <f>Data!$Y7-Data!$Z7</f>
        <v>80</v>
      </c>
      <c r="I6" s="100">
        <f>'Self-Funding'!$H6</f>
        <v>80</v>
      </c>
      <c r="J6" s="15">
        <f>MIN(1,'Self-Funding'!$G6/'Self-Funding'!$H6)</f>
        <v>0.33750000000000002</v>
      </c>
      <c r="K6" s="15">
        <f>MIN(1,'Self-Funding'!$G6/'Self-Funding'!$I6)-'Self-Funding'!$J6</f>
        <v>0</v>
      </c>
    </row>
    <row r="7" spans="1:11" ht="14.25" customHeight="1" x14ac:dyDescent="0.25">
      <c r="A7" s="11" t="str">
        <f>Data!$A8</f>
        <v>Ayato</v>
      </c>
      <c r="B7" s="11">
        <v>1</v>
      </c>
      <c r="C7" s="11"/>
      <c r="D7" s="15">
        <f>MIN(1,Data!$R8/Data!$X8)</f>
        <v>0</v>
      </c>
      <c r="E7" s="100">
        <f>Data!$U8</f>
        <v>12</v>
      </c>
      <c r="F7" s="100">
        <f>Data!$X8</f>
        <v>20</v>
      </c>
      <c r="G7" s="100">
        <f>('Self-Funding'!$B7*Data!$F8+'Self-Funding'!$C7*Data!$G8)*3 + ('Self-Funding'!$D7*Data!$O8*Data!$X8)*3*0.6</f>
        <v>13.5</v>
      </c>
      <c r="H7" s="100">
        <f>Data!$Y8-Data!$Z8</f>
        <v>80</v>
      </c>
      <c r="I7" s="100">
        <f>'Self-Funding'!$H7</f>
        <v>80</v>
      </c>
      <c r="J7" s="15">
        <f>MIN(1,'Self-Funding'!$G7/'Self-Funding'!$H7)</f>
        <v>0.16875000000000001</v>
      </c>
      <c r="K7" s="15">
        <f>MIN(1,'Self-Funding'!$G7/'Self-Funding'!$I7)-'Self-Funding'!$J7</f>
        <v>0</v>
      </c>
    </row>
    <row r="8" spans="1:11" ht="14.25" customHeight="1" x14ac:dyDescent="0.25">
      <c r="A8" s="11" t="str">
        <f>Data!$A9</f>
        <v>Baizhu</v>
      </c>
      <c r="B8" s="11">
        <v>1</v>
      </c>
      <c r="C8" s="11"/>
      <c r="D8" s="15">
        <f>MIN(1,Data!$R9/Data!$X9)</f>
        <v>0</v>
      </c>
      <c r="E8" s="100">
        <f>Data!$U9</f>
        <v>10</v>
      </c>
      <c r="F8" s="100">
        <f>Data!$X9</f>
        <v>20</v>
      </c>
      <c r="G8" s="100">
        <f>('Self-Funding'!$B8*Data!$F9+'Self-Funding'!$C8*Data!$G9)*3 + ('Self-Funding'!$D8*Data!$O9*Data!$X9)*3*0.6</f>
        <v>10.5</v>
      </c>
      <c r="H8" s="100">
        <f>Data!$Y9-Data!$Z9</f>
        <v>80</v>
      </c>
      <c r="I8" s="100">
        <f>'Self-Funding'!$H8</f>
        <v>80</v>
      </c>
      <c r="J8" s="15">
        <f>MIN(1,'Self-Funding'!$G8/'Self-Funding'!$H8)</f>
        <v>0.13125000000000001</v>
      </c>
      <c r="K8" s="15">
        <f>MIN(1,'Self-Funding'!$G8/'Self-Funding'!$I8)-'Self-Funding'!$J8</f>
        <v>0</v>
      </c>
    </row>
    <row r="9" spans="1:11" ht="14.25" customHeight="1" x14ac:dyDescent="0.25">
      <c r="A9" s="11" t="str">
        <f>Data!$A10</f>
        <v>Barbara</v>
      </c>
      <c r="B9" s="11"/>
      <c r="C9" s="11">
        <v>1</v>
      </c>
      <c r="D9" s="15">
        <f>MIN(1,Data!$R10/Data!$X10)</f>
        <v>0</v>
      </c>
      <c r="E9" s="100">
        <f>Data!$U10</f>
        <v>32</v>
      </c>
      <c r="F9" s="100">
        <f>Data!$X10</f>
        <v>20</v>
      </c>
      <c r="G9" s="100">
        <f>('Self-Funding'!$B9*Data!$F10+'Self-Funding'!$C9*Data!$G10)*3 + ('Self-Funding'!$D9*Data!$O10*Data!$X10)*3*0.6</f>
        <v>0</v>
      </c>
      <c r="H9" s="100">
        <f>Data!$Y10-Data!$Z10</f>
        <v>80</v>
      </c>
      <c r="I9" s="100">
        <f>'Self-Funding'!$H9-15</f>
        <v>65</v>
      </c>
      <c r="J9" s="15">
        <f>MIN(1,'Self-Funding'!$G9/'Self-Funding'!$H9)</f>
        <v>0</v>
      </c>
      <c r="K9" s="15">
        <f>MIN(1,'Self-Funding'!$G9/'Self-Funding'!$I9)-'Self-Funding'!$J9</f>
        <v>0</v>
      </c>
    </row>
    <row r="10" spans="1:11" ht="14.25" customHeight="1" x14ac:dyDescent="0.25">
      <c r="A10" s="11" t="str">
        <f>Data!$A11</f>
        <v>Beidou</v>
      </c>
      <c r="B10" s="11">
        <v>2</v>
      </c>
      <c r="C10" s="11">
        <v>1</v>
      </c>
      <c r="D10" s="15">
        <f>MIN(1,Data!$R11/Data!$X11)</f>
        <v>0</v>
      </c>
      <c r="E10" s="100">
        <f>Data!$U11</f>
        <v>7.5</v>
      </c>
      <c r="F10" s="100">
        <f>Data!$X11</f>
        <v>20</v>
      </c>
      <c r="G10" s="100">
        <f>('Self-Funding'!$B10*Data!$F11+'Self-Funding'!$C10*Data!$G11)*3 + ('Self-Funding'!$D10*Data!$O11*Data!$X11)*3*0.6</f>
        <v>21</v>
      </c>
      <c r="H10" s="100">
        <f>Data!$Y11-Data!$Z11</f>
        <v>80</v>
      </c>
      <c r="I10" s="100">
        <f>'Self-Funding'!$H10</f>
        <v>80</v>
      </c>
      <c r="J10" s="15">
        <f>MIN(1,'Self-Funding'!$G10/'Self-Funding'!$H10)</f>
        <v>0.26250000000000001</v>
      </c>
      <c r="K10" s="15">
        <f>MIN(1,'Self-Funding'!$G10/'Self-Funding'!$I10)-'Self-Funding'!$J10</f>
        <v>0</v>
      </c>
    </row>
    <row r="11" spans="1:11" ht="14.25" customHeight="1" x14ac:dyDescent="0.25">
      <c r="A11" s="11" t="str">
        <f>Data!$A12</f>
        <v>Bennett</v>
      </c>
      <c r="B11" s="11">
        <v>1</v>
      </c>
      <c r="C11" s="11"/>
      <c r="D11" s="15">
        <v>0.8</v>
      </c>
      <c r="E11" s="100">
        <f>Data!$U12</f>
        <v>4</v>
      </c>
      <c r="F11" s="100">
        <v>25</v>
      </c>
      <c r="G11" s="100">
        <f>('Self-Funding'!$B11*Data!$F12+'Self-Funding'!$C11*Data!$G12)*3 + ('Self-Funding'!$D11*Data!$O12*Data!$X12)*3*0.6</f>
        <v>6.75</v>
      </c>
      <c r="H11" s="100">
        <f>Data!$Y12-Data!$Z12</f>
        <v>60</v>
      </c>
      <c r="I11" s="100">
        <f>'Self-Funding'!$H11</f>
        <v>60</v>
      </c>
      <c r="J11" s="15">
        <f>MIN(1,'Self-Funding'!$G11/'Self-Funding'!$H11)</f>
        <v>0.1125</v>
      </c>
      <c r="K11" s="15">
        <f>MIN(1,'Self-Funding'!$G11/'Self-Funding'!$I11)-'Self-Funding'!$J11</f>
        <v>0</v>
      </c>
    </row>
    <row r="12" spans="1:11" ht="14.25" customHeight="1" x14ac:dyDescent="0.25">
      <c r="A12" s="11" t="str">
        <f>Data!$A13</f>
        <v>Candace</v>
      </c>
      <c r="B12" s="11">
        <v>1</v>
      </c>
      <c r="C12" s="11"/>
      <c r="D12" s="15">
        <f>MIN(1,Data!$R13/Data!$X13)</f>
        <v>0</v>
      </c>
      <c r="E12" s="100">
        <f>Data!$U13</f>
        <v>6</v>
      </c>
      <c r="F12" s="100">
        <f>Data!$X13</f>
        <v>15</v>
      </c>
      <c r="G12" s="100">
        <f>('Self-Funding'!$B12*Data!$F13+'Self-Funding'!$C12*Data!$G13)*3 + ('Self-Funding'!$D12*Data!$O13*Data!$X13)*3*0.6</f>
        <v>6</v>
      </c>
      <c r="H12" s="100">
        <f>Data!$Y13-Data!$Z13</f>
        <v>60</v>
      </c>
      <c r="I12" s="100">
        <f>('Self-Funding'!$H12-5*2)*10/15</f>
        <v>33.333333333333336</v>
      </c>
      <c r="J12" s="15">
        <f>MIN(1,'Self-Funding'!$G12/'Self-Funding'!$H12)</f>
        <v>0.1</v>
      </c>
      <c r="K12" s="15">
        <f>MIN(1,'Self-Funding'!$G12/'Self-Funding'!$I12)-'Self-Funding'!$J12</f>
        <v>7.9999999999999988E-2</v>
      </c>
    </row>
    <row r="13" spans="1:11" ht="14.25" customHeight="1" x14ac:dyDescent="0.25">
      <c r="A13" s="11" t="str">
        <f>Data!$A14</f>
        <v>Childe</v>
      </c>
      <c r="B13" s="11">
        <v>1</v>
      </c>
      <c r="C13" s="11"/>
      <c r="D13" s="15">
        <f>MIN(1,Data!$R14/Data!$X14)</f>
        <v>0</v>
      </c>
      <c r="E13" s="100">
        <f>Data!$U14</f>
        <v>13</v>
      </c>
      <c r="F13" s="100">
        <f>Data!$X14</f>
        <v>15</v>
      </c>
      <c r="G13" s="100">
        <f>('Self-Funding'!$B13*Data!$F14+'Self-Funding'!$C13*Data!$G14)*3 + ('Self-Funding'!$D13*Data!$O14*Data!$X14)*3*0.6</f>
        <v>9</v>
      </c>
      <c r="H13" s="100">
        <f>Data!$Y14-Data!$Z14</f>
        <v>60</v>
      </c>
      <c r="I13" s="100">
        <f>'Self-Funding'!$H13</f>
        <v>60</v>
      </c>
      <c r="J13" s="15">
        <f>MIN(1,'Self-Funding'!$G13/'Self-Funding'!$H13)</f>
        <v>0.15</v>
      </c>
      <c r="K13" s="15">
        <f>MIN(1,'Self-Funding'!$G13/'Self-Funding'!$I13)-'Self-Funding'!$J13</f>
        <v>0</v>
      </c>
    </row>
    <row r="14" spans="1:11" ht="14.25" customHeight="1" x14ac:dyDescent="0.25">
      <c r="A14" s="11" t="str">
        <f>Data!$A19</f>
        <v>Chongyun</v>
      </c>
      <c r="B14" s="11">
        <v>2</v>
      </c>
      <c r="C14" s="11"/>
      <c r="D14" s="15">
        <f>MIN(1,Data!$R19/Data!$X19)</f>
        <v>0</v>
      </c>
      <c r="E14" s="100">
        <f>Data!$U19</f>
        <v>15</v>
      </c>
      <c r="F14" s="100">
        <f>Data!$X19</f>
        <v>12</v>
      </c>
      <c r="G14" s="100">
        <f>('Self-Funding'!$B14*Data!$F19+'Self-Funding'!$C14*Data!$G19)*3 + ('Self-Funding'!$D14*Data!$O19*Data!$X19)*3*0.6</f>
        <v>24</v>
      </c>
      <c r="H14" s="100">
        <f>Data!$Y19-Data!$Z19</f>
        <v>40</v>
      </c>
      <c r="I14" s="100">
        <f>'Self-Funding'!$H14</f>
        <v>40</v>
      </c>
      <c r="J14" s="15">
        <f>MIN(1,'Self-Funding'!$G14/'Self-Funding'!$H14)</f>
        <v>0.6</v>
      </c>
      <c r="K14" s="15">
        <f>MIN(1,'Self-Funding'!$G14/'Self-Funding'!$I14)-'Self-Funding'!$J14</f>
        <v>0</v>
      </c>
    </row>
    <row r="15" spans="1:11" ht="14.25" customHeight="1" x14ac:dyDescent="0.25">
      <c r="A15" s="11" t="str">
        <f>Data!$A21</f>
        <v>Clorinde</v>
      </c>
      <c r="B15" s="11">
        <v>2</v>
      </c>
      <c r="C15" s="11"/>
      <c r="D15" s="15">
        <f>MIN(1,Data!$R21/Data!$X21)</f>
        <v>0</v>
      </c>
      <c r="E15" s="100">
        <f>Data!$U21</f>
        <v>16</v>
      </c>
      <c r="F15" s="100">
        <f>Data!$X21</f>
        <v>15</v>
      </c>
      <c r="G15" s="100">
        <f>('Self-Funding'!$B15*Data!$F21+'Self-Funding'!$C15*Data!$G21)*3 + ('Self-Funding'!$D15*Data!$O21*Data!$X21)*3*0.6</f>
        <v>24</v>
      </c>
      <c r="H15" s="100">
        <f>Data!$Y21-Data!$Z21</f>
        <v>60</v>
      </c>
      <c r="I15" s="100">
        <f>'Self-Funding'!$H15-15</f>
        <v>45</v>
      </c>
      <c r="J15" s="15">
        <f>MIN(1,'Self-Funding'!$G15/'Self-Funding'!$H15)</f>
        <v>0.4</v>
      </c>
      <c r="K15" s="15">
        <f>MIN(1,'Self-Funding'!$G15/'Self-Funding'!$I15)-'Self-Funding'!$J15</f>
        <v>0.1333333333333333</v>
      </c>
    </row>
    <row r="16" spans="1:11" ht="14.25" customHeight="1" x14ac:dyDescent="0.25">
      <c r="A16" s="11" t="str">
        <f>Data!$A22</f>
        <v>Collei</v>
      </c>
      <c r="B16" s="11">
        <v>1.5</v>
      </c>
      <c r="C16" s="11"/>
      <c r="D16" s="15">
        <f>MIN(1,Data!$R22/Data!$X22)</f>
        <v>0</v>
      </c>
      <c r="E16" s="100">
        <f>Data!$U22</f>
        <v>12</v>
      </c>
      <c r="F16" s="100">
        <f>Data!$X22</f>
        <v>15</v>
      </c>
      <c r="G16" s="100">
        <f>('Self-Funding'!$B16*Data!$F22+'Self-Funding'!$C16*Data!$G22)*3 + ('Self-Funding'!$D16*Data!$O22*Data!$X22)*3*0.6</f>
        <v>13.5</v>
      </c>
      <c r="H16" s="100">
        <f>Data!$Y22-Data!$Z22</f>
        <v>60</v>
      </c>
      <c r="I16" s="100">
        <f>'Self-Funding'!$H16</f>
        <v>60</v>
      </c>
      <c r="J16" s="15">
        <f>MIN(1,'Self-Funding'!$G16/'Self-Funding'!$H16)</f>
        <v>0.22500000000000001</v>
      </c>
      <c r="K16" s="15">
        <f>MIN(1,'Self-Funding'!$G16/'Self-Funding'!$I16)-'Self-Funding'!$J16</f>
        <v>0</v>
      </c>
    </row>
    <row r="17" spans="1:11" ht="14.25" customHeight="1" x14ac:dyDescent="0.25">
      <c r="A17" s="11" t="str">
        <f>Data!$A23</f>
        <v>Cyno</v>
      </c>
      <c r="B17" s="11">
        <v>1.3</v>
      </c>
      <c r="C17" s="11"/>
      <c r="D17" s="15">
        <f>MIN(1,Data!$R23/Data!$X23)</f>
        <v>0</v>
      </c>
      <c r="E17" s="100">
        <f>Data!$U23</f>
        <v>7.5</v>
      </c>
      <c r="F17" s="100">
        <f>Data!$X23</f>
        <v>20</v>
      </c>
      <c r="G17" s="100">
        <f>('Self-Funding'!$B17*Data!$F23+'Self-Funding'!$C17*Data!$G23)*3 + ('Self-Funding'!$D17*Data!$O23*Data!$X23)*3*0.6</f>
        <v>11.700000000000001</v>
      </c>
      <c r="H17" s="100">
        <f>Data!$Y23-Data!$Z23-5*2*0.7</f>
        <v>73</v>
      </c>
      <c r="I17" s="100">
        <f>'Self-Funding'!$H17-3*10/3</f>
        <v>63</v>
      </c>
      <c r="J17" s="15">
        <f>MIN(1,'Self-Funding'!$G17/'Self-Funding'!$H17)</f>
        <v>0.16027397260273973</v>
      </c>
      <c r="K17" s="15">
        <f>MIN(1,'Self-Funding'!$G17/'Self-Funding'!$I17)-'Self-Funding'!$J17</f>
        <v>2.5440313111545987E-2</v>
      </c>
    </row>
    <row r="18" spans="1:11" ht="14.25" customHeight="1" x14ac:dyDescent="0.25">
      <c r="A18" s="11" t="str">
        <f>Data!$A24</f>
        <v>Dehya</v>
      </c>
      <c r="B18" s="11"/>
      <c r="C18" s="11">
        <v>1</v>
      </c>
      <c r="D18" s="15">
        <f>MIN(1,Data!$R24/Data!$X24)</f>
        <v>0.66666666666666663</v>
      </c>
      <c r="E18" s="100">
        <f>Data!$U24</f>
        <v>20</v>
      </c>
      <c r="F18" s="100">
        <f>Data!$X24</f>
        <v>18</v>
      </c>
      <c r="G18" s="100">
        <f>('Self-Funding'!$B18*Data!$F24+'Self-Funding'!$C18*Data!$G24)*3 + ('Self-Funding'!$D18*Data!$O24*Data!$X24)*3*0.6</f>
        <v>7.1279999999999992</v>
      </c>
      <c r="H18" s="100">
        <f>Data!$Y24-Data!$Z24</f>
        <v>70</v>
      </c>
      <c r="I18" s="100">
        <f>'Self-Funding'!$H18</f>
        <v>70</v>
      </c>
      <c r="J18" s="15">
        <f>MIN(1,'Self-Funding'!$G18/'Self-Funding'!$H18)</f>
        <v>0.10182857142857142</v>
      </c>
      <c r="K18" s="15">
        <f>MIN(1,'Self-Funding'!$G18/'Self-Funding'!$I18)-'Self-Funding'!$J18</f>
        <v>0</v>
      </c>
    </row>
    <row r="19" spans="1:11" ht="14.25" customHeight="1" x14ac:dyDescent="0.25">
      <c r="A19" s="11" t="str">
        <f>Data!$A25</f>
        <v>Diluc</v>
      </c>
      <c r="B19" s="11">
        <v>1</v>
      </c>
      <c r="C19" s="11"/>
      <c r="D19" s="15">
        <f>MIN(1,Data!$R25/Data!$X25)</f>
        <v>0</v>
      </c>
      <c r="E19" s="100">
        <f>Data!$U25</f>
        <v>10</v>
      </c>
      <c r="F19" s="100">
        <f>Data!$X25</f>
        <v>12</v>
      </c>
      <c r="G19" s="100">
        <f>('Self-Funding'!$B19*Data!$F25+'Self-Funding'!$C19*Data!$G25)*3 + ('Self-Funding'!$D19*Data!$O25*Data!$X25)*3*0.6</f>
        <v>11.25</v>
      </c>
      <c r="H19" s="100">
        <f>Data!$Y25-Data!$Z25</f>
        <v>40</v>
      </c>
      <c r="I19" s="100">
        <f>'Self-Funding'!$H19</f>
        <v>40</v>
      </c>
      <c r="J19" s="15">
        <f>MIN(1,'Self-Funding'!$G19/'Self-Funding'!$H19)</f>
        <v>0.28125</v>
      </c>
      <c r="K19" s="15">
        <f>MIN(1,'Self-Funding'!$G19/'Self-Funding'!$I19)-'Self-Funding'!$J19</f>
        <v>0</v>
      </c>
    </row>
    <row r="20" spans="1:11" ht="14.25" customHeight="1" x14ac:dyDescent="0.25">
      <c r="A20" s="11" t="str">
        <f>Data!$A26</f>
        <v>Diona</v>
      </c>
      <c r="B20" s="11">
        <v>1</v>
      </c>
      <c r="C20" s="11"/>
      <c r="D20" s="15">
        <f>MIN(1,Data!$R26/Data!$X26)</f>
        <v>0</v>
      </c>
      <c r="E20" s="100">
        <f>Data!$U26</f>
        <v>6</v>
      </c>
      <c r="F20" s="100">
        <f>Data!$X26</f>
        <v>20</v>
      </c>
      <c r="G20" s="100">
        <f>('Self-Funding'!$B20*Data!$F26+'Self-Funding'!$C20*Data!$G26)*3 + ('Self-Funding'!$D20*Data!$O26*Data!$X26)*3*0.6</f>
        <v>4.8000000000000007</v>
      </c>
      <c r="H20" s="100">
        <f>Data!$Y26-Data!$Z26</f>
        <v>80</v>
      </c>
      <c r="I20" s="100">
        <f>'Self-Funding'!$H20/2</f>
        <v>40</v>
      </c>
      <c r="J20" s="15">
        <f>MIN(1,'Self-Funding'!$G20/'Self-Funding'!$H20)</f>
        <v>6.0000000000000012E-2</v>
      </c>
      <c r="K20" s="15">
        <f>MIN(1,'Self-Funding'!$G20/'Self-Funding'!$I20)-'Self-Funding'!$J20</f>
        <v>6.0000000000000012E-2</v>
      </c>
    </row>
    <row r="21" spans="1:11" ht="14.25" customHeight="1" x14ac:dyDescent="0.25">
      <c r="A21" s="11" t="str">
        <f>Data!$A28</f>
        <v>Emilie</v>
      </c>
      <c r="B21" s="11">
        <v>1</v>
      </c>
      <c r="C21" s="11"/>
      <c r="D21" s="15">
        <f>MIN(1,Data!$R28/Data!$X28)</f>
        <v>1</v>
      </c>
      <c r="E21" s="100">
        <f>Data!$U28</f>
        <v>14</v>
      </c>
      <c r="F21" s="100">
        <f>Data!$X28</f>
        <v>13.5</v>
      </c>
      <c r="G21" s="100">
        <f>('Self-Funding'!$B21*Data!$F28+'Self-Funding'!$C21*Data!$G28)*3 + ('Self-Funding'!$D21*Data!$O28*Data!$X28)*3*0.6</f>
        <v>8.0190000000000001</v>
      </c>
      <c r="H21" s="100">
        <f>Data!$Y28-Data!$Z28</f>
        <v>50</v>
      </c>
      <c r="I21" s="100">
        <f>'Self-Funding'!$H21</f>
        <v>50</v>
      </c>
      <c r="J21" s="15">
        <f>MIN(1,'Self-Funding'!$G21/'Self-Funding'!$H21)</f>
        <v>0.16037999999999999</v>
      </c>
      <c r="K21" s="15">
        <f>MIN(1,'Self-Funding'!$G21/'Self-Funding'!$I21)-'Self-Funding'!$J21</f>
        <v>0</v>
      </c>
    </row>
    <row r="22" spans="1:11" ht="14.25" customHeight="1" x14ac:dyDescent="0.25">
      <c r="A22" s="11" t="str">
        <f>Data!$A29</f>
        <v>Eula</v>
      </c>
      <c r="B22" s="11">
        <v>1</v>
      </c>
      <c r="C22" s="11"/>
      <c r="D22" s="15">
        <f>MIN(1,Data!$R29/Data!$X29)</f>
        <v>0</v>
      </c>
      <c r="E22" s="100">
        <f>Data!$U29</f>
        <v>4</v>
      </c>
      <c r="F22" s="100">
        <f>Data!$X29</f>
        <v>20</v>
      </c>
      <c r="G22" s="100">
        <f>('Self-Funding'!$B22*Data!$F29+'Self-Funding'!$C22*Data!$G29)*3 + ('Self-Funding'!$D22*Data!$O29*Data!$X29)*3*0.6</f>
        <v>4.5</v>
      </c>
      <c r="H22" s="100">
        <f>Data!$Y29-Data!$Z29</f>
        <v>80</v>
      </c>
      <c r="I22" s="100">
        <f>'Self-Funding'!$H22-2*5</f>
        <v>70</v>
      </c>
      <c r="J22" s="15">
        <f>MIN(1,'Self-Funding'!$G22/'Self-Funding'!$H22)</f>
        <v>5.6250000000000001E-2</v>
      </c>
      <c r="K22" s="15">
        <f>MIN(1,'Self-Funding'!$G22/'Self-Funding'!$I22)-'Self-Funding'!$J22</f>
        <v>8.035714285714278E-3</v>
      </c>
    </row>
    <row r="23" spans="1:11" ht="14.25" customHeight="1" x14ac:dyDescent="0.25">
      <c r="A23" s="11" t="str">
        <f>Data!$A30</f>
        <v>Faruzan</v>
      </c>
      <c r="B23" s="11">
        <v>2</v>
      </c>
      <c r="C23" s="11"/>
      <c r="D23" s="15">
        <f>MIN(1,Data!$R30/Data!$X30)</f>
        <v>0</v>
      </c>
      <c r="E23" s="100">
        <f>Data!$U30</f>
        <v>6</v>
      </c>
      <c r="F23" s="100">
        <f>Data!$X30</f>
        <v>20</v>
      </c>
      <c r="G23" s="100">
        <f>('Self-Funding'!$B23*Data!$F30+'Self-Funding'!$C23*Data!$G30)*3 + ('Self-Funding'!$D23*Data!$O30*Data!$X30)*3*0.6</f>
        <v>12</v>
      </c>
      <c r="H23" s="100">
        <f>Data!$Y30-Data!$Z30</f>
        <v>80</v>
      </c>
      <c r="I23" s="100">
        <f>'Self-Funding'!$H23</f>
        <v>80</v>
      </c>
      <c r="J23" s="15">
        <f>MIN(1,'Self-Funding'!$G23/'Self-Funding'!$H23)</f>
        <v>0.15</v>
      </c>
      <c r="K23" s="15">
        <f>MIN(1,'Self-Funding'!$G23/'Self-Funding'!$I23)-'Self-Funding'!$J23</f>
        <v>0</v>
      </c>
    </row>
    <row r="24" spans="1:11" ht="14.25" customHeight="1" x14ac:dyDescent="0.25">
      <c r="A24" s="11" t="str">
        <f>Data!$A31</f>
        <v>Fischl</v>
      </c>
      <c r="B24" s="11">
        <v>2</v>
      </c>
      <c r="C24" s="11"/>
      <c r="D24" s="15">
        <f>MIN(1,Data!$R31/Data!$X31)</f>
        <v>0.66666666666666663</v>
      </c>
      <c r="E24" s="100">
        <f>Data!$U31</f>
        <v>25</v>
      </c>
      <c r="F24" s="100">
        <f>Data!$X31</f>
        <v>15</v>
      </c>
      <c r="G24" s="100">
        <f>('Self-Funding'!$B24*Data!$F31+'Self-Funding'!$C24*Data!$G31)*3 + ('Self-Funding'!$D24*Data!$O31*Data!$X31)*3*0.6</f>
        <v>12.06</v>
      </c>
      <c r="H24" s="100">
        <f>Data!$Y31-Data!$Z31</f>
        <v>60</v>
      </c>
      <c r="I24" s="100">
        <f>'Self-Funding'!$H24</f>
        <v>60</v>
      </c>
      <c r="J24" s="15">
        <f>MIN(1,'Self-Funding'!$G24/'Self-Funding'!$H24)</f>
        <v>0.20100000000000001</v>
      </c>
      <c r="K24" s="15">
        <f>MIN(1,'Self-Funding'!$G24/'Self-Funding'!$I24)-'Self-Funding'!$J24</f>
        <v>0</v>
      </c>
    </row>
    <row r="25" spans="1:11" ht="14.25" customHeight="1" x14ac:dyDescent="0.25">
      <c r="A25" s="11" t="str">
        <f>Data!$A34</f>
        <v>Gaming</v>
      </c>
      <c r="B25" s="11">
        <v>1</v>
      </c>
      <c r="C25" s="11"/>
      <c r="D25" s="15">
        <f>MIN(1,Data!$R34/Data!$X34)</f>
        <v>0</v>
      </c>
      <c r="E25" s="100">
        <f>Data!$U34</f>
        <v>6</v>
      </c>
      <c r="F25" s="100">
        <f>Data!$X34</f>
        <v>15</v>
      </c>
      <c r="G25" s="100">
        <f>('Self-Funding'!$B25*Data!$F34+'Self-Funding'!$C25*Data!$G34)*3 + ('Self-Funding'!$D25*Data!$O34*Data!$X34)*3*0.6</f>
        <v>6</v>
      </c>
      <c r="H25" s="100">
        <f>Data!$Y34-Data!$Z34</f>
        <v>60</v>
      </c>
      <c r="I25" s="100">
        <f>'Self-Funding'!$H25/1.3</f>
        <v>46.153846153846153</v>
      </c>
      <c r="J25" s="15">
        <f>MIN(1,'Self-Funding'!$G25/'Self-Funding'!$H25)</f>
        <v>0.1</v>
      </c>
      <c r="K25" s="15">
        <f>MIN(1,'Self-Funding'!$G25/'Self-Funding'!$I25)-'Self-Funding'!$J25</f>
        <v>0.03</v>
      </c>
    </row>
    <row r="26" spans="1:11" ht="14.25" customHeight="1" x14ac:dyDescent="0.25">
      <c r="A26" s="11" t="str">
        <f>Data!$A35</f>
        <v>Ganyu</v>
      </c>
      <c r="B26" s="11">
        <v>1.5</v>
      </c>
      <c r="C26" s="11"/>
      <c r="D26" s="15">
        <f>MIN(1,Data!$R35/Data!$X35)</f>
        <v>0</v>
      </c>
      <c r="E26" s="100">
        <f>Data!$U35</f>
        <v>10</v>
      </c>
      <c r="F26" s="100">
        <f>Data!$X35</f>
        <v>15</v>
      </c>
      <c r="G26" s="100">
        <f>('Self-Funding'!$B26*Data!$F35+'Self-Funding'!$C26*Data!$G35)*3 + ('Self-Funding'!$D26*Data!$O35*Data!$X35)*3*0.6</f>
        <v>18</v>
      </c>
      <c r="H26" s="100">
        <f>Data!$Y35-Data!$Z35</f>
        <v>60</v>
      </c>
      <c r="I26" s="100">
        <f>'Self-Funding'!$H26</f>
        <v>60</v>
      </c>
      <c r="J26" s="15">
        <f>MIN(1,'Self-Funding'!$G26/'Self-Funding'!$H26)</f>
        <v>0.3</v>
      </c>
      <c r="K26" s="15">
        <f>MIN(1,'Self-Funding'!$G26/'Self-Funding'!$I26)-'Self-Funding'!$J26</f>
        <v>0</v>
      </c>
    </row>
    <row r="27" spans="1:11" ht="14.25" customHeight="1" x14ac:dyDescent="0.25">
      <c r="A27" s="11" t="str">
        <f>Data!$A36</f>
        <v>Gorou</v>
      </c>
      <c r="B27" s="11"/>
      <c r="C27" s="11">
        <v>1</v>
      </c>
      <c r="D27" s="15">
        <f>MIN(1,Data!$R36/Data!$X36)</f>
        <v>0</v>
      </c>
      <c r="E27" s="100">
        <f>Data!$U36</f>
        <v>10</v>
      </c>
      <c r="F27" s="100">
        <f>Data!$X36</f>
        <v>20</v>
      </c>
      <c r="G27" s="100">
        <f>('Self-Funding'!$B27*Data!$F36+'Self-Funding'!$C27*Data!$G36)*3 + ('Self-Funding'!$D27*Data!$O36*Data!$X36)*3*0.6</f>
        <v>0</v>
      </c>
      <c r="H27" s="100">
        <f>Data!$Y36-Data!$Z36</f>
        <v>80</v>
      </c>
      <c r="I27" s="100">
        <f>'Self-Funding'!$H27</f>
        <v>80</v>
      </c>
      <c r="J27" s="15">
        <f>MIN(1,'Self-Funding'!$G27/'Self-Funding'!$H27)</f>
        <v>0</v>
      </c>
      <c r="K27" s="15">
        <f>MIN(1,'Self-Funding'!$G27/'Self-Funding'!$I27)-'Self-Funding'!$J27</f>
        <v>0</v>
      </c>
    </row>
    <row r="28" spans="1:11" ht="14.25" customHeight="1" x14ac:dyDescent="0.25">
      <c r="A28" s="11" t="str">
        <f>Data!$A37</f>
        <v>Heizou</v>
      </c>
      <c r="B28" s="11">
        <v>2</v>
      </c>
      <c r="C28" s="11"/>
      <c r="D28" s="15">
        <f>MIN(1,Data!$R37/Data!$X37)</f>
        <v>0</v>
      </c>
      <c r="E28" s="100">
        <f>Data!$U37</f>
        <v>10</v>
      </c>
      <c r="F28" s="100">
        <f>Data!$X37</f>
        <v>12</v>
      </c>
      <c r="G28" s="100">
        <f>('Self-Funding'!$B28*Data!$F37+'Self-Funding'!$C28*Data!$G37)*3 + ('Self-Funding'!$D28*Data!$O37*Data!$X37)*3*0.6</f>
        <v>12</v>
      </c>
      <c r="H28" s="100">
        <f>Data!$Y37-Data!$Z37</f>
        <v>40</v>
      </c>
      <c r="I28" s="100">
        <f>'Self-Funding'!$H28</f>
        <v>40</v>
      </c>
      <c r="J28" s="15">
        <f>MIN(1,'Self-Funding'!$G28/'Self-Funding'!$H28)</f>
        <v>0.3</v>
      </c>
      <c r="K28" s="15">
        <f>MIN(1,'Self-Funding'!$G28/'Self-Funding'!$I28)-'Self-Funding'!$J28</f>
        <v>0</v>
      </c>
    </row>
    <row r="29" spans="1:11" ht="14.25" customHeight="1" x14ac:dyDescent="0.25">
      <c r="A29" s="11" t="str">
        <f>Data!$A38</f>
        <v>Hu Tao</v>
      </c>
      <c r="B29" s="11">
        <v>2</v>
      </c>
      <c r="C29" s="11"/>
      <c r="D29" s="15">
        <f>MIN(1,Data!$R38/Data!$X38)</f>
        <v>0</v>
      </c>
      <c r="E29" s="100">
        <f>Data!$U38</f>
        <v>16</v>
      </c>
      <c r="F29" s="100">
        <f>Data!$X38</f>
        <v>15</v>
      </c>
      <c r="G29" s="100">
        <f>('Self-Funding'!$B29*Data!$F38+'Self-Funding'!$C29*Data!$G38)*3 + ('Self-Funding'!$D29*Data!$O38*Data!$X38)*3*0.6</f>
        <v>28.799999999999997</v>
      </c>
      <c r="H29" s="100">
        <f>Data!$Y38-Data!$Z38</f>
        <v>60</v>
      </c>
      <c r="I29" s="100">
        <f>'Self-Funding'!$H29</f>
        <v>60</v>
      </c>
      <c r="J29" s="15">
        <f>MIN(1,'Self-Funding'!$G29/'Self-Funding'!$H29)</f>
        <v>0.47999999999999993</v>
      </c>
      <c r="K29" s="15">
        <f>MIN(1,'Self-Funding'!$G29/'Self-Funding'!$I29)-'Self-Funding'!$J29</f>
        <v>0</v>
      </c>
    </row>
    <row r="30" spans="1:11" ht="14.25" customHeight="1" x14ac:dyDescent="0.25">
      <c r="A30" s="11" t="str">
        <f>Data!$A40</f>
        <v>Itto</v>
      </c>
      <c r="B30" s="11">
        <v>1.3</v>
      </c>
      <c r="C30" s="11"/>
      <c r="D30" s="15">
        <f>MIN(1,Data!$R40/Data!$X40)*1.3</f>
        <v>0</v>
      </c>
      <c r="E30" s="100">
        <f>Data!$U40</f>
        <v>10</v>
      </c>
      <c r="F30" s="100">
        <f>Data!$X40</f>
        <v>18</v>
      </c>
      <c r="G30" s="100">
        <f>('Self-Funding'!$B30*Data!$F40+'Self-Funding'!$C30*Data!$G40)*3 + ('Self-Funding'!$D30*Data!$O40*Data!$X40)*3*0.6</f>
        <v>13.649999999999999</v>
      </c>
      <c r="H30" s="100">
        <f>Data!$Y40-Data!$Z40</f>
        <v>70</v>
      </c>
      <c r="I30" s="100">
        <f>'Self-Funding'!$H30</f>
        <v>70</v>
      </c>
      <c r="J30" s="15">
        <f>MIN(1,'Self-Funding'!$G30/'Self-Funding'!$H30)</f>
        <v>0.19499999999999998</v>
      </c>
      <c r="K30" s="15">
        <f>MIN(1,'Self-Funding'!$G30/'Self-Funding'!$I30)-'Self-Funding'!$J30</f>
        <v>0</v>
      </c>
    </row>
    <row r="31" spans="1:11" ht="14.25" customHeight="1" x14ac:dyDescent="0.25">
      <c r="A31" s="11" t="str">
        <f>Data!$A42</f>
        <v>Kachina</v>
      </c>
      <c r="B31" s="11">
        <v>2</v>
      </c>
      <c r="C31" s="11"/>
      <c r="D31" s="15">
        <f>MIN(1,Data!$R42/Data!$X42)</f>
        <v>0.66666666666666663</v>
      </c>
      <c r="E31" s="100">
        <f>Data!$U42</f>
        <v>20</v>
      </c>
      <c r="F31" s="100">
        <f>Data!$X42</f>
        <v>18</v>
      </c>
      <c r="G31" s="100">
        <f>('Self-Funding'!$B31*Data!$F42+'Self-Funding'!$C31*Data!$G42)*3 + ('Self-Funding'!$D31*Data!$O42*Data!$X42)*3*0.6</f>
        <v>7.1279999999999992</v>
      </c>
      <c r="H31" s="100">
        <f>Data!$Y42-Data!$Z42</f>
        <v>70</v>
      </c>
      <c r="I31" s="100">
        <f>'Self-Funding'!$H31/1.2</f>
        <v>58.333333333333336</v>
      </c>
      <c r="J31" s="15">
        <f>MIN(1,'Self-Funding'!$G31/'Self-Funding'!$H31)</f>
        <v>0.10182857142857142</v>
      </c>
      <c r="K31" s="15">
        <f>MIN(1,'Self-Funding'!$G31/'Self-Funding'!$I31)-'Self-Funding'!$J31</f>
        <v>2.0365714285714279E-2</v>
      </c>
    </row>
    <row r="32" spans="1:11" ht="14.25" customHeight="1" x14ac:dyDescent="0.25">
      <c r="A32" s="11" t="str">
        <f>Data!$A43</f>
        <v>Kaeya</v>
      </c>
      <c r="B32" s="11">
        <v>1</v>
      </c>
      <c r="C32" s="11"/>
      <c r="D32" s="15">
        <f>MIN(1,Data!$R43/Data!$X43)</f>
        <v>0</v>
      </c>
      <c r="E32" s="100">
        <f>Data!$U43</f>
        <v>6</v>
      </c>
      <c r="F32" s="100">
        <f>Data!$X43</f>
        <v>15</v>
      </c>
      <c r="G32" s="100">
        <f>('Self-Funding'!$B32*Data!$F43+'Self-Funding'!$C32*Data!$G43)*3 + ('Self-Funding'!$D32*Data!$O43*Data!$X43)*3*0.6</f>
        <v>8.01</v>
      </c>
      <c r="H32" s="100">
        <f>Data!$Y43-Data!$Z43</f>
        <v>60</v>
      </c>
      <c r="I32" s="100">
        <f>'Self-Funding'!$H32-12</f>
        <v>48</v>
      </c>
      <c r="J32" s="15">
        <f>MIN(1,'Self-Funding'!$G32/'Self-Funding'!$H32)</f>
        <v>0.13350000000000001</v>
      </c>
      <c r="K32" s="15">
        <f>MIN(1,'Self-Funding'!$G32/'Self-Funding'!$I32)-'Self-Funding'!$J32</f>
        <v>3.3374999999999988E-2</v>
      </c>
    </row>
    <row r="33" spans="1:11" ht="14.25" customHeight="1" x14ac:dyDescent="0.25">
      <c r="A33" s="11" t="str">
        <f>Data!$A44</f>
        <v>Kaveh</v>
      </c>
      <c r="B33" s="11">
        <v>1</v>
      </c>
      <c r="C33" s="11"/>
      <c r="D33" s="15">
        <f>MIN(1,Data!$R44/Data!$X44)</f>
        <v>0</v>
      </c>
      <c r="E33" s="100">
        <f>Data!$U44</f>
        <v>6</v>
      </c>
      <c r="F33" s="100">
        <f>Data!$X44</f>
        <v>20</v>
      </c>
      <c r="G33" s="100">
        <f>('Self-Funding'!$B33*Data!$F44+'Self-Funding'!$C33*Data!$G44)*3 + ('Self-Funding'!$D33*Data!$O44*Data!$X44)*3*0.6</f>
        <v>6</v>
      </c>
      <c r="H33" s="100">
        <f>Data!$Y44-Data!$Z44</f>
        <v>80</v>
      </c>
      <c r="I33" s="100">
        <f>'Self-Funding'!$H33</f>
        <v>80</v>
      </c>
      <c r="J33" s="15">
        <f>MIN(1,'Self-Funding'!$G33/'Self-Funding'!$H33)</f>
        <v>7.4999999999999997E-2</v>
      </c>
      <c r="K33" s="15">
        <f>MIN(1,'Self-Funding'!$G33/'Self-Funding'!$I33)-'Self-Funding'!$J33</f>
        <v>0</v>
      </c>
    </row>
    <row r="34" spans="1:11" ht="14.25" customHeight="1" x14ac:dyDescent="0.25">
      <c r="A34" s="11" t="str">
        <f>Data!$A45</f>
        <v>Kazuha</v>
      </c>
      <c r="B34" s="11">
        <v>2</v>
      </c>
      <c r="C34" s="11"/>
      <c r="D34" s="15">
        <f>MIN(1,Data!$R45/Data!$X45)</f>
        <v>0</v>
      </c>
      <c r="E34" s="100">
        <f>Data!$U45</f>
        <v>6</v>
      </c>
      <c r="F34" s="100">
        <f>Data!$X45</f>
        <v>15</v>
      </c>
      <c r="G34" s="100">
        <f>('Self-Funding'!$B34*Data!$F45+'Self-Funding'!$C34*Data!$G45)*3 + ('Self-Funding'!$D34*Data!$O45*Data!$X45)*3*0.6</f>
        <v>18</v>
      </c>
      <c r="H34" s="100">
        <f>Data!$Y45-Data!$Z45</f>
        <v>60</v>
      </c>
      <c r="I34" s="100">
        <f>'Self-Funding'!$H34</f>
        <v>60</v>
      </c>
      <c r="J34" s="15">
        <f>MIN(1,'Self-Funding'!$G34/'Self-Funding'!$H34)</f>
        <v>0.3</v>
      </c>
      <c r="K34" s="15">
        <f>MIN(1,'Self-Funding'!$G34/'Self-Funding'!$I34)-'Self-Funding'!$J34</f>
        <v>0</v>
      </c>
    </row>
    <row r="35" spans="1:11" ht="14.25" customHeight="1" x14ac:dyDescent="0.25">
      <c r="A35" s="11" t="str">
        <f>Data!$A46</f>
        <v>Keqing</v>
      </c>
      <c r="B35" s="11">
        <v>1</v>
      </c>
      <c r="C35" s="11"/>
      <c r="D35" s="15">
        <f>MIN(1,Data!$R46/Data!$X46)</f>
        <v>0</v>
      </c>
      <c r="E35" s="100">
        <f>Data!$U46</f>
        <v>7.5</v>
      </c>
      <c r="F35" s="100">
        <f>Data!$X46</f>
        <v>12</v>
      </c>
      <c r="G35" s="100">
        <f>('Self-Funding'!$B35*Data!$F46+'Self-Funding'!$C35*Data!$G46)*3 + ('Self-Funding'!$D35*Data!$O46*Data!$X46)*3*0.6</f>
        <v>7.5</v>
      </c>
      <c r="H35" s="100">
        <f>Data!$Y46-Data!$Z46</f>
        <v>40</v>
      </c>
      <c r="I35" s="100">
        <f>'Self-Funding'!$H35</f>
        <v>40</v>
      </c>
      <c r="J35" s="15">
        <f>MIN(1,'Self-Funding'!$G35/'Self-Funding'!$H35)</f>
        <v>0.1875</v>
      </c>
      <c r="K35" s="15">
        <f>MIN(1,'Self-Funding'!$G35/'Self-Funding'!$I35)-'Self-Funding'!$J35</f>
        <v>0</v>
      </c>
    </row>
    <row r="36" spans="1:11" ht="14.25" customHeight="1" x14ac:dyDescent="0.25"/>
    <row r="37" spans="1:11" ht="14.25" customHeight="1" x14ac:dyDescent="0.25"/>
    <row r="38" spans="1:11" ht="14.25" customHeight="1" x14ac:dyDescent="0.25"/>
    <row r="39" spans="1:11" ht="14.25" customHeight="1" x14ac:dyDescent="0.25"/>
    <row r="40" spans="1:11" ht="14.25" customHeight="1" x14ac:dyDescent="0.25"/>
    <row r="41" spans="1:11" ht="14.25" customHeight="1" x14ac:dyDescent="0.25"/>
    <row r="42" spans="1:11" ht="14.25" customHeight="1" x14ac:dyDescent="0.25"/>
    <row r="43" spans="1:11" ht="14.25" customHeight="1" x14ac:dyDescent="0.25"/>
    <row r="44" spans="1:11" ht="14.25" customHeight="1" x14ac:dyDescent="0.25"/>
    <row r="45" spans="1:11" ht="14.25" customHeight="1" x14ac:dyDescent="0.25"/>
    <row r="46" spans="1:11" ht="14.25" customHeight="1" x14ac:dyDescent="0.25"/>
    <row r="47" spans="1:11" ht="14.25" customHeight="1" x14ac:dyDescent="0.25"/>
    <row r="48" spans="1: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x14ac:dyDescent="0.25"/>
  <cols>
    <col min="1" max="1" width="18" customWidth="1"/>
    <col min="2" max="2" width="9.42578125" customWidth="1"/>
    <col min="3" max="3" width="9.7109375" customWidth="1"/>
    <col min="4" max="4" width="11.28515625" customWidth="1"/>
    <col min="5" max="6" width="8.7109375" customWidth="1"/>
    <col min="7" max="7" width="11.5703125" customWidth="1"/>
    <col min="8" max="8" width="8.7109375" customWidth="1"/>
    <col min="9" max="10" width="13.42578125" customWidth="1"/>
    <col min="11" max="11" width="10.42578125" customWidth="1"/>
    <col min="12" max="14" width="16.85546875" customWidth="1"/>
    <col min="15" max="15" width="18.5703125" customWidth="1"/>
    <col min="16" max="16" width="22.5703125" customWidth="1"/>
    <col min="17" max="17" width="19.28515625" customWidth="1"/>
    <col min="18" max="18" width="23.42578125" customWidth="1"/>
    <col min="19" max="27" width="14.85546875" customWidth="1"/>
    <col min="28" max="28" width="14.42578125" customWidth="1"/>
    <col min="29" max="30" width="8.7109375" customWidth="1"/>
  </cols>
  <sheetData>
    <row r="1" spans="1:30" ht="14.25" customHeight="1" x14ac:dyDescent="0.25">
      <c r="D1" s="15"/>
    </row>
    <row r="2" spans="1:30" ht="14.25" customHeight="1" x14ac:dyDescent="0.25">
      <c r="A2" s="11" t="s">
        <v>14</v>
      </c>
      <c r="B2" s="11" t="s">
        <v>739</v>
      </c>
      <c r="C2" s="11" t="s">
        <v>53</v>
      </c>
      <c r="D2" s="15" t="s">
        <v>740</v>
      </c>
      <c r="E2" s="11" t="s">
        <v>741</v>
      </c>
      <c r="F2" s="11" t="s">
        <v>742</v>
      </c>
      <c r="G2" s="11" t="s">
        <v>743</v>
      </c>
      <c r="H2" s="11" t="s">
        <v>744</v>
      </c>
      <c r="I2" s="11" t="s">
        <v>745</v>
      </c>
      <c r="J2" s="11" t="s">
        <v>746</v>
      </c>
      <c r="K2" s="11" t="s">
        <v>747</v>
      </c>
      <c r="L2" s="11" t="s">
        <v>748</v>
      </c>
      <c r="M2" s="11" t="s">
        <v>749</v>
      </c>
      <c r="N2" s="11" t="s">
        <v>750</v>
      </c>
      <c r="O2" s="11" t="s">
        <v>751</v>
      </c>
      <c r="P2" s="11" t="s">
        <v>752</v>
      </c>
      <c r="Q2" s="11" t="s">
        <v>753</v>
      </c>
      <c r="R2" s="11" t="s">
        <v>754</v>
      </c>
      <c r="S2" s="11" t="s">
        <v>755</v>
      </c>
      <c r="T2" s="11" t="s">
        <v>756</v>
      </c>
      <c r="U2" s="11" t="s">
        <v>757</v>
      </c>
      <c r="V2" s="11" t="s">
        <v>758</v>
      </c>
      <c r="W2" s="11" t="s">
        <v>759</v>
      </c>
      <c r="X2" s="11" t="s">
        <v>760</v>
      </c>
      <c r="Y2" s="11" t="s">
        <v>761</v>
      </c>
      <c r="Z2" s="11" t="s">
        <v>762</v>
      </c>
      <c r="AA2" s="11" t="s">
        <v>763</v>
      </c>
      <c r="AB2" s="11" t="s">
        <v>764</v>
      </c>
    </row>
    <row r="3" spans="1:30" ht="14.25" customHeight="1" x14ac:dyDescent="0.25">
      <c r="A3" s="11" t="s">
        <v>176</v>
      </c>
      <c r="B3" s="11"/>
      <c r="C3" s="11" t="s">
        <v>54</v>
      </c>
      <c r="D3" s="15">
        <v>0.1</v>
      </c>
      <c r="E3" s="11"/>
      <c r="F3" s="11"/>
      <c r="G3" s="11">
        <f t="array" ref="G3">INDEX(Data!$X$2:$X$106,MATCH(Calculations!$A3,Data!$A$2:$A$106,0))</f>
        <v>12</v>
      </c>
      <c r="H3" s="11">
        <f t="array" ref="H3">INDEX(Data!$Y$2:$Y$106,MATCH(Calculations!$A3,Data!$A$2:$A$106,0))</f>
        <v>40</v>
      </c>
      <c r="I3" s="101">
        <f t="array" ref="I3">INDEX(Data!$F$2:$F$106,MATCH(Calculations!$A3,Data!$A$2:$A$106,0)) * Calculations!$E3 +
 INDEX(Data!$G$2:$G$106,MATCH(Calculations!$A3,Data!$A$2:$A$106,0)) * Calculations!$F3 +
INDEX(Data!$O$2:$O$106,MATCH(Calculations!$A3,Data!$A$2:$A$106,0)) * (0.6 +0.4*Calculations!$D3) * MIN(INDEX(Data!$R$2:$R$106,MATCH(Calculations!$A3,Data!$A$2:$A$106,0)), Calculations!$G3)</f>
        <v>2.3040000000000003</v>
      </c>
      <c r="J3" s="101">
        <f>Calculations!$I3*OnFieldRight</f>
        <v>6.9120000000000008</v>
      </c>
      <c r="K3" s="101"/>
      <c r="L3" s="101">
        <f>(Calculations!$D3*OnFieldOrb + (1-Calculations!$D3*OffFieldOrb)) * OrbsPerRun / (90/Calculations!$G3)</f>
        <v>1.1573333333333335</v>
      </c>
      <c r="M3" s="101">
        <f>(Calculations!$D3*OnFieldOrb + (1-Calculations!$D3*OffFieldOrb)) * OrbsPerRun / (150/Calculations!$G3)</f>
        <v>0.69440000000000013</v>
      </c>
      <c r="N3" s="101">
        <f>(Calculations!$D3*OnFieldOrb + (1-Calculations!$D3*OffFieldOrb)) * OrbsPerRun / (300/Calculations!$G3)</f>
        <v>0.34720000000000006</v>
      </c>
      <c r="O3" s="101">
        <f>LowEPS*Calculations!$G3</f>
        <v>4.4279999999999999</v>
      </c>
      <c r="P3" s="101">
        <f>MedEPS*Calculations!$G3</f>
        <v>9.18</v>
      </c>
      <c r="Q3" s="101">
        <f>HighEPS*Calculations!$G3</f>
        <v>17.472000000000001</v>
      </c>
      <c r="R3" s="101">
        <f>VHighEPS*Calculations!$G3</f>
        <v>29.102399999999996</v>
      </c>
      <c r="S3" s="15">
        <f>MAX(1, (Calculations!$H3-Calculations!$K3) / (Calculations!$J3 + Calculations!$L3 + Calculations!$O3))</f>
        <v>3.2006828123332975</v>
      </c>
      <c r="T3" s="15">
        <f>MAX(1, (Calculations!$H3-Calculations!$K3) / (Calculations!$J3 + Calculations!$L3 + Calculations!$P3))</f>
        <v>2.318930200200974</v>
      </c>
      <c r="U3" s="15">
        <f>MAX(1, (Calculations!$H3-Calculations!$K3) / (Calculations!$J3 + Calculations!$L3 + Calculations!$Q3))</f>
        <v>1.5660889538525788</v>
      </c>
      <c r="V3" s="15">
        <f>MAX(1, (Calculations!$H3-Calculations!$K3) / (Calculations!$J3 + Calculations!$L3 + Calculations!$R3))</f>
        <v>1.0760864886580486</v>
      </c>
      <c r="W3" s="15">
        <f>MAX(1, (Calculations!$H3-Calculations!$K3) / (Calculations!$J3 + Calculations!$M3 + Calculations!$O3))</f>
        <v>3.3238050920694007</v>
      </c>
      <c r="X3" s="15">
        <f>MAX(1, (Calculations!$H3-Calculations!$K3) / (Calculations!$J3 + Calculations!$M3 + Calculations!$P3))</f>
        <v>2.3828813801648954</v>
      </c>
      <c r="Y3" s="15">
        <f>MAX(1, (Calculations!$H3-Calculations!$K3) / (Calculations!$J3 + Calculations!$M3 + Calculations!$Q3))</f>
        <v>1.5949980860022968</v>
      </c>
      <c r="Z3" s="15">
        <f>MAX(1, (Calculations!$H3-Calculations!$K3) / (Calculations!$J3 + Calculations!$N3 + Calculations!$O3))</f>
        <v>3.4225477445410362</v>
      </c>
      <c r="AA3" s="15">
        <f>MAX(1, (Calculations!$H3-Calculations!$K3) / (Calculations!$J3 + Calculations!$N3 + Calculations!$P3))</f>
        <v>2.4332084286339968</v>
      </c>
      <c r="AB3" s="15">
        <f>MAX(1, (Calculations!$H3-Calculations!$K3) / (Calculations!$J3 + Calculations!$N3 + Calculations!$Q3))</f>
        <v>1.6173901792068317</v>
      </c>
      <c r="AC3" s="15"/>
      <c r="AD3" s="15"/>
    </row>
    <row r="4" spans="1:30" ht="14.25" customHeight="1" x14ac:dyDescent="0.25">
      <c r="A4" s="11" t="s">
        <v>182</v>
      </c>
      <c r="B4" s="11"/>
      <c r="C4" s="11" t="s">
        <v>63</v>
      </c>
      <c r="D4" s="15">
        <v>0.1</v>
      </c>
      <c r="E4" s="11">
        <v>1</v>
      </c>
      <c r="F4" s="11"/>
      <c r="G4" s="11">
        <f t="array" ref="G4">INDEX(Data!$X$2:$X$106,MATCH(Calculations!$A4,Data!$A$2:$A$106,0))</f>
        <v>12</v>
      </c>
      <c r="H4" s="11">
        <f t="array" ref="H4">INDEX(Data!$Y$2:$Y$106,MATCH(Calculations!$A4,Data!$A$2:$A$106,0))</f>
        <v>40</v>
      </c>
      <c r="I4" s="101">
        <f t="array" ref="I4">INDEX(Data!$F$2:$F$106,MATCH(Calculations!$A4,Data!$A$2:$A$106,0)) * Calculations!$E4 +
 INDEX(Data!$G$2:$G$106,MATCH(Calculations!$A4,Data!$A$2:$A$106,0)) * Calculations!$F4 +
INDEX(Data!$O$2:$O$106,MATCH(Calculations!$A4,Data!$A$2:$A$106,0)) * (0.6 +0.4*Calculations!$D4) * MIN(INDEX(Data!$R$2:$R$106,MATCH(Calculations!$A4,Data!$A$2:$A$106,0)), Calculations!$G4)</f>
        <v>4</v>
      </c>
      <c r="J4" s="101">
        <f>Calculations!$I4*OnFieldRight</f>
        <v>12</v>
      </c>
      <c r="K4" s="101"/>
      <c r="L4" s="101">
        <f>(Calculations!$D4*OnFieldOrb + (1-Calculations!$D4*OffFieldOrb)) * OrbsPerRun / (90/Calculations!$G4)</f>
        <v>1.1573333333333335</v>
      </c>
      <c r="M4" s="101">
        <f>(Calculations!$D4*OnFieldOrb + (1-Calculations!$D4*OffFieldOrb)) * OrbsPerRun / (150/Calculations!$G4)</f>
        <v>0.69440000000000013</v>
      </c>
      <c r="N4" s="101">
        <f>(Calculations!$D4*OnFieldOrb + (1-Calculations!$D4*OffFieldOrb)) * OrbsPerRun / (300/Calculations!$G4)</f>
        <v>0.34720000000000006</v>
      </c>
      <c r="O4" s="101">
        <f>LowEPS*Calculations!$G4</f>
        <v>4.4279999999999999</v>
      </c>
      <c r="P4" s="101">
        <f>MedEPS*Calculations!$G4</f>
        <v>9.18</v>
      </c>
      <c r="Q4" s="101">
        <f>HighEPS*Calculations!$G4</f>
        <v>17.472000000000001</v>
      </c>
      <c r="R4" s="101">
        <f>VHighEPS*Calculations!$G4</f>
        <v>29.102399999999996</v>
      </c>
      <c r="S4" s="15">
        <f>MAX(1, (Calculations!$H4-Calculations!$K4) / (Calculations!$J4 + Calculations!$L4 + Calculations!$O4))</f>
        <v>2.2746227917203727</v>
      </c>
      <c r="T4" s="15">
        <f>MAX(1, (Calculations!$H4-Calculations!$K4) / (Calculations!$J4 + Calculations!$L4 + Calculations!$P4))</f>
        <v>1.7907240494239838</v>
      </c>
      <c r="U4" s="15">
        <f>MAX(1, (Calculations!$H4-Calculations!$K4) / (Calculations!$J4 + Calculations!$L4 + Calculations!$Q4))</f>
        <v>1.3059376632422077</v>
      </c>
      <c r="V4" s="15">
        <f>MAX(1, (Calculations!$H4-Calculations!$K4) / (Calculations!$J4 + Calculations!$L4 + Calculations!$R4))</f>
        <v>1</v>
      </c>
      <c r="W4" s="15">
        <f>MAX(1, (Calculations!$H4-Calculations!$K4) / (Calculations!$J4 + Calculations!$M4 + Calculations!$O4))</f>
        <v>2.3361211045180585</v>
      </c>
      <c r="X4" s="15">
        <f>MAX(1, (Calculations!$H4-Calculations!$K4) / (Calculations!$J4 + Calculations!$M4 + Calculations!$P4))</f>
        <v>1.8286215850491898</v>
      </c>
      <c r="Y4" s="15">
        <f>MAX(1, (Calculations!$H4-Calculations!$K4) / (Calculations!$J4 + Calculations!$M4 + Calculations!$Q4))</f>
        <v>1.3259785721862734</v>
      </c>
      <c r="Z4" s="15">
        <f>MAX(1, (Calculations!$H4-Calculations!$K4) / (Calculations!$J4 + Calculations!$N4 + Calculations!$O4))</f>
        <v>2.3844723162764079</v>
      </c>
      <c r="AA4" s="15">
        <f>MAX(1, (Calculations!$H4-Calculations!$K4) / (Calculations!$J4 + Calculations!$N4 + Calculations!$P4))</f>
        <v>1.8581143855215727</v>
      </c>
      <c r="AB4" s="15">
        <f>MAX(1, (Calculations!$H4-Calculations!$K4) / (Calculations!$J4 + Calculations!$N4 + Calculations!$Q4))</f>
        <v>1.3414176101303856</v>
      </c>
      <c r="AC4" s="15"/>
      <c r="AD4" s="15"/>
    </row>
    <row r="5" spans="1:30" ht="14.25" customHeight="1" x14ac:dyDescent="0.25">
      <c r="A5" s="11" t="s">
        <v>193</v>
      </c>
      <c r="B5" s="11"/>
      <c r="C5" s="11" t="s">
        <v>56</v>
      </c>
      <c r="D5" s="15">
        <v>0.05</v>
      </c>
      <c r="E5" s="11"/>
      <c r="F5" s="11"/>
      <c r="G5" s="11">
        <f t="array" ref="G5">INDEX(Data!$X$2:$X$106,MATCH(Calculations!$A5,Data!$A$2:$A$106,0))</f>
        <v>20</v>
      </c>
      <c r="H5" s="11">
        <f t="array" ref="H5">INDEX(Data!$Y$2:$Y$106,MATCH(Calculations!$A5,Data!$A$2:$A$106,0))</f>
        <v>80</v>
      </c>
      <c r="I5" s="101">
        <f t="array" ref="I5">INDEX(Data!$F$2:$F$106,MATCH(Calculations!$A5,Data!$A$2:$A$106,0)) * Calculations!$E5 +
 INDEX(Data!$G$2:$G$106,MATCH(Calculations!$A5,Data!$A$2:$A$106,0)) * Calculations!$F5 +
INDEX(Data!$O$2:$O$106,MATCH(Calculations!$A5,Data!$A$2:$A$106,0)) * (0.6 +0.4*Calculations!$D5) * MIN(INDEX(Data!$R$2:$R$106,MATCH(Calculations!$A5,Data!$A$2:$A$106,0)), Calculations!$G5)</f>
        <v>0</v>
      </c>
      <c r="J5" s="101">
        <f>Calculations!$I5*OnFieldRight</f>
        <v>0</v>
      </c>
      <c r="K5" s="101"/>
      <c r="L5" s="101">
        <f>(Calculations!$D5*OnFieldOrb + (1-Calculations!$D5*OffFieldOrb)) * OrbsPerRun / (90/Calculations!$G5)</f>
        <v>1.7422222222222223</v>
      </c>
      <c r="M5" s="101">
        <f>(Calculations!$D5*OnFieldOrb + (1-Calculations!$D5*OffFieldOrb)) * OrbsPerRun / (150/Calculations!$G5)</f>
        <v>1.0453333333333334</v>
      </c>
      <c r="N5" s="101">
        <f>(Calculations!$D5*OnFieldOrb + (1-Calculations!$D5*OffFieldOrb)) * OrbsPerRun / (300/Calculations!$G5)</f>
        <v>0.52266666666666672</v>
      </c>
      <c r="O5" s="101">
        <f>LowEPS*Calculations!$G5</f>
        <v>7.38</v>
      </c>
      <c r="P5" s="101">
        <f>MedEPS*Calculations!$G5</f>
        <v>15.299999999999997</v>
      </c>
      <c r="Q5" s="101">
        <f>HighEPS*Calculations!$G5</f>
        <v>29.119999999999997</v>
      </c>
      <c r="R5" s="101">
        <f>VHighEPS*Calculations!$G5</f>
        <v>48.503999999999998</v>
      </c>
      <c r="S5" s="15">
        <f>MAX(1, (Calculations!$H5-Calculations!$K5) / (Calculations!$J5 + Calculations!$L5 + Calculations!$O5))</f>
        <v>8.7697929354445794</v>
      </c>
      <c r="T5" s="15">
        <f>MAX(1, (Calculations!$H5-Calculations!$K5) / (Calculations!$J5 + Calculations!$L5 + Calculations!$P5))</f>
        <v>4.6942234971965062</v>
      </c>
      <c r="U5" s="15">
        <f>MAX(1, (Calculations!$H5-Calculations!$K5) / (Calculations!$J5 + Calculations!$L5 + Calculations!$Q5))</f>
        <v>2.592165898617512</v>
      </c>
      <c r="V5" s="15">
        <f>MAX(1, (Calculations!$H5-Calculations!$K5) / (Calculations!$J5 + Calculations!$L5 + Calculations!$R5))</f>
        <v>1.5921594990004777</v>
      </c>
      <c r="W5" s="15">
        <f>MAX(1, (Calculations!$H5-Calculations!$K5) / (Calculations!$J5 + Calculations!$M5 + Calculations!$O5))</f>
        <v>9.4951732869124861</v>
      </c>
      <c r="X5" s="15">
        <f>MAX(1, (Calculations!$H5-Calculations!$K5) / (Calculations!$J5 + Calculations!$M5 + Calculations!$P5))</f>
        <v>4.8943633249041536</v>
      </c>
      <c r="Y5" s="15">
        <f>MAX(1, (Calculations!$H5-Calculations!$K5) / (Calculations!$J5 + Calculations!$M5 + Calculations!$Q5))</f>
        <v>2.6520509193776522</v>
      </c>
      <c r="Z5" s="15">
        <f>MAX(1, (Calculations!$H5-Calculations!$K5) / (Calculations!$J5 + Calculations!$N5 + Calculations!$O5))</f>
        <v>10.123165176311794</v>
      </c>
      <c r="AA5" s="15">
        <f>MAX(1, (Calculations!$H5-Calculations!$K5) / (Calculations!$J5 + Calculations!$N5 + Calculations!$P5))</f>
        <v>5.0560377517485477</v>
      </c>
      <c r="AB5" s="15">
        <f>MAX(1, (Calculations!$H5-Calculations!$K5) / (Calculations!$J5 + Calculations!$N5 + Calculations!$Q5))</f>
        <v>2.6988125224901047</v>
      </c>
      <c r="AC5" s="15"/>
      <c r="AD5" s="15"/>
    </row>
    <row r="6" spans="1:30" ht="14.25" customHeight="1" x14ac:dyDescent="0.25">
      <c r="A6" s="11" t="s">
        <v>195</v>
      </c>
      <c r="B6" s="11"/>
      <c r="C6" s="11" t="s">
        <v>52</v>
      </c>
      <c r="D6" s="15">
        <v>0.15</v>
      </c>
      <c r="E6" s="11">
        <v>1</v>
      </c>
      <c r="F6" s="11">
        <v>1</v>
      </c>
      <c r="G6" s="11">
        <f t="array" ref="G6">INDEX(Data!$X$2:$X$106,MATCH(Calculations!$A6,Data!$A$2:$A$106,0))</f>
        <v>20</v>
      </c>
      <c r="H6" s="11">
        <f t="array" ref="H6">INDEX(Data!$Y$2:$Y$106,MATCH(Calculations!$A6,Data!$A$2:$A$106,0))</f>
        <v>80</v>
      </c>
      <c r="I6" s="101">
        <f t="array" ref="I6">INDEX(Data!$F$2:$F$106,MATCH(Calculations!$A6,Data!$A$2:$A$106,0)) * Calculations!$E6 +
 INDEX(Data!$G$2:$G$106,MATCH(Calculations!$A6,Data!$A$2:$A$106,0)) * Calculations!$F6 +
INDEX(Data!$O$2:$O$106,MATCH(Calculations!$A6,Data!$A$2:$A$106,0)) * (0.6 +0.4*Calculations!$D6) * MIN(INDEX(Data!$R$2:$R$106,MATCH(Calculations!$A6,Data!$A$2:$A$106,0)), Calculations!$G6)</f>
        <v>5</v>
      </c>
      <c r="J6" s="101">
        <f>Calculations!$I6*OnFieldRight</f>
        <v>15</v>
      </c>
      <c r="K6" s="101"/>
      <c r="L6" s="101">
        <f>(Calculations!$D6*OnFieldOrb + (1-Calculations!$D6*OffFieldOrb)) * OrbsPerRun / (90/Calculations!$G6)</f>
        <v>2.1155555555555554</v>
      </c>
      <c r="M6" s="101">
        <f>(Calculations!$D6*OnFieldOrb + (1-Calculations!$D6*OffFieldOrb)) * OrbsPerRun / (150/Calculations!$G6)</f>
        <v>1.2693333333333332</v>
      </c>
      <c r="N6" s="101">
        <f>(Calculations!$D6*OnFieldOrb + (1-Calculations!$D6*OffFieldOrb)) * OrbsPerRun / (300/Calculations!$G6)</f>
        <v>0.6346666666666666</v>
      </c>
      <c r="O6" s="101">
        <f>LowEPS*Calculations!$G6</f>
        <v>7.38</v>
      </c>
      <c r="P6" s="101">
        <f>MedEPS*Calculations!$G6</f>
        <v>15.299999999999997</v>
      </c>
      <c r="Q6" s="101">
        <f>HighEPS*Calculations!$G6</f>
        <v>29.119999999999997</v>
      </c>
      <c r="R6" s="101">
        <f>VHighEPS*Calculations!$G6</f>
        <v>48.503999999999998</v>
      </c>
      <c r="S6" s="15">
        <f>MAX(1, (Calculations!$H6-Calculations!$K6) / (Calculations!$J6 + Calculations!$L6 + Calculations!$O6))</f>
        <v>3.2658985757053434</v>
      </c>
      <c r="T6" s="15">
        <f>MAX(1, (Calculations!$H6-Calculations!$K6) / (Calculations!$J6 + Calculations!$L6 + Calculations!$P6))</f>
        <v>2.4679509151984642</v>
      </c>
      <c r="U6" s="15">
        <f>MAX(1, (Calculations!$H6-Calculations!$K6) / (Calculations!$J6 + Calculations!$L6 + Calculations!$Q6))</f>
        <v>1.73027011439008</v>
      </c>
      <c r="V6" s="15">
        <f>MAX(1, (Calculations!$H6-Calculations!$K6) / (Calculations!$J6 + Calculations!$L6 + Calculations!$R6))</f>
        <v>1.2191487632413103</v>
      </c>
      <c r="W6" s="15">
        <f>MAX(1, (Calculations!$H6-Calculations!$K6) / (Calculations!$J6 + Calculations!$M6 + Calculations!$O6))</f>
        <v>3.3827592039240009</v>
      </c>
      <c r="X6" s="15">
        <f>MAX(1, (Calculations!$H6-Calculations!$K6) / (Calculations!$J6 + Calculations!$M6 + Calculations!$P6))</f>
        <v>2.5341048274696965</v>
      </c>
      <c r="Y6" s="15">
        <f>MAX(1, (Calculations!$H6-Calculations!$K6) / (Calculations!$J6 + Calculations!$M6 + Calculations!$Q6))</f>
        <v>1.762528641090418</v>
      </c>
      <c r="Z6" s="15">
        <f>MAX(1, (Calculations!$H6-Calculations!$K6) / (Calculations!$J6 + Calculations!$N6 + Calculations!$O6))</f>
        <v>3.4760442616302649</v>
      </c>
      <c r="AA6" s="15">
        <f>MAX(1, (Calculations!$H6-Calculations!$K6) / (Calculations!$J6 + Calculations!$N6 + Calculations!$P6))</f>
        <v>2.5860954269212537</v>
      </c>
      <c r="AB6" s="15">
        <f>MAX(1, (Calculations!$H6-Calculations!$K6) / (Calculations!$J6 + Calculations!$N6 + Calculations!$Q6))</f>
        <v>1.7875230888398976</v>
      </c>
      <c r="AC6" s="15"/>
      <c r="AD6" s="15"/>
    </row>
    <row r="7" spans="1:30" ht="14.25" customHeight="1" x14ac:dyDescent="0.25">
      <c r="A7" s="11" t="s">
        <v>200</v>
      </c>
      <c r="B7" s="11" t="s">
        <v>765</v>
      </c>
      <c r="C7" s="11" t="s">
        <v>63</v>
      </c>
      <c r="D7" s="15">
        <v>0.6</v>
      </c>
      <c r="E7" s="11">
        <v>6</v>
      </c>
      <c r="F7" s="11"/>
      <c r="G7" s="11">
        <f t="array" ref="G7">INDEX(Data!$X$2:$X$106,MATCH(Calculations!$A7,Data!$A$2:$A$106,0))</f>
        <v>15</v>
      </c>
      <c r="H7" s="11">
        <f t="array" ref="H7">INDEX(Data!$Y$2:$Y$106,MATCH(Calculations!$A7,Data!$A$2:$A$106,0))</f>
        <v>60</v>
      </c>
      <c r="I7" s="101">
        <f t="array" ref="I7">INDEX(Data!$F$2:$F$106,MATCH(Calculations!$A7,Data!$A$2:$A$106,0)) * Calculations!$E7 +
 INDEX(Data!$G$2:$G$106,MATCH(Calculations!$A7,Data!$A$2:$A$106,0)) * Calculations!$F7 +
INDEX(Data!$O$2:$O$106,MATCH(Calculations!$A7,Data!$A$2:$A$106,0)) * (0.6 +0.4*Calculations!$D7) * MIN(INDEX(Data!$R$2:$R$106,MATCH(Calculations!$A7,Data!$A$2:$A$106,0)), Calculations!$G7)</f>
        <v>13.5</v>
      </c>
      <c r="J7" s="101">
        <f>Calculations!$I7*OnFieldRight</f>
        <v>40.5</v>
      </c>
      <c r="K7" s="101"/>
      <c r="L7" s="101">
        <f>(Calculations!$D7*OnFieldOrb + (1-Calculations!$D7*OffFieldOrb)) * OrbsPerRun / (90/Calculations!$G7)</f>
        <v>2.8466666666666662</v>
      </c>
      <c r="M7" s="101">
        <f>(Calculations!$D7*OnFieldOrb + (1-Calculations!$D7*OffFieldOrb)) * OrbsPerRun / (150/Calculations!$G7)</f>
        <v>1.7079999999999997</v>
      </c>
      <c r="N7" s="101">
        <f>(Calculations!$D7*OnFieldOrb + (1-Calculations!$D7*OffFieldOrb)) * OrbsPerRun / (300/Calculations!$G7)</f>
        <v>0.85399999999999987</v>
      </c>
      <c r="O7" s="101">
        <f>LowEPS*Calculations!$G7</f>
        <v>5.5350000000000001</v>
      </c>
      <c r="P7" s="101">
        <f>MedEPS*Calculations!$G7</f>
        <v>11.474999999999998</v>
      </c>
      <c r="Q7" s="101">
        <f>HighEPS*Calculations!$G7</f>
        <v>21.84</v>
      </c>
      <c r="R7" s="101">
        <f>VHighEPS*Calculations!$G7</f>
        <v>36.378</v>
      </c>
      <c r="S7" s="15">
        <f>MAX(1, (Calculations!$H7-Calculations!$K7) / (Calculations!$J7 + Calculations!$L7 + Calculations!$O7))</f>
        <v>1.227454055712776</v>
      </c>
      <c r="T7" s="15">
        <f>MAX(1, (Calculations!$H7-Calculations!$K7) / (Calculations!$J7 + Calculations!$L7 + Calculations!$P7))</f>
        <v>1.0944577873711734</v>
      </c>
      <c r="U7" s="15">
        <f>MAX(1, (Calculations!$H7-Calculations!$K7) / (Calculations!$J7 + Calculations!$L7 + Calculations!$Q7))</f>
        <v>1</v>
      </c>
      <c r="V7" s="15">
        <f>MAX(1, (Calculations!$H7-Calculations!$K7) / (Calculations!$J7 + Calculations!$L7 + Calculations!$R7))</f>
        <v>1</v>
      </c>
      <c r="W7" s="15">
        <f>MAX(1, (Calculations!$H7-Calculations!$K7) / (Calculations!$J7 + Calculations!$M7 + Calculations!$O7))</f>
        <v>1.2567287351025282</v>
      </c>
      <c r="X7" s="15">
        <f>MAX(1, (Calculations!$H7-Calculations!$K7) / (Calculations!$J7 + Calculations!$M7 + Calculations!$P7))</f>
        <v>1.1176722612372634</v>
      </c>
      <c r="Y7" s="15">
        <f>MAX(1, (Calculations!$H7-Calculations!$K7) / (Calculations!$J7 + Calculations!$M7 + Calculations!$Q7))</f>
        <v>1</v>
      </c>
      <c r="Z7" s="15">
        <f>MAX(1, (Calculations!$H7-Calculations!$K7) / (Calculations!$J7 + Calculations!$N7 + Calculations!$O7))</f>
        <v>1.2796178208108513</v>
      </c>
      <c r="AA7" s="15">
        <f>MAX(1, (Calculations!$H7-Calculations!$K7) / (Calculations!$J7 + Calculations!$N7 + Calculations!$P7))</f>
        <v>1.1357398398606826</v>
      </c>
      <c r="AB7" s="15">
        <f>MAX(1, (Calculations!$H7-Calculations!$K7) / (Calculations!$J7 + Calculations!$N7 + Calculations!$Q7))</f>
        <v>1</v>
      </c>
      <c r="AC7" s="15"/>
      <c r="AD7" s="15"/>
    </row>
    <row r="8" spans="1:30" ht="14.25" customHeight="1" x14ac:dyDescent="0.25">
      <c r="A8" s="11" t="s">
        <v>200</v>
      </c>
      <c r="B8" s="11" t="s">
        <v>766</v>
      </c>
      <c r="C8" s="11" t="s">
        <v>63</v>
      </c>
      <c r="D8" s="15">
        <v>0.15</v>
      </c>
      <c r="E8" s="11">
        <v>2</v>
      </c>
      <c r="F8" s="11"/>
      <c r="G8" s="11">
        <f t="array" ref="G8">INDEX(Data!$X$2:$X$106,MATCH(Calculations!$A8,Data!$A$2:$A$106,0))</f>
        <v>15</v>
      </c>
      <c r="H8" s="11">
        <f t="array" ref="H8">INDEX(Data!$Y$2:$Y$106,MATCH(Calculations!$A8,Data!$A$2:$A$106,0))</f>
        <v>60</v>
      </c>
      <c r="I8" s="101">
        <f t="array" ref="I8">INDEX(Data!$F$2:$F$106,MATCH(Calculations!$A8,Data!$A$2:$A$106,0)) * Calculations!$E8 +
 INDEX(Data!$G$2:$G$106,MATCH(Calculations!$A8,Data!$A$2:$A$106,0)) * Calculations!$F8 +
INDEX(Data!$O$2:$O$106,MATCH(Calculations!$A8,Data!$A$2:$A$106,0)) * (0.6 +0.4*Calculations!$D8) * MIN(INDEX(Data!$R$2:$R$106,MATCH(Calculations!$A8,Data!$A$2:$A$106,0)), Calculations!$G8)</f>
        <v>4.5</v>
      </c>
      <c r="J8" s="101">
        <f>Calculations!$I8*OnFieldRight</f>
        <v>13.5</v>
      </c>
      <c r="K8" s="101"/>
      <c r="L8" s="101">
        <f>(Calculations!$D8*OnFieldOrb + (1-Calculations!$D8*OffFieldOrb)) * OrbsPerRun / (90/Calculations!$G8)</f>
        <v>1.5866666666666667</v>
      </c>
      <c r="M8" s="101">
        <f>(Calculations!$D8*OnFieldOrb + (1-Calculations!$D8*OffFieldOrb)) * OrbsPerRun / (150/Calculations!$G8)</f>
        <v>0.95199999999999996</v>
      </c>
      <c r="N8" s="101">
        <f>(Calculations!$D8*OnFieldOrb + (1-Calculations!$D8*OffFieldOrb)) * OrbsPerRun / (300/Calculations!$G8)</f>
        <v>0.47599999999999998</v>
      </c>
      <c r="O8" s="101">
        <f>LowEPS*Calculations!$G8</f>
        <v>5.5350000000000001</v>
      </c>
      <c r="P8" s="101">
        <f>MedEPS*Calculations!$G8</f>
        <v>11.474999999999998</v>
      </c>
      <c r="Q8" s="101">
        <f>HighEPS*Calculations!$G8</f>
        <v>21.84</v>
      </c>
      <c r="R8" s="101">
        <f>VHighEPS*Calculations!$G8</f>
        <v>36.378</v>
      </c>
      <c r="S8" s="15">
        <f>MAX(1, (Calculations!$H8-Calculations!$K8) / (Calculations!$J8 + Calculations!$L8 + Calculations!$O8))</f>
        <v>2.9095611411945366</v>
      </c>
      <c r="T8" s="15">
        <f>MAX(1, (Calculations!$H8-Calculations!$K8) / (Calculations!$J8 + Calculations!$L8 + Calculations!$P8))</f>
        <v>2.258894396686955</v>
      </c>
      <c r="U8" s="15">
        <f>MAX(1, (Calculations!$H8-Calculations!$K8) / (Calculations!$J8 + Calculations!$L8 + Calculations!$Q8))</f>
        <v>1.6248420292471568</v>
      </c>
      <c r="V8" s="15">
        <f>MAX(1, (Calculations!$H8-Calculations!$K8) / (Calculations!$J8 + Calculations!$L8 + Calculations!$R8))</f>
        <v>1.1658484137984637</v>
      </c>
      <c r="W8" s="15">
        <f>MAX(1, (Calculations!$H8-Calculations!$K8) / (Calculations!$J8 + Calculations!$M8 + Calculations!$O8))</f>
        <v>3.0019512683244107</v>
      </c>
      <c r="X8" s="15">
        <f>MAX(1, (Calculations!$H8-Calculations!$K8) / (Calculations!$J8 + Calculations!$M8 + Calculations!$P8))</f>
        <v>2.3141898407065993</v>
      </c>
      <c r="Y8" s="15">
        <f>MAX(1, (Calculations!$H8-Calculations!$K8) / (Calculations!$J8 + Calculations!$M8 + Calculations!$Q8))</f>
        <v>1.6532569161247657</v>
      </c>
      <c r="Z8" s="15">
        <f>MAX(1, (Calculations!$H8-Calculations!$K8) / (Calculations!$J8 + Calculations!$N8 + Calculations!$O8))</f>
        <v>3.0751883552867616</v>
      </c>
      <c r="AA8" s="15">
        <f>MAX(1, (Calculations!$H8-Calculations!$K8) / (Calculations!$J8 + Calculations!$N8 + Calculations!$P8))</f>
        <v>2.3574712192055323</v>
      </c>
      <c r="AB8" s="15">
        <f>MAX(1, (Calculations!$H8-Calculations!$K8) / (Calculations!$J8 + Calculations!$N8 + Calculations!$Q8))</f>
        <v>1.6752289479562206</v>
      </c>
      <c r="AC8" s="15"/>
      <c r="AD8" s="15"/>
    </row>
    <row r="9" spans="1:30" ht="14.25" customHeight="1" x14ac:dyDescent="0.25">
      <c r="A9" s="11" t="s">
        <v>211</v>
      </c>
      <c r="B9" s="11"/>
      <c r="C9" s="11" t="s">
        <v>48</v>
      </c>
      <c r="D9" s="15">
        <v>0.1</v>
      </c>
      <c r="E9" s="11">
        <v>1</v>
      </c>
      <c r="F9" s="11"/>
      <c r="G9" s="11">
        <f t="array" ref="G9">INDEX(Data!$X$2:$X$106,MATCH(Calculations!$A9,Data!$A$2:$A$106,0))</f>
        <v>12</v>
      </c>
      <c r="H9" s="11">
        <f t="array" ref="H9">INDEX(Data!$Y$2:$Y$106,MATCH(Calculations!$A9,Data!$A$2:$A$106,0))</f>
        <v>40</v>
      </c>
      <c r="I9" s="101">
        <f t="array" ref="I9">INDEX(Data!$F$2:$F$106,MATCH(Calculations!$A9,Data!$A$2:$A$106,0)) * Calculations!$E9 +
 INDEX(Data!$G$2:$G$106,MATCH(Calculations!$A9,Data!$A$2:$A$106,0)) * Calculations!$F9 +
INDEX(Data!$O$2:$O$106,MATCH(Calculations!$A9,Data!$A$2:$A$106,0)) * (0.6 +0.4*Calculations!$D9) * MIN(INDEX(Data!$R$2:$R$106,MATCH(Calculations!$A9,Data!$A$2:$A$106,0)), Calculations!$G9)</f>
        <v>4</v>
      </c>
      <c r="J9" s="101">
        <f>Calculations!$I9*OnFieldRight</f>
        <v>12</v>
      </c>
      <c r="K9" s="101"/>
      <c r="L9" s="101">
        <f>(Calculations!$D9*OnFieldOrb + (1-Calculations!$D9*OffFieldOrb)) * OrbsPerRun / (90/Calculations!$G9)</f>
        <v>1.1573333333333335</v>
      </c>
      <c r="M9" s="101">
        <f>(Calculations!$D9*OnFieldOrb + (1-Calculations!$D9*OffFieldOrb)) * OrbsPerRun / (150/Calculations!$G9)</f>
        <v>0.69440000000000013</v>
      </c>
      <c r="N9" s="101">
        <f>(Calculations!$D9*OnFieldOrb + (1-Calculations!$D9*OffFieldOrb)) * OrbsPerRun / (300/Calculations!$G9)</f>
        <v>0.34720000000000006</v>
      </c>
      <c r="O9" s="101">
        <f>LowEPS*Calculations!$G9</f>
        <v>4.4279999999999999</v>
      </c>
      <c r="P9" s="101">
        <f>MedEPS*Calculations!$G9</f>
        <v>9.18</v>
      </c>
      <c r="Q9" s="101">
        <f>HighEPS*Calculations!$G9</f>
        <v>17.472000000000001</v>
      </c>
      <c r="R9" s="101">
        <f>VHighEPS*Calculations!$G9</f>
        <v>29.102399999999996</v>
      </c>
      <c r="S9" s="15">
        <f>MAX(1, (Calculations!$H9-Calculations!$K9) / (Calculations!$J9 + Calculations!$L9 + Calculations!$O9))</f>
        <v>2.2746227917203727</v>
      </c>
      <c r="T9" s="15">
        <f>MAX(1, (Calculations!$H9-Calculations!$K9) / (Calculations!$J9 + Calculations!$L9 + Calculations!$P9))</f>
        <v>1.7907240494239838</v>
      </c>
      <c r="U9" s="15">
        <f>MAX(1, (Calculations!$H9-Calculations!$K9) / (Calculations!$J9 + Calculations!$L9 + Calculations!$Q9))</f>
        <v>1.3059376632422077</v>
      </c>
      <c r="V9" s="15">
        <f>MAX(1, (Calculations!$H9-Calculations!$K9) / (Calculations!$J9 + Calculations!$L9 + Calculations!$R9))</f>
        <v>1</v>
      </c>
      <c r="W9" s="15">
        <f>MAX(1, (Calculations!$H9-Calculations!$K9) / (Calculations!$J9 + Calculations!$M9 + Calculations!$O9))</f>
        <v>2.3361211045180585</v>
      </c>
      <c r="X9" s="15">
        <f>MAX(1, (Calculations!$H9-Calculations!$K9) / (Calculations!$J9 + Calculations!$M9 + Calculations!$P9))</f>
        <v>1.8286215850491898</v>
      </c>
      <c r="Y9" s="15">
        <f>MAX(1, (Calculations!$H9-Calculations!$K9) / (Calculations!$J9 + Calculations!$M9 + Calculations!$Q9))</f>
        <v>1.3259785721862734</v>
      </c>
      <c r="Z9" s="15">
        <f>MAX(1, (Calculations!$H9-Calculations!$K9) / (Calculations!$J9 + Calculations!$N9 + Calculations!$O9))</f>
        <v>2.3844723162764079</v>
      </c>
      <c r="AA9" s="15">
        <f>MAX(1, (Calculations!$H9-Calculations!$K9) / (Calculations!$J9 + Calculations!$N9 + Calculations!$P9))</f>
        <v>1.8581143855215727</v>
      </c>
      <c r="AB9" s="15">
        <f>MAX(1, (Calculations!$H9-Calculations!$K9) / (Calculations!$J9 + Calculations!$N9 + Calculations!$Q9))</f>
        <v>1.3414176101303856</v>
      </c>
      <c r="AC9" s="15"/>
      <c r="AD9" s="15"/>
    </row>
    <row r="10" spans="1:30" ht="14.25" customHeight="1" x14ac:dyDescent="0.25">
      <c r="A10" s="11" t="s">
        <v>227</v>
      </c>
      <c r="B10" s="11"/>
      <c r="C10" s="11" t="s">
        <v>63</v>
      </c>
      <c r="D10" s="15">
        <v>0.7</v>
      </c>
      <c r="E10" s="11">
        <v>1</v>
      </c>
      <c r="F10" s="11"/>
      <c r="G10" s="11">
        <f t="array" ref="G10">INDEX(Data!$X$2:$X$106,MATCH(Calculations!$A10,Data!$A$2:$A$106,0))</f>
        <v>12</v>
      </c>
      <c r="H10" s="11">
        <f t="array" ref="H10">INDEX(Data!$Y$2:$Y$106,MATCH(Calculations!$A10,Data!$A$2:$A$106,0))</f>
        <v>40</v>
      </c>
      <c r="I10" s="101">
        <f t="array" ref="I10">INDEX(Data!$F$2:$F$106,MATCH(Calculations!$A10,Data!$A$2:$A$106,0)) * Calculations!$E10 +
 INDEX(Data!$G$2:$G$106,MATCH(Calculations!$A10,Data!$A$2:$A$106,0)) * Calculations!$F10 +
INDEX(Data!$O$2:$O$106,MATCH(Calculations!$A10,Data!$A$2:$A$106,0)) * (0.6 +0.4*Calculations!$D10) * MIN(INDEX(Data!$R$2:$R$106,MATCH(Calculations!$A10,Data!$A$2:$A$106,0)), Calculations!$G10)</f>
        <v>3.75</v>
      </c>
      <c r="J10" s="101">
        <f>Calculations!$I10*OnFieldRight</f>
        <v>11.25</v>
      </c>
      <c r="K10" s="101"/>
      <c r="L10" s="101">
        <f>(Calculations!$D10*OnFieldOrb + (1-Calculations!$D10*OffFieldOrb)) * OrbsPerRun / (90/Calculations!$G10)</f>
        <v>2.5013333333333332</v>
      </c>
      <c r="M10" s="101">
        <f>(Calculations!$D10*OnFieldOrb + (1-Calculations!$D10*OffFieldOrb)) * OrbsPerRun / (150/Calculations!$G10)</f>
        <v>1.5007999999999999</v>
      </c>
      <c r="N10" s="101">
        <f>(Calculations!$D10*OnFieldOrb + (1-Calculations!$D10*OffFieldOrb)) * OrbsPerRun / (300/Calculations!$G10)</f>
        <v>0.75039999999999996</v>
      </c>
      <c r="O10" s="101">
        <f>LowEPS*Calculations!$G10</f>
        <v>4.4279999999999999</v>
      </c>
      <c r="P10" s="101">
        <f>MedEPS*Calculations!$G10</f>
        <v>9.18</v>
      </c>
      <c r="Q10" s="101">
        <f>HighEPS*Calculations!$G10</f>
        <v>17.472000000000001</v>
      </c>
      <c r="R10" s="101">
        <f>VHighEPS*Calculations!$G10</f>
        <v>29.102399999999996</v>
      </c>
      <c r="S10" s="15">
        <f>MAX(1, (Calculations!$H10-Calculations!$K10) / (Calculations!$J10 + Calculations!$L10 + Calculations!$O10))</f>
        <v>2.2003007077633945</v>
      </c>
      <c r="T10" s="15">
        <f>MAX(1, (Calculations!$H10-Calculations!$K10) / (Calculations!$J10 + Calculations!$L10 + Calculations!$P10))</f>
        <v>1.7443381690263684</v>
      </c>
      <c r="U10" s="15">
        <f>MAX(1, (Calculations!$H10-Calculations!$K10) / (Calculations!$J10 + Calculations!$L10 + Calculations!$Q10))</f>
        <v>1.2810931995302657</v>
      </c>
      <c r="V10" s="15">
        <f>MAX(1, (Calculations!$H10-Calculations!$K10) / (Calculations!$J10 + Calculations!$L10 + Calculations!$R10))</f>
        <v>1</v>
      </c>
      <c r="W10" s="15">
        <f>MAX(1, (Calculations!$H10-Calculations!$K10) / (Calculations!$J10 + Calculations!$M10 + Calculations!$O10))</f>
        <v>2.3284513470091044</v>
      </c>
      <c r="X10" s="15">
        <f>MAX(1, (Calculations!$H10-Calculations!$K10) / (Calculations!$J10 + Calculations!$M10 + Calculations!$P10))</f>
        <v>1.8239188720885697</v>
      </c>
      <c r="Y10" s="15">
        <f>MAX(1, (Calculations!$H10-Calculations!$K10) / (Calculations!$J10 + Calculations!$M10 + Calculations!$Q10))</f>
        <v>1.32350410948026</v>
      </c>
      <c r="Z10" s="15">
        <f>MAX(1, (Calculations!$H10-Calculations!$K10) / (Calculations!$J10 + Calculations!$N10 + Calculations!$O10))</f>
        <v>2.4348080153879867</v>
      </c>
      <c r="AA10" s="15">
        <f>MAX(1, (Calculations!$H10-Calculations!$K10) / (Calculations!$J10 + Calculations!$N10 + Calculations!$P10))</f>
        <v>1.8885384600857398</v>
      </c>
      <c r="AB10" s="15">
        <f>MAX(1, (Calculations!$H10-Calculations!$K10) / (Calculations!$J10 + Calculations!$N10 + Calculations!$Q10))</f>
        <v>1.3572019923725247</v>
      </c>
      <c r="AC10" s="15"/>
      <c r="AD10" s="15"/>
    </row>
    <row r="11" spans="1:30" ht="14.25" customHeight="1" x14ac:dyDescent="0.25">
      <c r="A11" s="11" t="s">
        <v>230</v>
      </c>
      <c r="B11" s="11"/>
      <c r="C11" s="11" t="s">
        <v>48</v>
      </c>
      <c r="D11" s="15">
        <v>0.1</v>
      </c>
      <c r="E11" s="11"/>
      <c r="F11" s="11">
        <v>1</v>
      </c>
      <c r="G11" s="11">
        <f t="array" ref="G11">INDEX(Data!$X$2:$X$106,MATCH(Calculations!$A11,Data!$A$2:$A$106,0))</f>
        <v>20</v>
      </c>
      <c r="H11" s="11">
        <f t="array" ref="H11">INDEX(Data!$Y$2:$Y$106,MATCH(Calculations!$A11,Data!$A$2:$A$106,0))</f>
        <v>80</v>
      </c>
      <c r="I11" s="101">
        <f t="array" ref="I11">INDEX(Data!$F$2:$F$106,MATCH(Calculations!$A11,Data!$A$2:$A$106,0)) * Calculations!$E11 +
 INDEX(Data!$G$2:$G$106,MATCH(Calculations!$A11,Data!$A$2:$A$106,0)) * Calculations!$F11 +
INDEX(Data!$O$2:$O$106,MATCH(Calculations!$A11,Data!$A$2:$A$106,0)) * (0.6 +0.4*Calculations!$D11) * MIN(INDEX(Data!$R$2:$R$106,MATCH(Calculations!$A11,Data!$A$2:$A$106,0)), Calculations!$G11)</f>
        <v>4</v>
      </c>
      <c r="J11" s="101">
        <f>Calculations!$I11*OnFieldRight</f>
        <v>12</v>
      </c>
      <c r="K11" s="101"/>
      <c r="L11" s="101">
        <f>(Calculations!$D11*OnFieldOrb + (1-Calculations!$D11*OffFieldOrb)) * OrbsPerRun / (90/Calculations!$G11)</f>
        <v>1.9288888888888893</v>
      </c>
      <c r="M11" s="101">
        <f>(Calculations!$D11*OnFieldOrb + (1-Calculations!$D11*OffFieldOrb)) * OrbsPerRun / (150/Calculations!$G11)</f>
        <v>1.1573333333333335</v>
      </c>
      <c r="N11" s="101">
        <f>(Calculations!$D11*OnFieldOrb + (1-Calculations!$D11*OffFieldOrb)) * OrbsPerRun / (300/Calculations!$G11)</f>
        <v>0.57866666666666677</v>
      </c>
      <c r="O11" s="101">
        <f>LowEPS*Calculations!$G11</f>
        <v>7.38</v>
      </c>
      <c r="P11" s="101">
        <f>MedEPS*Calculations!$G11</f>
        <v>15.299999999999997</v>
      </c>
      <c r="Q11" s="101">
        <f>HighEPS*Calculations!$G11</f>
        <v>29.119999999999997</v>
      </c>
      <c r="R11" s="101">
        <f>VHighEPS*Calculations!$G11</f>
        <v>48.503999999999998</v>
      </c>
      <c r="S11" s="15">
        <f>MAX(1, (Calculations!$H11-Calculations!$K11) / (Calculations!$J11 + Calculations!$L11 + Calculations!$O11))</f>
        <v>3.7543018041505896</v>
      </c>
      <c r="T11" s="15">
        <f>MAX(1, (Calculations!$H11-Calculations!$K11) / (Calculations!$J11 + Calculations!$L11 + Calculations!$P11))</f>
        <v>2.7370181707595229</v>
      </c>
      <c r="U11" s="15">
        <f>MAX(1, (Calculations!$H11-Calculations!$K11) / (Calculations!$J11 + Calculations!$L11 + Calculations!$Q11))</f>
        <v>1.8583522609952512</v>
      </c>
      <c r="V11" s="15">
        <f>MAX(1, (Calculations!$H11-Calculations!$K11) / (Calculations!$J11 + Calculations!$L11 + Calculations!$R11))</f>
        <v>1.2813759129803381</v>
      </c>
      <c r="W11" s="15">
        <f>MAX(1, (Calculations!$H11-Calculations!$K11) / (Calculations!$J11 + Calculations!$M11 + Calculations!$O11))</f>
        <v>3.8953450626501334</v>
      </c>
      <c r="X11" s="15">
        <f>MAX(1, (Calculations!$H11-Calculations!$K11) / (Calculations!$J11 + Calculations!$M11 + Calculations!$P11))</f>
        <v>2.8112261631448252</v>
      </c>
      <c r="Y11" s="15">
        <f>MAX(1, (Calculations!$H11-Calculations!$K11) / (Calculations!$J11 + Calculations!$M11 + Calculations!$Q11))</f>
        <v>1.8922669357890753</v>
      </c>
      <c r="Z11" s="15">
        <f>MAX(1, (Calculations!$H11-Calculations!$K11) / (Calculations!$J11 + Calculations!$N11 + Calculations!$O11))</f>
        <v>4.0082837864920835</v>
      </c>
      <c r="AA11" s="15">
        <f>MAX(1, (Calculations!$H11-Calculations!$K11) / (Calculations!$J11 + Calculations!$N11 + Calculations!$P11))</f>
        <v>2.8695776938160602</v>
      </c>
      <c r="AB11" s="15">
        <f>MAX(1, (Calculations!$H11-Calculations!$K11) / (Calculations!$J11 + Calculations!$N11 + Calculations!$Q11))</f>
        <v>1.9185265715930164</v>
      </c>
      <c r="AC11" s="15"/>
      <c r="AD11" s="15"/>
    </row>
    <row r="12" spans="1:30" ht="14.25" customHeight="1" x14ac:dyDescent="0.25">
      <c r="A12" s="11" t="s">
        <v>244</v>
      </c>
      <c r="B12" s="11"/>
      <c r="C12" s="11" t="s">
        <v>52</v>
      </c>
      <c r="D12" s="15">
        <v>0.08</v>
      </c>
      <c r="E12" s="11"/>
      <c r="F12" s="11"/>
      <c r="G12" s="11">
        <v>25</v>
      </c>
      <c r="H12" s="11">
        <f t="array" ref="H12">INDEX(Data!$Y$2:$Y$106,MATCH(Calculations!$A12,Data!$A$2:$A$106,0))</f>
        <v>60</v>
      </c>
      <c r="I12" s="101">
        <f t="array" ref="I12">INDEX(Data!$F$2:$F$106,MATCH(Calculations!$A12,Data!$A$2:$A$106,0)) * Calculations!$E12 +
 INDEX(Data!$G$2:$G$106,MATCH(Calculations!$A12,Data!$A$2:$A$106,0)) * Calculations!$F12 +
INDEX(Data!$O$2:$O$106,MATCH(Calculations!$A12,Data!$A$2:$A$106,0)) * (0.6 +0.4*Calculations!$D12) * MIN(INDEX(Data!$R$2:$R$106,MATCH(Calculations!$A12,Data!$A$2:$A$106,0)), Calculations!$G12)</f>
        <v>4.2344000000000008</v>
      </c>
      <c r="J12" s="101">
        <f>Calculations!$I12*OnFieldRight</f>
        <v>12.703200000000002</v>
      </c>
      <c r="K12" s="101"/>
      <c r="L12" s="101">
        <f>(Calculations!$D12*OnFieldOrb + (1-Calculations!$D12*OffFieldOrb)) * OrbsPerRun / (90/Calculations!$G12)</f>
        <v>2.3177777777777777</v>
      </c>
      <c r="M12" s="101">
        <f>(Calculations!$D12*OnFieldOrb + (1-Calculations!$D12*OffFieldOrb)) * OrbsPerRun / (150/Calculations!$G12)</f>
        <v>1.3906666666666665</v>
      </c>
      <c r="N12" s="101">
        <f>(Calculations!$D12*OnFieldOrb + (1-Calculations!$D12*OffFieldOrb)) * OrbsPerRun / (300/Calculations!$G12)</f>
        <v>0.69533333333333325</v>
      </c>
      <c r="O12" s="101">
        <f>LowEPS*Calculations!$G12</f>
        <v>9.2249999999999996</v>
      </c>
      <c r="P12" s="101">
        <f>MedEPS*Calculations!$G12</f>
        <v>19.124999999999996</v>
      </c>
      <c r="Q12" s="101">
        <f>HighEPS*Calculations!$G12</f>
        <v>36.4</v>
      </c>
      <c r="R12" s="101">
        <f>VHighEPS*Calculations!$G12</f>
        <v>60.629999999999995</v>
      </c>
      <c r="S12" s="15">
        <f>MAX(1, (Calculations!$H12-Calculations!$K12) / (Calculations!$J12 + Calculations!$L12 + Calculations!$O12))</f>
        <v>2.4746372594217227</v>
      </c>
      <c r="T12" s="15">
        <f>MAX(1, (Calculations!$H12-Calculations!$K12) / (Calculations!$J12 + Calculations!$L12 + Calculations!$P12))</f>
        <v>1.757161572308175</v>
      </c>
      <c r="U12" s="15">
        <f>MAX(1, (Calculations!$H12-Calculations!$K12) / (Calculations!$J12 + Calculations!$L12 + Calculations!$Q12))</f>
        <v>1.16683895548034</v>
      </c>
      <c r="V12" s="15">
        <f>MAX(1, (Calculations!$H12-Calculations!$K12) / (Calculations!$J12 + Calculations!$L12 + Calculations!$R12))</f>
        <v>1</v>
      </c>
      <c r="W12" s="15">
        <f>MAX(1, (Calculations!$H12-Calculations!$K12) / (Calculations!$J12 + Calculations!$M12 + Calculations!$O12))</f>
        <v>2.5730238462132236</v>
      </c>
      <c r="X12" s="15">
        <f>MAX(1, (Calculations!$H12-Calculations!$K12) / (Calculations!$J12 + Calculations!$M12 + Calculations!$P12))</f>
        <v>1.8062024993828809</v>
      </c>
      <c r="Y12" s="15">
        <f>MAX(1, (Calculations!$H12-Calculations!$K12) / (Calculations!$J12 + Calculations!$M12 + Calculations!$Q12))</f>
        <v>1.1882631289872829</v>
      </c>
      <c r="Z12" s="15">
        <f>MAX(1, (Calculations!$H12-Calculations!$K12) / (Calculations!$J12 + Calculations!$N12 + Calculations!$O12))</f>
        <v>2.6521056245266728</v>
      </c>
      <c r="AA12" s="15">
        <f>MAX(1, (Calculations!$H12-Calculations!$K12) / (Calculations!$J12 + Calculations!$N12 + Calculations!$P12))</f>
        <v>1.8448180087034414</v>
      </c>
      <c r="AB12" s="15">
        <f>MAX(1, (Calculations!$H12-Calculations!$K12) / (Calculations!$J12 + Calculations!$N12 + Calculations!$Q12))</f>
        <v>1.2048547614521443</v>
      </c>
      <c r="AC12" s="15"/>
      <c r="AD12" s="15"/>
    </row>
    <row r="13" spans="1:30" ht="14.25" customHeight="1" x14ac:dyDescent="0.25">
      <c r="A13" s="11" t="s">
        <v>260</v>
      </c>
      <c r="B13" s="11"/>
      <c r="C13" s="11" t="s">
        <v>48</v>
      </c>
      <c r="D13" s="15">
        <v>0.7</v>
      </c>
      <c r="E13" s="11">
        <v>1.5</v>
      </c>
      <c r="F13" s="11"/>
      <c r="G13" s="11">
        <f t="array" ref="G13">INDEX(Data!$X$2:$X$106,MATCH(Calculations!$A13,Data!$A$2:$A$106,0))</f>
        <v>15</v>
      </c>
      <c r="H13" s="11">
        <f t="array" ref="H13">INDEX(Data!$Y$2:$Y$106,MATCH(Calculations!$A13,Data!$A$2:$A$106,0))</f>
        <v>60</v>
      </c>
      <c r="I13" s="101">
        <f t="array" ref="I13">INDEX(Data!$F$2:$F$106,MATCH(Calculations!$A13,Data!$A$2:$A$106,0)) * Calculations!$E13 +
 INDEX(Data!$G$2:$G$106,MATCH(Calculations!$A13,Data!$A$2:$A$106,0)) * Calculations!$F13 +
INDEX(Data!$O$2:$O$106,MATCH(Calculations!$A13,Data!$A$2:$A$106,0)) * (0.6 +0.4*Calculations!$D13) * MIN(INDEX(Data!$R$2:$R$106,MATCH(Calculations!$A13,Data!$A$2:$A$106,0)), Calculations!$G13)</f>
        <v>6</v>
      </c>
      <c r="J13" s="101">
        <f>Calculations!$I13*OnFieldRight</f>
        <v>18</v>
      </c>
      <c r="K13" s="101"/>
      <c r="L13" s="101">
        <f>(Calculations!$D13*OnFieldOrb + (1-Calculations!$D13*OffFieldOrb)) * OrbsPerRun / (90/Calculations!$G13)</f>
        <v>3.1266666666666665</v>
      </c>
      <c r="M13" s="101">
        <f>(Calculations!$D13*OnFieldOrb + (1-Calculations!$D13*OffFieldOrb)) * OrbsPerRun / (150/Calculations!$G13)</f>
        <v>1.8759999999999999</v>
      </c>
      <c r="N13" s="101">
        <f>(Calculations!$D13*OnFieldOrb + (1-Calculations!$D13*OffFieldOrb)) * OrbsPerRun / (300/Calculations!$G13)</f>
        <v>0.93799999999999994</v>
      </c>
      <c r="O13" s="101">
        <f>LowEPS*Calculations!$G13</f>
        <v>5.5350000000000001</v>
      </c>
      <c r="P13" s="101">
        <f>MedEPS*Calculations!$G13</f>
        <v>11.474999999999998</v>
      </c>
      <c r="Q13" s="101">
        <f>HighEPS*Calculations!$G13</f>
        <v>21.84</v>
      </c>
      <c r="R13" s="101">
        <f>VHighEPS*Calculations!$G13</f>
        <v>36.378</v>
      </c>
      <c r="S13" s="15">
        <f>MAX(1, (Calculations!$H13-Calculations!$K13) / (Calculations!$J13 + Calculations!$L13 + Calculations!$O13))</f>
        <v>2.2504219541163968</v>
      </c>
      <c r="T13" s="15">
        <f>MAX(1, (Calculations!$H13-Calculations!$K13) / (Calculations!$J13 + Calculations!$L13 + Calculations!$P13))</f>
        <v>1.8403967077347787</v>
      </c>
      <c r="U13" s="15">
        <f>MAX(1, (Calculations!$H13-Calculations!$K13) / (Calculations!$J13 + Calculations!$L13 + Calculations!$Q13))</f>
        <v>1.3964313421256787</v>
      </c>
      <c r="V13" s="15">
        <f>MAX(1, (Calculations!$H13-Calculations!$K13) / (Calculations!$J13 + Calculations!$L13 + Calculations!$R13))</f>
        <v>1.0433935796515066</v>
      </c>
      <c r="W13" s="15">
        <f>MAX(1, (Calculations!$H13-Calculations!$K13) / (Calculations!$J13 + Calculations!$M13 + Calculations!$O13))</f>
        <v>2.3611821652040454</v>
      </c>
      <c r="X13" s="15">
        <f>MAX(1, (Calculations!$H13-Calculations!$K13) / (Calculations!$J13 + Calculations!$M13 + Calculations!$P13))</f>
        <v>1.9138145513699722</v>
      </c>
      <c r="Y13" s="15">
        <f>MAX(1, (Calculations!$H13-Calculations!$K13) / (Calculations!$J13 + Calculations!$M13 + Calculations!$Q13))</f>
        <v>1.4382970562853581</v>
      </c>
      <c r="Z13" s="15">
        <f>MAX(1, (Calculations!$H13-Calculations!$K13) / (Calculations!$J13 + Calculations!$N13 + Calculations!$O13))</f>
        <v>2.4516814448575981</v>
      </c>
      <c r="AA13" s="15">
        <f>MAX(1, (Calculations!$H13-Calculations!$K13) / (Calculations!$J13 + Calculations!$N13 + Calculations!$P13))</f>
        <v>1.9728405616019467</v>
      </c>
      <c r="AB13" s="15">
        <f>MAX(1, (Calculations!$H13-Calculations!$K13) / (Calculations!$J13 + Calculations!$N13 + Calculations!$Q13))</f>
        <v>1.47138162734808</v>
      </c>
      <c r="AC13" s="15"/>
      <c r="AD13" s="15"/>
    </row>
    <row r="14" spans="1:30" ht="14.25" customHeight="1" x14ac:dyDescent="0.25">
      <c r="A14" s="11" t="s">
        <v>269</v>
      </c>
      <c r="B14" s="11"/>
      <c r="C14" s="11" t="s">
        <v>63</v>
      </c>
      <c r="D14" s="15">
        <v>0.6</v>
      </c>
      <c r="E14" s="11">
        <v>1</v>
      </c>
      <c r="F14" s="11"/>
      <c r="G14" s="11">
        <f t="array" ref="G14">INDEX(Data!$X$2:$X$106,MATCH(Calculations!$A14,Data!$A$2:$A$106,0))</f>
        <v>15</v>
      </c>
      <c r="H14" s="11">
        <f t="array" ref="H14">INDEX(Data!$Y$2:$Y$106,MATCH(Calculations!$A14,Data!$A$2:$A$106,0))</f>
        <v>60</v>
      </c>
      <c r="I14" s="101">
        <f t="array" ref="I14">INDEX(Data!$F$2:$F$106,MATCH(Calculations!$A14,Data!$A$2:$A$106,0)) * Calculations!$E14 +
 INDEX(Data!$G$2:$G$106,MATCH(Calculations!$A14,Data!$A$2:$A$106,0)) * Calculations!$F14 +
INDEX(Data!$O$2:$O$106,MATCH(Calculations!$A14,Data!$A$2:$A$106,0)) * (0.6 +0.4*Calculations!$D14) * MIN(INDEX(Data!$R$2:$R$106,MATCH(Calculations!$A14,Data!$A$2:$A$106,0)), Calculations!$G14)</f>
        <v>4.8</v>
      </c>
      <c r="J14" s="101">
        <f>Calculations!$I14*OnFieldRight</f>
        <v>14.399999999999999</v>
      </c>
      <c r="K14" s="101"/>
      <c r="L14" s="101">
        <f>(Calculations!$D14*OnFieldOrb + (1-Calculations!$D14*OffFieldOrb)) * OrbsPerRun / (90/Calculations!$G14)</f>
        <v>2.8466666666666662</v>
      </c>
      <c r="M14" s="101">
        <f>(Calculations!$D14*OnFieldOrb + (1-Calculations!$D14*OffFieldOrb)) * OrbsPerRun / (150/Calculations!$G14)</f>
        <v>1.7079999999999997</v>
      </c>
      <c r="N14" s="101">
        <f>(Calculations!$D14*OnFieldOrb + (1-Calculations!$D14*OffFieldOrb)) * OrbsPerRun / (300/Calculations!$G14)</f>
        <v>0.85399999999999987</v>
      </c>
      <c r="O14" s="101">
        <f>LowEPS*Calculations!$G14</f>
        <v>5.5350000000000001</v>
      </c>
      <c r="P14" s="101">
        <f>MedEPS*Calculations!$G14</f>
        <v>11.474999999999998</v>
      </c>
      <c r="Q14" s="101">
        <f>HighEPS*Calculations!$G14</f>
        <v>21.84</v>
      </c>
      <c r="R14" s="101">
        <f>VHighEPS*Calculations!$G14</f>
        <v>36.378</v>
      </c>
      <c r="S14" s="15">
        <f>MAX(1, (Calculations!$H14-Calculations!$K14) / (Calculations!$J14 + Calculations!$L14 + Calculations!$O14))</f>
        <v>2.6336966859316702</v>
      </c>
      <c r="T14" s="15">
        <f>MAX(1, (Calculations!$H14-Calculations!$K14) / (Calculations!$J14 + Calculations!$L14 + Calculations!$P14))</f>
        <v>2.0890152614170487</v>
      </c>
      <c r="U14" s="15">
        <f>MAX(1, (Calculations!$H14-Calculations!$K14) / (Calculations!$J14 + Calculations!$L14 + Calculations!$Q14))</f>
        <v>1.5350503155381205</v>
      </c>
      <c r="V14" s="15">
        <f>MAX(1, (Calculations!$H14-Calculations!$K14) / (Calculations!$J14 + Calculations!$L14 + Calculations!$R14))</f>
        <v>1.1188880738963412</v>
      </c>
      <c r="W14" s="15">
        <f>MAX(1, (Calculations!$H14-Calculations!$K14) / (Calculations!$J14 + Calculations!$M14 + Calculations!$O14))</f>
        <v>2.7722589289839674</v>
      </c>
      <c r="X14" s="15">
        <f>MAX(1, (Calculations!$H14-Calculations!$K14) / (Calculations!$J14 + Calculations!$M14 + Calculations!$P14))</f>
        <v>2.1752528731465035</v>
      </c>
      <c r="Y14" s="15">
        <f>MAX(1, (Calculations!$H14-Calculations!$K14) / (Calculations!$J14 + Calculations!$M14 + Calculations!$Q14))</f>
        <v>1.5811109939917785</v>
      </c>
      <c r="Z14" s="15">
        <f>MAX(1, (Calculations!$H14-Calculations!$K14) / (Calculations!$J14 + Calculations!$N14 + Calculations!$O14))</f>
        <v>2.8861417095579394</v>
      </c>
      <c r="AA14" s="15">
        <f>MAX(1, (Calculations!$H14-Calculations!$K14) / (Calculations!$J14 + Calculations!$N14 + Calculations!$P14))</f>
        <v>2.2447528901193463</v>
      </c>
      <c r="AB14" s="15">
        <f>MAX(1, (Calculations!$H14-Calculations!$K14) / (Calculations!$J14 + Calculations!$N14 + Calculations!$Q14))</f>
        <v>1.617512266134685</v>
      </c>
      <c r="AC14" s="15"/>
      <c r="AD14" s="15"/>
    </row>
    <row r="15" spans="1:30" ht="14.25" customHeight="1" x14ac:dyDescent="0.25">
      <c r="A15" s="11" t="s">
        <v>276</v>
      </c>
      <c r="B15" s="11" t="s">
        <v>767</v>
      </c>
      <c r="C15" s="11" t="s">
        <v>46</v>
      </c>
      <c r="D15" s="15">
        <v>0.1</v>
      </c>
      <c r="E15" s="11">
        <v>1</v>
      </c>
      <c r="F15" s="11"/>
      <c r="G15" s="128">
        <f t="array" ref="G15">INDEX(Data!$X$2:$X$106,MATCH(Calculations!$A15,Data!$A$2:$A$106,0))</f>
        <v>20</v>
      </c>
      <c r="H15" s="11">
        <f t="array" ref="H15">INDEX(Data!$Y$2:$Y$106,MATCH(Calculations!$A15,Data!$A$2:$A$106,0))</f>
        <v>80</v>
      </c>
      <c r="I15" s="101">
        <f t="array" ref="I15">INDEX(Data!$F$2:$F$106,MATCH(Calculations!$A15,Data!$A$2:$A$106,0)) * Calculations!$E15 +
 INDEX(Data!$G$2:$G$106,MATCH(Calculations!$A15,Data!$A$2:$A$106,0)) * Calculations!$F15 +
INDEX(Data!$O$2:$O$106,MATCH(Calculations!$A15,Data!$A$2:$A$106,0)) * (0.6 +0.4*Calculations!$D15) * MIN(INDEX(Data!$R$2:$R$106,MATCH(Calculations!$A15,Data!$A$2:$A$106,0)), Calculations!$G15)</f>
        <v>2.67</v>
      </c>
      <c r="J15" s="101">
        <f>Calculations!$I15*OnFieldRight</f>
        <v>8.01</v>
      </c>
      <c r="K15" s="101">
        <v>16</v>
      </c>
      <c r="L15" s="101">
        <f>(Calculations!$D15*OnFieldOrb + (1-Calculations!$D15*OffFieldOrb)) * OrbsPerRun / (90/Calculations!$G15)</f>
        <v>1.9288888888888893</v>
      </c>
      <c r="M15" s="101">
        <f>(Calculations!$D15*OnFieldOrb + (1-Calculations!$D15*OffFieldOrb)) * OrbsPerRun / (150/Calculations!$G15)</f>
        <v>1.1573333333333335</v>
      </c>
      <c r="N15" s="101">
        <f>(Calculations!$D15*OnFieldOrb + (1-Calculations!$D15*OffFieldOrb)) * OrbsPerRun / (300/Calculations!$G15)</f>
        <v>0.57866666666666677</v>
      </c>
      <c r="O15" s="101">
        <f>LowEPS*Calculations!$G15</f>
        <v>7.38</v>
      </c>
      <c r="P15" s="101">
        <f>MedEPS*Calculations!$G15</f>
        <v>15.299999999999997</v>
      </c>
      <c r="Q15" s="101">
        <f>HighEPS*Calculations!$G15</f>
        <v>29.119999999999997</v>
      </c>
      <c r="R15" s="101">
        <f>VHighEPS*Calculations!$G15</f>
        <v>48.503999999999998</v>
      </c>
      <c r="S15" s="15">
        <f>MAX(1, (Calculations!$H15-Calculations!$K15) / (Calculations!$J15 + Calculations!$L15 + Calculations!$O15))</f>
        <v>3.6953871816257138</v>
      </c>
      <c r="T15" s="15">
        <f>MAX(1, (Calculations!$H15-Calculations!$K15) / (Calculations!$J15 + Calculations!$L15 + Calculations!$P15))</f>
        <v>2.5357693154303327</v>
      </c>
      <c r="U15" s="15">
        <f>MAX(1, (Calculations!$H15-Calculations!$K15) / (Calculations!$J15 + Calculations!$L15 + Calculations!$Q15))</f>
        <v>1.6385514749807983</v>
      </c>
      <c r="V15" s="15">
        <f>MAX(1, (Calculations!$H15-Calculations!$K15) / (Calculations!$J15 + Calculations!$L15 + Calculations!$R15))</f>
        <v>1.0950861810010153</v>
      </c>
      <c r="W15" s="15">
        <f>MAX(1, (Calculations!$H15-Calculations!$K15) / (Calculations!$J15 + Calculations!$M15 + Calculations!$O15))</f>
        <v>3.8676926795858342</v>
      </c>
      <c r="X15" s="15">
        <f>MAX(1, (Calculations!$H15-Calculations!$K15) / (Calculations!$J15 + Calculations!$M15 + Calculations!$P15))</f>
        <v>2.6157325413476475</v>
      </c>
      <c r="Y15" s="15">
        <f>MAX(1, (Calculations!$H15-Calculations!$K15) / (Calculations!$J15 + Calculations!$M15 + Calculations!$Q15))</f>
        <v>1.6715711027145621</v>
      </c>
      <c r="Z15" s="15">
        <f>MAX(1, (Calculations!$H15-Calculations!$K15) / (Calculations!$J15 + Calculations!$N15 + Calculations!$O15))</f>
        <v>4.007848703711435</v>
      </c>
      <c r="AA15" s="15">
        <f>MAX(1, (Calculations!$H15-Calculations!$K15) / (Calculations!$J15 + Calculations!$N15 + Calculations!$P15))</f>
        <v>2.6790946892529233</v>
      </c>
      <c r="AB15" s="15">
        <f>MAX(1, (Calculations!$H15-Calculations!$K15) / (Calculations!$J15 + Calculations!$N15 + Calculations!$Q15))</f>
        <v>1.6972225659883671</v>
      </c>
      <c r="AC15" s="15"/>
      <c r="AD15" s="15"/>
    </row>
    <row r="16" spans="1:30" ht="14.25" customHeight="1" x14ac:dyDescent="0.25">
      <c r="A16" s="11" t="s">
        <v>276</v>
      </c>
      <c r="B16" s="11" t="s">
        <v>768</v>
      </c>
      <c r="C16" s="11" t="s">
        <v>46</v>
      </c>
      <c r="D16" s="15">
        <v>0.15</v>
      </c>
      <c r="E16" s="11">
        <v>2</v>
      </c>
      <c r="F16" s="11"/>
      <c r="G16" s="128">
        <f t="array" ref="G16">INDEX(Data!$X$2:$X$106,MATCH(Calculations!$A16,Data!$A$2:$A$106,0))</f>
        <v>20</v>
      </c>
      <c r="H16" s="11">
        <f t="array" ref="H16">INDEX(Data!$Y$2:$Y$106,MATCH(Calculations!$A16,Data!$A$2:$A$106,0))</f>
        <v>80</v>
      </c>
      <c r="I16" s="101">
        <f t="array" ref="I16">INDEX(Data!$F$2:$F$106,MATCH(Calculations!$A16,Data!$A$2:$A$106,0)) * Calculations!$E16 +
 INDEX(Data!$G$2:$G$106,MATCH(Calculations!$A16,Data!$A$2:$A$106,0)) * Calculations!$F16 +
INDEX(Data!$O$2:$O$106,MATCH(Calculations!$A16,Data!$A$2:$A$106,0)) * (0.6 +0.4*Calculations!$D16) * MIN(INDEX(Data!$R$2:$R$106,MATCH(Calculations!$A16,Data!$A$2:$A$106,0)), Calculations!$G16)</f>
        <v>5.34</v>
      </c>
      <c r="J16" s="101">
        <f>Calculations!$I16*OnFieldRight</f>
        <v>16.02</v>
      </c>
      <c r="K16" s="101">
        <v>16</v>
      </c>
      <c r="L16" s="101">
        <f>(Calculations!$D16*OnFieldOrb + (1-Calculations!$D16*OffFieldOrb)) * OrbsPerRun / (90/Calculations!$G16)</f>
        <v>2.1155555555555554</v>
      </c>
      <c r="M16" s="101">
        <f>(Calculations!$D16*OnFieldOrb + (1-Calculations!$D16*OffFieldOrb)) * OrbsPerRun / (150/Calculations!$G16)</f>
        <v>1.2693333333333332</v>
      </c>
      <c r="N16" s="101">
        <f>(Calculations!$D16*OnFieldOrb + (1-Calculations!$D16*OffFieldOrb)) * OrbsPerRun / (300/Calculations!$G16)</f>
        <v>0.6346666666666666</v>
      </c>
      <c r="O16" s="101">
        <f>LowEPS*Calculations!$G16</f>
        <v>7.38</v>
      </c>
      <c r="P16" s="101">
        <f>MedEPS*Calculations!$G16</f>
        <v>15.299999999999997</v>
      </c>
      <c r="Q16" s="101">
        <f>HighEPS*Calculations!$G16</f>
        <v>29.119999999999997</v>
      </c>
      <c r="R16" s="101">
        <f>VHighEPS*Calculations!$G16</f>
        <v>48.503999999999998</v>
      </c>
      <c r="S16" s="15">
        <f>MAX(1, (Calculations!$H16-Calculations!$K16) / (Calculations!$J16 + Calculations!$L16 + Calculations!$O16))</f>
        <v>2.5082738198920049</v>
      </c>
      <c r="T16" s="15">
        <f>MAX(1, (Calculations!$H16-Calculations!$K16) / (Calculations!$J16 + Calculations!$L16 + Calculations!$P16))</f>
        <v>1.914130001329257</v>
      </c>
      <c r="U16" s="15">
        <f>MAX(1, (Calculations!$H16-Calculations!$K16) / (Calculations!$J16 + Calculations!$L16 + Calculations!$Q16))</f>
        <v>1.3543381142722786</v>
      </c>
      <c r="V16" s="15">
        <f>MAX(1, (Calculations!$H16-Calculations!$K16) / (Calculations!$J16 + Calculations!$L16 + Calculations!$R16))</f>
        <v>1</v>
      </c>
      <c r="W16" s="15">
        <f>MAX(1, (Calculations!$H16-Calculations!$K16) / (Calculations!$J16 + Calculations!$M16 + Calculations!$O16))</f>
        <v>2.594314128202357</v>
      </c>
      <c r="X16" s="15">
        <f>MAX(1, (Calculations!$H16-Calculations!$K16) / (Calculations!$J16 + Calculations!$M16 + Calculations!$P16))</f>
        <v>1.963832746911055</v>
      </c>
      <c r="Y16" s="15">
        <f>MAX(1, (Calculations!$H16-Calculations!$K16) / (Calculations!$J16 + Calculations!$M16 + Calculations!$Q16))</f>
        <v>1.3790329531416097</v>
      </c>
      <c r="Z16" s="15">
        <f>MAX(1, (Calculations!$H16-Calculations!$K16) / (Calculations!$J16 + Calculations!$N16 + Calculations!$O16))</f>
        <v>2.6628203705758349</v>
      </c>
      <c r="AA16" s="15">
        <f>MAX(1, (Calculations!$H16-Calculations!$K16) / (Calculations!$J16 + Calculations!$N16 + Calculations!$P16))</f>
        <v>2.0028373529166319</v>
      </c>
      <c r="AB16" s="15">
        <f>MAX(1, (Calculations!$H16-Calculations!$K16) / (Calculations!$J16 + Calculations!$N16 + Calculations!$Q16))</f>
        <v>1.3981532725525037</v>
      </c>
      <c r="AC16" s="15"/>
      <c r="AD16" s="15"/>
    </row>
    <row r="17" spans="1:30" ht="14.25" customHeight="1" x14ac:dyDescent="0.25">
      <c r="A17" s="11" t="s">
        <v>284</v>
      </c>
      <c r="B17" s="11" t="s">
        <v>767</v>
      </c>
      <c r="C17" s="11" t="s">
        <v>48</v>
      </c>
      <c r="D17" s="15">
        <v>0.1</v>
      </c>
      <c r="E17" s="11">
        <v>1</v>
      </c>
      <c r="F17" s="11"/>
      <c r="G17" s="11">
        <f t="array" ref="G17">INDEX(Data!$X$2:$X$106,MATCH(Calculations!$A17,Data!$A$2:$A$106,0))</f>
        <v>15</v>
      </c>
      <c r="H17" s="11">
        <f t="array" ref="H17">INDEX(Data!$Y$2:$Y$106,MATCH(Calculations!$A17,Data!$A$2:$A$106,0))</f>
        <v>60</v>
      </c>
      <c r="I17" s="101">
        <f t="array" ref="I17">INDEX(Data!$F$2:$F$106,MATCH(Calculations!$A17,Data!$A$2:$A$106,0)) * Calculations!$E17 +
 INDEX(Data!$G$2:$G$106,MATCH(Calculations!$A17,Data!$A$2:$A$106,0)) * Calculations!$F17 +
INDEX(Data!$O$2:$O$106,MATCH(Calculations!$A17,Data!$A$2:$A$106,0)) * (0.6 +0.4*Calculations!$D17) * MIN(INDEX(Data!$R$2:$R$106,MATCH(Calculations!$A17,Data!$A$2:$A$106,0)), Calculations!$G17)</f>
        <v>2.67</v>
      </c>
      <c r="J17" s="101">
        <f>Calculations!$I17*OnFieldRight</f>
        <v>8.01</v>
      </c>
      <c r="K17" s="101"/>
      <c r="L17" s="101">
        <f>(Calculations!$D17*OnFieldOrb + (1-Calculations!$D17*OffFieldOrb)) * OrbsPerRun / (90/Calculations!$G17)</f>
        <v>1.446666666666667</v>
      </c>
      <c r="M17" s="101">
        <f>(Calculations!$D17*OnFieldOrb + (1-Calculations!$D17*OffFieldOrb)) * OrbsPerRun / (150/Calculations!$G17)</f>
        <v>0.8680000000000001</v>
      </c>
      <c r="N17" s="101">
        <f>(Calculations!$D17*OnFieldOrb + (1-Calculations!$D17*OffFieldOrb)) * OrbsPerRun / (300/Calculations!$G17)</f>
        <v>0.43400000000000005</v>
      </c>
      <c r="O17" s="101">
        <f>LowEPS*Calculations!$G17</f>
        <v>5.5350000000000001</v>
      </c>
      <c r="P17" s="101">
        <f>MedEPS*Calculations!$G17</f>
        <v>11.474999999999998</v>
      </c>
      <c r="Q17" s="101">
        <f>HighEPS*Calculations!$G17</f>
        <v>21.84</v>
      </c>
      <c r="R17" s="101">
        <f>VHighEPS*Calculations!$G17</f>
        <v>36.378</v>
      </c>
      <c r="S17" s="15">
        <f>MAX(1, (Calculations!$H17-Calculations!$K17) / (Calculations!$J17 + Calculations!$L17 + Calculations!$O17))</f>
        <v>4.0022234574763758</v>
      </c>
      <c r="T17" s="15">
        <f>MAX(1, (Calculations!$H17-Calculations!$K17) / (Calculations!$J17 + Calculations!$L17 + Calculations!$P17))</f>
        <v>2.8664702603710488</v>
      </c>
      <c r="U17" s="15">
        <f>MAX(1, (Calculations!$H17-Calculations!$K17) / (Calculations!$J17 + Calculations!$L17 + Calculations!$Q17))</f>
        <v>1.9171370753008841</v>
      </c>
      <c r="V17" s="15">
        <f>MAX(1, (Calculations!$H17-Calculations!$K17) / (Calculations!$J17 + Calculations!$L17 + Calculations!$R17))</f>
        <v>1.3090528275541076</v>
      </c>
      <c r="W17" s="15">
        <f>MAX(1, (Calculations!$H17-Calculations!$K17) / (Calculations!$J17 + Calculations!$M17 + Calculations!$O17))</f>
        <v>4.1629084853951293</v>
      </c>
      <c r="X17" s="15">
        <f>MAX(1, (Calculations!$H17-Calculations!$K17) / (Calculations!$J17 + Calculations!$M17 + Calculations!$P17))</f>
        <v>2.9479683584729526</v>
      </c>
      <c r="Y17" s="15">
        <f>MAX(1, (Calculations!$H17-Calculations!$K17) / (Calculations!$J17 + Calculations!$M17 + Calculations!$Q17))</f>
        <v>1.9532521648544827</v>
      </c>
      <c r="Z17" s="15">
        <f>MAX(1, (Calculations!$H17-Calculations!$K17) / (Calculations!$J17 + Calculations!$N17 + Calculations!$O17))</f>
        <v>4.2921525144860153</v>
      </c>
      <c r="AA17" s="15">
        <f>MAX(1, (Calculations!$H17-Calculations!$K17) / (Calculations!$J17 + Calculations!$N17 + Calculations!$P17))</f>
        <v>3.0121994076007836</v>
      </c>
      <c r="AB17" s="15">
        <f>MAX(1, (Calculations!$H17-Calculations!$K17) / (Calculations!$J17 + Calculations!$N17 + Calculations!$Q17))</f>
        <v>1.9812442213710211</v>
      </c>
      <c r="AC17" s="15"/>
      <c r="AD17" s="15"/>
    </row>
    <row r="18" spans="1:30" ht="14.25" customHeight="1" x14ac:dyDescent="0.25">
      <c r="A18" s="11" t="s">
        <v>284</v>
      </c>
      <c r="B18" s="11" t="s">
        <v>768</v>
      </c>
      <c r="C18" s="11" t="s">
        <v>48</v>
      </c>
      <c r="D18" s="15">
        <v>0.15</v>
      </c>
      <c r="E18" s="11">
        <v>2</v>
      </c>
      <c r="F18" s="11"/>
      <c r="G18" s="11">
        <f t="array" ref="G18">INDEX(Data!$X$2:$X$106,MATCH(Calculations!$A18,Data!$A$2:$A$106,0))</f>
        <v>15</v>
      </c>
      <c r="H18" s="11">
        <f t="array" ref="H18">INDEX(Data!$Y$2:$Y$106,MATCH(Calculations!$A18,Data!$A$2:$A$106,0))</f>
        <v>60</v>
      </c>
      <c r="I18" s="101">
        <f t="array" ref="I18">INDEX(Data!$F$2:$F$106,MATCH(Calculations!$A18,Data!$A$2:$A$106,0)) * Calculations!$E18 +
 INDEX(Data!$G$2:$G$106,MATCH(Calculations!$A18,Data!$A$2:$A$106,0)) * Calculations!$F18 +
INDEX(Data!$O$2:$O$106,MATCH(Calculations!$A18,Data!$A$2:$A$106,0)) * (0.6 +0.4*Calculations!$D18) * MIN(INDEX(Data!$R$2:$R$106,MATCH(Calculations!$A18,Data!$A$2:$A$106,0)), Calculations!$G18)</f>
        <v>5.34</v>
      </c>
      <c r="J18" s="101">
        <f>Calculations!$I18*OnFieldRight</f>
        <v>16.02</v>
      </c>
      <c r="K18" s="101"/>
      <c r="L18" s="101">
        <f>(Calculations!$D18*OnFieldOrb + (1-Calculations!$D18*OffFieldOrb)) * OrbsPerRun / (90/Calculations!$G18)</f>
        <v>1.5866666666666667</v>
      </c>
      <c r="M18" s="101">
        <f>(Calculations!$D18*OnFieldOrb + (1-Calculations!$D18*OffFieldOrb)) * OrbsPerRun / (150/Calculations!$G18)</f>
        <v>0.95199999999999996</v>
      </c>
      <c r="N18" s="101">
        <f>(Calculations!$D18*OnFieldOrb + (1-Calculations!$D18*OffFieldOrb)) * OrbsPerRun / (300/Calculations!$G18)</f>
        <v>0.47599999999999998</v>
      </c>
      <c r="O18" s="101">
        <f>LowEPS*Calculations!$G18</f>
        <v>5.5350000000000001</v>
      </c>
      <c r="P18" s="101">
        <f>MedEPS*Calculations!$G18</f>
        <v>11.474999999999998</v>
      </c>
      <c r="Q18" s="101">
        <f>HighEPS*Calculations!$G18</f>
        <v>21.84</v>
      </c>
      <c r="R18" s="101">
        <f>VHighEPS*Calculations!$G18</f>
        <v>36.378</v>
      </c>
      <c r="S18" s="15">
        <f>MAX(1, (Calculations!$H18-Calculations!$K18) / (Calculations!$J18 + Calculations!$L18 + Calculations!$O18))</f>
        <v>2.5927259632697157</v>
      </c>
      <c r="T18" s="15">
        <f>MAX(1, (Calculations!$H18-Calculations!$K18) / (Calculations!$J18 + Calculations!$L18 + Calculations!$P18))</f>
        <v>2.0631554816894955</v>
      </c>
      <c r="U18" s="15">
        <f>MAX(1, (Calculations!$H18-Calculations!$K18) / (Calculations!$J18 + Calculations!$L18 + Calculations!$Q18))</f>
        <v>1.5210410681088389</v>
      </c>
      <c r="V18" s="15">
        <f>MAX(1, (Calculations!$H18-Calculations!$K18) / (Calculations!$J18 + Calculations!$L18 + Calculations!$R18))</f>
        <v>1.111426701409042</v>
      </c>
      <c r="W18" s="15">
        <f>MAX(1, (Calculations!$H18-Calculations!$K18) / (Calculations!$J18 + Calculations!$M18 + Calculations!$O18))</f>
        <v>2.6658372950637577</v>
      </c>
      <c r="X18" s="15">
        <f>MAX(1, (Calculations!$H18-Calculations!$K18) / (Calculations!$J18 + Calculations!$M18 + Calculations!$P18))</f>
        <v>2.1091855028649769</v>
      </c>
      <c r="Y18" s="15">
        <f>MAX(1, (Calculations!$H18-Calculations!$K18) / (Calculations!$J18 + Calculations!$M18 + Calculations!$Q18))</f>
        <v>1.5459136349582605</v>
      </c>
      <c r="Z18" s="15">
        <f>MAX(1, (Calculations!$H18-Calculations!$K18) / (Calculations!$J18 + Calculations!$N18 + Calculations!$O18))</f>
        <v>2.7234351595479098</v>
      </c>
      <c r="AA18" s="15">
        <f>MAX(1, (Calculations!$H18-Calculations!$K18) / (Calculations!$J18 + Calculations!$N18 + Calculations!$P18))</f>
        <v>2.1450788316470635</v>
      </c>
      <c r="AB18" s="15">
        <f>MAX(1, (Calculations!$H18-Calculations!$K18) / (Calculations!$J18 + Calculations!$N18 + Calculations!$Q18))</f>
        <v>1.5651085141903172</v>
      </c>
      <c r="AC18" s="15"/>
      <c r="AD18" s="15"/>
    </row>
    <row r="19" spans="1:30" ht="14.25" customHeight="1" x14ac:dyDescent="0.25">
      <c r="A19" s="11" t="s">
        <v>291</v>
      </c>
      <c r="B19" s="11"/>
      <c r="C19" s="11" t="s">
        <v>52</v>
      </c>
      <c r="D19" s="15">
        <v>0.6</v>
      </c>
      <c r="E19" s="11">
        <v>2</v>
      </c>
      <c r="F19" s="11"/>
      <c r="G19" s="11">
        <f t="array" ref="G19">INDEX(Data!$X$2:$X$106,MATCH(Calculations!$A19,Data!$A$2:$A$106,0))</f>
        <v>12</v>
      </c>
      <c r="H19" s="11">
        <f t="array" ref="H19">INDEX(Data!$Y$2:$Y$106,MATCH(Calculations!$A19,Data!$A$2:$A$106,0))</f>
        <v>40</v>
      </c>
      <c r="I19" s="101">
        <f t="array" ref="I19">INDEX(Data!$F$2:$F$106,MATCH(Calculations!$A19,Data!$A$2:$A$106,0)) * Calculations!$E19 +
 INDEX(Data!$G$2:$G$106,MATCH(Calculations!$A19,Data!$A$2:$A$106,0)) * Calculations!$F19 +
INDEX(Data!$O$2:$O$106,MATCH(Calculations!$A19,Data!$A$2:$A$106,0)) * (0.6 +0.4*Calculations!$D19) * MIN(INDEX(Data!$R$2:$R$106,MATCH(Calculations!$A19,Data!$A$2:$A$106,0)), Calculations!$G19)</f>
        <v>5</v>
      </c>
      <c r="J19" s="101">
        <f>Calculations!$I19*OnFieldRight</f>
        <v>15</v>
      </c>
      <c r="K19" s="101"/>
      <c r="L19" s="101">
        <f>(Calculations!$D19*OnFieldOrb + (1-Calculations!$D19*OffFieldOrb)) * OrbsPerRun / (90/Calculations!$G19)</f>
        <v>2.277333333333333</v>
      </c>
      <c r="M19" s="101">
        <f>(Calculations!$D19*OnFieldOrb + (1-Calculations!$D19*OffFieldOrb)) * OrbsPerRun / (150/Calculations!$G19)</f>
        <v>1.3663999999999998</v>
      </c>
      <c r="N19" s="101">
        <f>(Calculations!$D19*OnFieldOrb + (1-Calculations!$D19*OffFieldOrb)) * OrbsPerRun / (300/Calculations!$G19)</f>
        <v>0.68319999999999992</v>
      </c>
      <c r="O19" s="101">
        <f>LowEPS*Calculations!$G19</f>
        <v>4.4279999999999999</v>
      </c>
      <c r="P19" s="101">
        <f>MedEPS*Calculations!$G19</f>
        <v>9.18</v>
      </c>
      <c r="Q19" s="101">
        <f>HighEPS*Calculations!$G19</f>
        <v>17.472000000000001</v>
      </c>
      <c r="R19" s="101">
        <f>VHighEPS*Calculations!$G19</f>
        <v>29.102399999999996</v>
      </c>
      <c r="S19" s="15">
        <f>MAX(1, (Calculations!$H19-Calculations!$K19) / (Calculations!$J19 + Calculations!$L19 + Calculations!$O19))</f>
        <v>1.8428650408501752</v>
      </c>
      <c r="T19" s="15">
        <f>MAX(1, (Calculations!$H19-Calculations!$K19) / (Calculations!$J19 + Calculations!$L19 + Calculations!$P19))</f>
        <v>1.5118681650960037</v>
      </c>
      <c r="U19" s="15">
        <f>MAX(1, (Calculations!$H19-Calculations!$K19) / (Calculations!$J19 + Calculations!$L19 + Calculations!$Q19))</f>
        <v>1.1511012201672934</v>
      </c>
      <c r="V19" s="15">
        <f>MAX(1, (Calculations!$H19-Calculations!$K19) / (Calculations!$J19 + Calculations!$L19 + Calculations!$R19))</f>
        <v>1</v>
      </c>
      <c r="W19" s="15">
        <f>MAX(1, (Calculations!$H19-Calculations!$K19) / (Calculations!$J19 + Calculations!$M19 + Calculations!$O19))</f>
        <v>1.9235948139883816</v>
      </c>
      <c r="X19" s="15">
        <f>MAX(1, (Calculations!$H19-Calculations!$K19) / (Calculations!$J19 + Calculations!$M19 + Calculations!$P19))</f>
        <v>1.5657783484169983</v>
      </c>
      <c r="Y19" s="15">
        <f>MAX(1, (Calculations!$H19-Calculations!$K19) / (Calculations!$J19 + Calculations!$M19 + Calculations!$Q19))</f>
        <v>1.1820889876589911</v>
      </c>
      <c r="Z19" s="15">
        <f>MAX(1, (Calculations!$H19-Calculations!$K19) / (Calculations!$J19 + Calculations!$N19 + Calculations!$O19))</f>
        <v>1.9889414853415013</v>
      </c>
      <c r="AA19" s="15">
        <f>MAX(1, (Calculations!$H19-Calculations!$K19) / (Calculations!$J19 + Calculations!$N19 + Calculations!$P19))</f>
        <v>1.608803372051868</v>
      </c>
      <c r="AB19" s="15">
        <f>MAX(1, (Calculations!$H19-Calculations!$K19) / (Calculations!$J19 + Calculations!$N19 + Calculations!$Q19))</f>
        <v>1.2064472541260496</v>
      </c>
      <c r="AC19" s="15"/>
      <c r="AD19" s="15"/>
    </row>
    <row r="20" spans="1:30" ht="14.25" customHeight="1" x14ac:dyDescent="0.25">
      <c r="A20" s="11" t="s">
        <v>300</v>
      </c>
      <c r="B20" s="11"/>
      <c r="C20" s="11" t="s">
        <v>63</v>
      </c>
      <c r="D20" s="15">
        <v>0.7</v>
      </c>
      <c r="E20" s="11">
        <v>1</v>
      </c>
      <c r="F20" s="11"/>
      <c r="G20" s="11">
        <f t="array" ref="G20">INDEX(Data!$X$2:$X$106,MATCH(Calculations!$A20,Data!$A$2:$A$106,0))</f>
        <v>15</v>
      </c>
      <c r="H20" s="11">
        <f t="array" ref="H20">INDEX(Data!$Y$2:$Y$106,MATCH(Calculations!$A20,Data!$A$2:$A$106,0))</f>
        <v>60</v>
      </c>
      <c r="I20" s="101">
        <f t="array" ref="I20">INDEX(Data!$F$2:$F$106,MATCH(Calculations!$A20,Data!$A$2:$A$106,0)) * Calculations!$E20 +
 INDEX(Data!$G$2:$G$106,MATCH(Calculations!$A20,Data!$A$2:$A$106,0)) * Calculations!$F20 +
INDEX(Data!$O$2:$O$106,MATCH(Calculations!$A20,Data!$A$2:$A$106,0)) * (0.6 +0.4*Calculations!$D20) * MIN(INDEX(Data!$R$2:$R$106,MATCH(Calculations!$A20,Data!$A$2:$A$106,0)), Calculations!$G20)</f>
        <v>4</v>
      </c>
      <c r="J20" s="101">
        <f>Calculations!$I20*OnFieldRight</f>
        <v>12</v>
      </c>
      <c r="K20" s="101"/>
      <c r="L20" s="101">
        <f>(Calculations!$D20*OnFieldOrb + (1-Calculations!$D20*OffFieldOrb)) * OrbsPerRun / (90/Calculations!$G20)</f>
        <v>3.1266666666666665</v>
      </c>
      <c r="M20" s="101">
        <f>(Calculations!$D20*OnFieldOrb + (1-Calculations!$D20*OffFieldOrb)) * OrbsPerRun / (150/Calculations!$G20)</f>
        <v>1.8759999999999999</v>
      </c>
      <c r="N20" s="101">
        <f>(Calculations!$D20*OnFieldOrb + (1-Calculations!$D20*OffFieldOrb)) * OrbsPerRun / (300/Calculations!$G20)</f>
        <v>0.93799999999999994</v>
      </c>
      <c r="O20" s="101">
        <f>LowEPS*Calculations!$G20</f>
        <v>5.5350000000000001</v>
      </c>
      <c r="P20" s="101">
        <f>MedEPS*Calculations!$G20</f>
        <v>11.474999999999998</v>
      </c>
      <c r="Q20" s="101">
        <f>HighEPS*Calculations!$G20</f>
        <v>21.84</v>
      </c>
      <c r="R20" s="101">
        <f>VHighEPS*Calculations!$G20</f>
        <v>36.378</v>
      </c>
      <c r="S20" s="15">
        <f>MAX(1, (Calculations!$H20-Calculations!$K20) / (Calculations!$J20 + Calculations!$L20 + Calculations!$O20))</f>
        <v>2.903928369766879</v>
      </c>
      <c r="T20" s="15">
        <f>MAX(1, (Calculations!$H20-Calculations!$K20) / (Calculations!$J20 + Calculations!$L20 + Calculations!$P20))</f>
        <v>2.2554977758285824</v>
      </c>
      <c r="U20" s="15">
        <f>MAX(1, (Calculations!$H20-Calculations!$K20) / (Calculations!$J20 + Calculations!$L20 + Calculations!$Q20))</f>
        <v>1.6230838593327321</v>
      </c>
      <c r="V20" s="15">
        <f>MAX(1, (Calculations!$H20-Calculations!$K20) / (Calculations!$J20 + Calculations!$L20 + Calculations!$R20))</f>
        <v>1.1649429825129114</v>
      </c>
      <c r="W20" s="15">
        <f>MAX(1, (Calculations!$H20-Calculations!$K20) / (Calculations!$J20 + Calculations!$M20 + Calculations!$O20))</f>
        <v>3.0910308587914068</v>
      </c>
      <c r="X20" s="15">
        <f>MAX(1, (Calculations!$H20-Calculations!$K20) / (Calculations!$J20 + Calculations!$M20 + Calculations!$P20))</f>
        <v>2.3667705415959923</v>
      </c>
      <c r="Y20" s="15">
        <f>MAX(1, (Calculations!$H20-Calculations!$K20) / (Calculations!$J20 + Calculations!$M20 + Calculations!$Q20))</f>
        <v>1.6799193638705341</v>
      </c>
      <c r="Z20" s="15">
        <f>MAX(1, (Calculations!$H20-Calculations!$K20) / (Calculations!$J20 + Calculations!$N20 + Calculations!$O20))</f>
        <v>3.2479835435500464</v>
      </c>
      <c r="AA20" s="15">
        <f>MAX(1, (Calculations!$H20-Calculations!$K20) / (Calculations!$J20 + Calculations!$N20 + Calculations!$P20))</f>
        <v>2.4577069594068739</v>
      </c>
      <c r="AB20" s="15">
        <f>MAX(1, (Calculations!$H20-Calculations!$K20) / (Calculations!$J20 + Calculations!$N20 + Calculations!$Q20))</f>
        <v>1.7252285927885445</v>
      </c>
      <c r="AC20" s="15"/>
      <c r="AD20" s="15"/>
    </row>
    <row r="21" spans="1:30" ht="14.25" customHeight="1" x14ac:dyDescent="0.25">
      <c r="A21" s="11" t="s">
        <v>314</v>
      </c>
      <c r="B21" s="11"/>
      <c r="C21" s="11" t="s">
        <v>52</v>
      </c>
      <c r="D21" s="15">
        <v>0.15</v>
      </c>
      <c r="E21" s="11"/>
      <c r="F21" s="11">
        <v>1</v>
      </c>
      <c r="G21" s="11">
        <f t="array" ref="G21">INDEX(Data!$X$2:$X$106,MATCH(Calculations!$A21,Data!$A$2:$A$106,0))</f>
        <v>20</v>
      </c>
      <c r="H21" s="11">
        <f t="array" ref="H21">INDEX(Data!$Y$2:$Y$106,MATCH(Calculations!$A21,Data!$A$2:$A$106,0))</f>
        <v>80</v>
      </c>
      <c r="I21" s="101">
        <f t="array" ref="I21">INDEX(Data!$F$2:$F$106,MATCH(Calculations!$A21,Data!$A$2:$A$106,0)) * Calculations!$E21 +
 INDEX(Data!$G$2:$G$106,MATCH(Calculations!$A21,Data!$A$2:$A$106,0)) * Calculations!$F21 +
INDEX(Data!$O$2:$O$106,MATCH(Calculations!$A21,Data!$A$2:$A$106,0)) * (0.6 +0.4*Calculations!$D21) * MIN(INDEX(Data!$R$2:$R$106,MATCH(Calculations!$A21,Data!$A$2:$A$106,0)), Calculations!$G21)</f>
        <v>5</v>
      </c>
      <c r="J21" s="101">
        <f>Calculations!$I21*OnFieldRight</f>
        <v>15</v>
      </c>
      <c r="K21" s="101"/>
      <c r="L21" s="101">
        <f>(Calculations!$D21*OnFieldOrb + (1-Calculations!$D21*OffFieldOrb)) * OrbsPerRun / (90/Calculations!$G21)</f>
        <v>2.1155555555555554</v>
      </c>
      <c r="M21" s="101">
        <f>(Calculations!$D21*OnFieldOrb + (1-Calculations!$D21*OffFieldOrb)) * OrbsPerRun / (150/Calculations!$G21)</f>
        <v>1.2693333333333332</v>
      </c>
      <c r="N21" s="101">
        <f>(Calculations!$D21*OnFieldOrb + (1-Calculations!$D21*OffFieldOrb)) * OrbsPerRun / (300/Calculations!$G21)</f>
        <v>0.6346666666666666</v>
      </c>
      <c r="O21" s="101">
        <f>LowEPS*Calculations!$G21</f>
        <v>7.38</v>
      </c>
      <c r="P21" s="101">
        <f>MedEPS*Calculations!$G21</f>
        <v>15.299999999999997</v>
      </c>
      <c r="Q21" s="101">
        <f>HighEPS*Calculations!$G21</f>
        <v>29.119999999999997</v>
      </c>
      <c r="R21" s="101">
        <f>VHighEPS*Calculations!$G21</f>
        <v>48.503999999999998</v>
      </c>
      <c r="S21" s="15">
        <f>MAX(1, (Calculations!$H21-Calculations!$K21) / (Calculations!$J21 + Calculations!$L21 + Calculations!$O21))</f>
        <v>3.2658985757053434</v>
      </c>
      <c r="T21" s="15">
        <f>MAX(1, (Calculations!$H21-Calculations!$K21) / (Calculations!$J21 + Calculations!$L21 + Calculations!$P21))</f>
        <v>2.4679509151984642</v>
      </c>
      <c r="U21" s="15">
        <f>MAX(1, (Calculations!$H21-Calculations!$K21) / (Calculations!$J21 + Calculations!$L21 + Calculations!$Q21))</f>
        <v>1.73027011439008</v>
      </c>
      <c r="V21" s="15">
        <f>MAX(1, (Calculations!$H21-Calculations!$K21) / (Calculations!$J21 + Calculations!$L21 + Calculations!$R21))</f>
        <v>1.2191487632413103</v>
      </c>
      <c r="W21" s="15">
        <f>MAX(1, (Calculations!$H21-Calculations!$K21) / (Calculations!$J21 + Calculations!$M21 + Calculations!$O21))</f>
        <v>3.3827592039240009</v>
      </c>
      <c r="X21" s="15">
        <f>MAX(1, (Calculations!$H21-Calculations!$K21) / (Calculations!$J21 + Calculations!$M21 + Calculations!$P21))</f>
        <v>2.5341048274696965</v>
      </c>
      <c r="Y21" s="15">
        <f>MAX(1, (Calculations!$H21-Calculations!$K21) / (Calculations!$J21 + Calculations!$M21 + Calculations!$Q21))</f>
        <v>1.762528641090418</v>
      </c>
      <c r="Z21" s="15">
        <f>MAX(1, (Calculations!$H21-Calculations!$K21) / (Calculations!$J21 + Calculations!$N21 + Calculations!$O21))</f>
        <v>3.4760442616302649</v>
      </c>
      <c r="AA21" s="15">
        <f>MAX(1, (Calculations!$H21-Calculations!$K21) / (Calculations!$J21 + Calculations!$N21 + Calculations!$P21))</f>
        <v>2.5860954269212537</v>
      </c>
      <c r="AB21" s="15">
        <f>MAX(1, (Calculations!$H21-Calculations!$K21) / (Calculations!$J21 + Calculations!$N21 + Calculations!$Q21))</f>
        <v>1.7875230888398976</v>
      </c>
      <c r="AC21" s="15"/>
      <c r="AD21" s="15"/>
    </row>
    <row r="22" spans="1:30" ht="14.25" customHeight="1" x14ac:dyDescent="0.25">
      <c r="A22" s="11" t="s">
        <v>324</v>
      </c>
      <c r="B22" s="11"/>
      <c r="C22" s="11" t="s">
        <v>56</v>
      </c>
      <c r="D22" s="15">
        <v>0.1</v>
      </c>
      <c r="E22" s="11">
        <v>1</v>
      </c>
      <c r="F22" s="11"/>
      <c r="G22" s="11">
        <f t="array" ref="G22">INDEX(Data!$X$2:$X$106,MATCH(Calculations!$A22,Data!$A$2:$A$106,0))</f>
        <v>15</v>
      </c>
      <c r="H22" s="11">
        <f t="array" ref="H22">INDEX(Data!$Y$2:$Y$106,MATCH(Calculations!$A22,Data!$A$2:$A$106,0))</f>
        <v>60</v>
      </c>
      <c r="I22" s="101">
        <f t="array" ref="I22">INDEX(Data!$F$2:$F$106,MATCH(Calculations!$A22,Data!$A$2:$A$106,0)) * Calculations!$E22 +
 INDEX(Data!$G$2:$G$106,MATCH(Calculations!$A22,Data!$A$2:$A$106,0)) * Calculations!$F22 +
INDEX(Data!$O$2:$O$106,MATCH(Calculations!$A22,Data!$A$2:$A$106,0)) * (0.6 +0.4*Calculations!$D22) * MIN(INDEX(Data!$R$2:$R$106,MATCH(Calculations!$A22,Data!$A$2:$A$106,0)), Calculations!$G22)</f>
        <v>3.33</v>
      </c>
      <c r="J22" s="101">
        <f>Calculations!$I22*OnFieldRight</f>
        <v>9.99</v>
      </c>
      <c r="K22" s="101"/>
      <c r="L22" s="101">
        <f>(Calculations!$D22*OnFieldOrb + (1-Calculations!$D22*OffFieldOrb)) * OrbsPerRun / (90/Calculations!$G22)</f>
        <v>1.446666666666667</v>
      </c>
      <c r="M22" s="101">
        <f>(Calculations!$D22*OnFieldOrb + (1-Calculations!$D22*OffFieldOrb)) * OrbsPerRun / (150/Calculations!$G22)</f>
        <v>0.8680000000000001</v>
      </c>
      <c r="N22" s="101">
        <f>(Calculations!$D22*OnFieldOrb + (1-Calculations!$D22*OffFieldOrb)) * OrbsPerRun / (300/Calculations!$G22)</f>
        <v>0.43400000000000005</v>
      </c>
      <c r="O22" s="101">
        <f>LowEPS*Calculations!$G22</f>
        <v>5.5350000000000001</v>
      </c>
      <c r="P22" s="101">
        <f>MedEPS*Calculations!$G22</f>
        <v>11.474999999999998</v>
      </c>
      <c r="Q22" s="101">
        <f>HighEPS*Calculations!$G22</f>
        <v>21.84</v>
      </c>
      <c r="R22" s="101">
        <f>VHighEPS*Calculations!$G22</f>
        <v>36.378</v>
      </c>
      <c r="S22" s="15">
        <f>MAX(1, (Calculations!$H22-Calculations!$K22) / (Calculations!$J22 + Calculations!$L22 + Calculations!$O22))</f>
        <v>3.5353039379357751</v>
      </c>
      <c r="T22" s="15">
        <f>MAX(1, (Calculations!$H22-Calculations!$K22) / (Calculations!$J22 + Calculations!$L22 + Calculations!$P22))</f>
        <v>2.6187531825125485</v>
      </c>
      <c r="U22" s="15">
        <f>MAX(1, (Calculations!$H22-Calculations!$K22) / (Calculations!$J22 + Calculations!$L22 + Calculations!$Q22))</f>
        <v>1.8030652108584591</v>
      </c>
      <c r="V22" s="15">
        <f>MAX(1, (Calculations!$H22-Calculations!$K22) / (Calculations!$J22 + Calculations!$L22 + Calculations!$R22))</f>
        <v>1.2548450963442179</v>
      </c>
      <c r="W22" s="15">
        <f>MAX(1, (Calculations!$H22-Calculations!$K22) / (Calculations!$J22 + Calculations!$M22 + Calculations!$O22))</f>
        <v>3.6600988226682118</v>
      </c>
      <c r="X22" s="15">
        <f>MAX(1, (Calculations!$H22-Calculations!$K22) / (Calculations!$J22 + Calculations!$M22 + Calculations!$P22))</f>
        <v>2.6866072627949671</v>
      </c>
      <c r="Y22" s="15">
        <f>MAX(1, (Calculations!$H22-Calculations!$K22) / (Calculations!$J22 + Calculations!$M22 + Calculations!$Q22))</f>
        <v>1.834974616184476</v>
      </c>
      <c r="Z22" s="15">
        <f>MAX(1, (Calculations!$H22-Calculations!$K22) / (Calculations!$J22 + Calculations!$N22 + Calculations!$O22))</f>
        <v>3.7596340622846043</v>
      </c>
      <c r="AA22" s="15">
        <f>MAX(1, (Calculations!$H22-Calculations!$K22) / (Calculations!$J22 + Calculations!$N22 + Calculations!$P22))</f>
        <v>2.7398511347550119</v>
      </c>
      <c r="AB22" s="15">
        <f>MAX(1, (Calculations!$H22-Calculations!$K22) / (Calculations!$J22 + Calculations!$N22 + Calculations!$Q22))</f>
        <v>1.8596578229605756</v>
      </c>
      <c r="AC22" s="15"/>
      <c r="AD22" s="15"/>
    </row>
    <row r="23" spans="1:30" ht="14.25" customHeight="1" x14ac:dyDescent="0.25">
      <c r="A23" s="11" t="s">
        <v>336</v>
      </c>
      <c r="B23" s="11" t="s">
        <v>765</v>
      </c>
      <c r="C23" s="11" t="s">
        <v>54</v>
      </c>
      <c r="D23" s="15">
        <v>0.6</v>
      </c>
      <c r="E23" s="11">
        <v>1</v>
      </c>
      <c r="F23" s="11"/>
      <c r="G23" s="11">
        <f t="array" ref="G23">INDEX(Data!$X$2:$X$106,MATCH(Calculations!$A23,Data!$A$2:$A$106,0))</f>
        <v>12</v>
      </c>
      <c r="H23" s="11">
        <f t="array" ref="H23">INDEX(Data!$Y$2:$Y$106,MATCH(Calculations!$A23,Data!$A$2:$A$106,0))</f>
        <v>40</v>
      </c>
      <c r="I23" s="101">
        <f t="array" ref="I23">INDEX(Data!$F$2:$F$106,MATCH(Calculations!$A23,Data!$A$2:$A$106,0)) * Calculations!$E23 +
 INDEX(Data!$G$2:$G$106,MATCH(Calculations!$A23,Data!$A$2:$A$106,0)) * Calculations!$F23 +
INDEX(Data!$O$2:$O$106,MATCH(Calculations!$A23,Data!$A$2:$A$106,0)) * (0.6 +0.4*Calculations!$D23) * MIN(INDEX(Data!$R$2:$R$106,MATCH(Calculations!$A23,Data!$A$2:$A$106,0)), Calculations!$G23)</f>
        <v>3.4</v>
      </c>
      <c r="J23" s="101">
        <f>Calculations!$I23*OnFieldRight</f>
        <v>10.199999999999999</v>
      </c>
      <c r="K23" s="101"/>
      <c r="L23" s="101">
        <f>(Calculations!$D23*OnFieldOrb + (1-Calculations!$D23*OffFieldOrb)) * OrbsPerRun / (90/Calculations!$G23)</f>
        <v>2.277333333333333</v>
      </c>
      <c r="M23" s="101">
        <f>(Calculations!$D23*OnFieldOrb + (1-Calculations!$D23*OffFieldOrb)) * OrbsPerRun / (150/Calculations!$G23)</f>
        <v>1.3663999999999998</v>
      </c>
      <c r="N23" s="101">
        <f>(Calculations!$D23*OnFieldOrb + (1-Calculations!$D23*OffFieldOrb)) * OrbsPerRun / (300/Calculations!$G23)</f>
        <v>0.68319999999999992</v>
      </c>
      <c r="O23" s="101">
        <f>LowEPS*Calculations!$G23</f>
        <v>4.4279999999999999</v>
      </c>
      <c r="P23" s="101">
        <f>MedEPS*Calculations!$G23</f>
        <v>9.18</v>
      </c>
      <c r="Q23" s="101">
        <f>HighEPS*Calculations!$G23</f>
        <v>17.472000000000001</v>
      </c>
      <c r="R23" s="101">
        <f>VHighEPS*Calculations!$G23</f>
        <v>29.102399999999996</v>
      </c>
      <c r="S23" s="15">
        <f>MAX(1, (Calculations!$H23-Calculations!$K23) / (Calculations!$J23 + Calculations!$L23 + Calculations!$O23))</f>
        <v>2.3661172016720564</v>
      </c>
      <c r="T23" s="15">
        <f>MAX(1, (Calculations!$H23-Calculations!$K23) / (Calculations!$J23 + Calculations!$L23 + Calculations!$P23))</f>
        <v>1.8469494551499106</v>
      </c>
      <c r="U23" s="15">
        <f>MAX(1, (Calculations!$H23-Calculations!$K23) / (Calculations!$J23 + Calculations!$L23 + Calculations!$Q23))</f>
        <v>1.3355889947466832</v>
      </c>
      <c r="V23" s="15">
        <f>MAX(1, (Calculations!$H23-Calculations!$K23) / (Calculations!$J23 + Calculations!$L23 + Calculations!$R23))</f>
        <v>1</v>
      </c>
      <c r="W23" s="15">
        <f>MAX(1, (Calculations!$H23-Calculations!$K23) / (Calculations!$J23 + Calculations!$M23 + Calculations!$O23))</f>
        <v>2.5008753063572251</v>
      </c>
      <c r="X23" s="15">
        <f>MAX(1, (Calculations!$H23-Calculations!$K23) / (Calculations!$J23 + Calculations!$M23 + Calculations!$P23))</f>
        <v>1.928045347626576</v>
      </c>
      <c r="Y23" s="15">
        <f>MAX(1, (Calculations!$H23-Calculations!$K23) / (Calculations!$J23 + Calculations!$M23 + Calculations!$Q23))</f>
        <v>1.3774863628850074</v>
      </c>
      <c r="Z23" s="15">
        <f>MAX(1, (Calculations!$H23-Calculations!$K23) / (Calculations!$J23 + Calculations!$N23 + Calculations!$O23))</f>
        <v>2.6124666910496894</v>
      </c>
      <c r="AA23" s="15">
        <f>MAX(1, (Calculations!$H23-Calculations!$K23) / (Calculations!$J23 + Calculations!$N23 + Calculations!$P23))</f>
        <v>1.9936999082898044</v>
      </c>
      <c r="AB23" s="15">
        <f>MAX(1, (Calculations!$H23-Calculations!$K23) / (Calculations!$J23 + Calculations!$N23 + Calculations!$Q23))</f>
        <v>1.4106759959372532</v>
      </c>
      <c r="AC23" s="15"/>
      <c r="AD23" s="15"/>
    </row>
    <row r="24" spans="1:30" ht="14.25" customHeight="1" x14ac:dyDescent="0.25">
      <c r="A24" s="11" t="s">
        <v>336</v>
      </c>
      <c r="B24" s="11" t="s">
        <v>766</v>
      </c>
      <c r="C24" s="11" t="s">
        <v>54</v>
      </c>
      <c r="D24" s="15">
        <v>0.15</v>
      </c>
      <c r="E24" s="11">
        <v>1</v>
      </c>
      <c r="F24" s="11"/>
      <c r="G24" s="11">
        <f t="array" ref="G24">INDEX(Data!$X$2:$X$106,MATCH(Calculations!$A24,Data!$A$2:$A$106,0))</f>
        <v>12</v>
      </c>
      <c r="H24" s="11">
        <f t="array" ref="H24">INDEX(Data!$Y$2:$Y$106,MATCH(Calculations!$A24,Data!$A$2:$A$106,0))</f>
        <v>40</v>
      </c>
      <c r="I24" s="101">
        <f t="array" ref="I24">INDEX(Data!$F$2:$F$106,MATCH(Calculations!$A24,Data!$A$2:$A$106,0)) * Calculations!$E24 +
 INDEX(Data!$G$2:$G$106,MATCH(Calculations!$A24,Data!$A$2:$A$106,0)) * Calculations!$F24 +
INDEX(Data!$O$2:$O$106,MATCH(Calculations!$A24,Data!$A$2:$A$106,0)) * (0.6 +0.4*Calculations!$D24) * MIN(INDEX(Data!$R$2:$R$106,MATCH(Calculations!$A24,Data!$A$2:$A$106,0)), Calculations!$G24)</f>
        <v>3.4</v>
      </c>
      <c r="J24" s="101">
        <f>Calculations!$I24*OnFieldRight</f>
        <v>10.199999999999999</v>
      </c>
      <c r="K24" s="101"/>
      <c r="L24" s="101">
        <f>(Calculations!$D24*OnFieldOrb + (1-Calculations!$D24*OffFieldOrb)) * OrbsPerRun / (90/Calculations!$G24)</f>
        <v>1.2693333333333332</v>
      </c>
      <c r="M24" s="101">
        <f>(Calculations!$D24*OnFieldOrb + (1-Calculations!$D24*OffFieldOrb)) * OrbsPerRun / (150/Calculations!$G24)</f>
        <v>0.76159999999999994</v>
      </c>
      <c r="N24" s="101">
        <f>(Calculations!$D24*OnFieldOrb + (1-Calculations!$D24*OffFieldOrb)) * OrbsPerRun / (300/Calculations!$G24)</f>
        <v>0.38079999999999997</v>
      </c>
      <c r="O24" s="101">
        <f>LowEPS*Calculations!$G24</f>
        <v>4.4279999999999999</v>
      </c>
      <c r="P24" s="101">
        <f>MedEPS*Calculations!$G24</f>
        <v>9.18</v>
      </c>
      <c r="Q24" s="101">
        <f>HighEPS*Calculations!$G24</f>
        <v>17.472000000000001</v>
      </c>
      <c r="R24" s="101">
        <f>VHighEPS*Calculations!$G24</f>
        <v>29.102399999999996</v>
      </c>
      <c r="S24" s="15">
        <f>MAX(1, (Calculations!$H24-Calculations!$K24) / (Calculations!$J24 + Calculations!$L24 + Calculations!$O24))</f>
        <v>2.5161452654533258</v>
      </c>
      <c r="T24" s="15">
        <f>MAX(1, (Calculations!$H24-Calculations!$K24) / (Calculations!$J24 + Calculations!$L24 + Calculations!$P24))</f>
        <v>1.9371085426486734</v>
      </c>
      <c r="U24" s="15">
        <f>MAX(1, (Calculations!$H24-Calculations!$K24) / (Calculations!$J24 + Calculations!$L24 + Calculations!$Q24))</f>
        <v>1.3821063300469916</v>
      </c>
      <c r="V24" s="15">
        <f>MAX(1, (Calculations!$H24-Calculations!$K24) / (Calculations!$J24 + Calculations!$L24 + Calculations!$R24))</f>
        <v>1</v>
      </c>
      <c r="W24" s="15">
        <f>MAX(1, (Calculations!$H24-Calculations!$K24) / (Calculations!$J24 + Calculations!$M24 + Calculations!$O24))</f>
        <v>2.5991578728491973</v>
      </c>
      <c r="X24" s="15">
        <f>MAX(1, (Calculations!$H24-Calculations!$K24) / (Calculations!$J24 + Calculations!$M24 + Calculations!$P24))</f>
        <v>1.9859395480001591</v>
      </c>
      <c r="Y24" s="15">
        <f>MAX(1, (Calculations!$H24-Calculations!$K24) / (Calculations!$J24 + Calculations!$M24 + Calculations!$Q24))</f>
        <v>1.4067863372910923</v>
      </c>
      <c r="Z24" s="15">
        <f>MAX(1, (Calculations!$H24-Calculations!$K24) / (Calculations!$J24 + Calculations!$N24 + Calculations!$O24))</f>
        <v>2.6651031394914981</v>
      </c>
      <c r="AA24" s="15">
        <f>MAX(1, (Calculations!$H24-Calculations!$K24) / (Calculations!$J24 + Calculations!$N24 + Calculations!$P24))</f>
        <v>2.0242095461722198</v>
      </c>
      <c r="AB24" s="15">
        <f>MAX(1, (Calculations!$H24-Calculations!$K24) / (Calculations!$J24 + Calculations!$N24 + Calculations!$Q24))</f>
        <v>1.425882621342611</v>
      </c>
      <c r="AC24" s="15"/>
      <c r="AD24" s="15"/>
    </row>
    <row r="25" spans="1:30" ht="14.25" customHeight="1" x14ac:dyDescent="0.25">
      <c r="A25" s="11" t="s">
        <v>340</v>
      </c>
      <c r="B25" s="11"/>
      <c r="C25" s="11" t="s">
        <v>54</v>
      </c>
      <c r="D25" s="15">
        <v>0.7</v>
      </c>
      <c r="E25" s="11"/>
      <c r="F25" s="11"/>
      <c r="G25" s="11">
        <f t="array" ref="G25">INDEX(Data!$X$2:$X$106,MATCH(Calculations!$A25,Data!$A$2:$A$106,0))</f>
        <v>15</v>
      </c>
      <c r="H25" s="11">
        <f t="array" ref="H25">INDEX(Data!$Y$2:$Y$106,MATCH(Calculations!$A25,Data!$A$2:$A$106,0))</f>
        <v>60</v>
      </c>
      <c r="I25" s="101">
        <f t="array" ref="I25">INDEX(Data!$F$2:$F$106,MATCH(Calculations!$A25,Data!$A$2:$A$106,0)) * Calculations!$E25 +
 INDEX(Data!$G$2:$G$106,MATCH(Calculations!$A25,Data!$A$2:$A$106,0)) * Calculations!$F25 +
INDEX(Data!$O$2:$O$106,MATCH(Calculations!$A25,Data!$A$2:$A$106,0)) * (0.6 +0.4*Calculations!$D25) * MIN(INDEX(Data!$R$2:$R$106,MATCH(Calculations!$A25,Data!$A$2:$A$106,0)), Calculations!$G25)</f>
        <v>0</v>
      </c>
      <c r="J25" s="101">
        <f>Calculations!$I25*OnFieldRight</f>
        <v>0</v>
      </c>
      <c r="K25" s="101"/>
      <c r="L25" s="101">
        <f>(Calculations!$D25*OnFieldOrb + (1-Calculations!$D25*OffFieldOrb)) * OrbsPerRun / (90/Calculations!$G25)</f>
        <v>3.1266666666666665</v>
      </c>
      <c r="M25" s="101">
        <f>(Calculations!$D25*OnFieldOrb + (1-Calculations!$D25*OffFieldOrb)) * OrbsPerRun / (150/Calculations!$G25)</f>
        <v>1.8759999999999999</v>
      </c>
      <c r="N25" s="101">
        <f>(Calculations!$D25*OnFieldOrb + (1-Calculations!$D25*OffFieldOrb)) * OrbsPerRun / (300/Calculations!$G25)</f>
        <v>0.93799999999999994</v>
      </c>
      <c r="O25" s="101">
        <f>LowEPS*Calculations!$G25</f>
        <v>5.5350000000000001</v>
      </c>
      <c r="P25" s="101">
        <f>MedEPS*Calculations!$G25</f>
        <v>11.474999999999998</v>
      </c>
      <c r="Q25" s="101">
        <f>HighEPS*Calculations!$G25</f>
        <v>21.84</v>
      </c>
      <c r="R25" s="101">
        <f>VHighEPS*Calculations!$G25</f>
        <v>36.378</v>
      </c>
      <c r="S25" s="15">
        <f>MAX(1, (Calculations!$H25-Calculations!$K25) / (Calculations!$J25 + Calculations!$L25 + Calculations!$O25))</f>
        <v>6.9270733115258798</v>
      </c>
      <c r="T25" s="15">
        <f>MAX(1, (Calculations!$H25-Calculations!$K25) / (Calculations!$J25 + Calculations!$L25 + Calculations!$P25))</f>
        <v>4.1091199634744902</v>
      </c>
      <c r="U25" s="15">
        <f>MAX(1, (Calculations!$H25-Calculations!$K25) / (Calculations!$J25 + Calculations!$L25 + Calculations!$Q25))</f>
        <v>2.4032042723631508</v>
      </c>
      <c r="V25" s="15">
        <f>MAX(1, (Calculations!$H25-Calculations!$K25) / (Calculations!$J25 + Calculations!$L25 + Calculations!$R25))</f>
        <v>1.5188079045513612</v>
      </c>
      <c r="W25" s="15">
        <f>MAX(1, (Calculations!$H25-Calculations!$K25) / (Calculations!$J25 + Calculations!$M25 + Calculations!$O25))</f>
        <v>8.0960734043988669</v>
      </c>
      <c r="X25" s="15">
        <f>MAX(1, (Calculations!$H25-Calculations!$K25) / (Calculations!$J25 + Calculations!$M25 + Calculations!$P25))</f>
        <v>4.4940453898584387</v>
      </c>
      <c r="Y25" s="15">
        <f>MAX(1, (Calculations!$H25-Calculations!$K25) / (Calculations!$J25 + Calculations!$M25 + Calculations!$Q25))</f>
        <v>2.5299375948726599</v>
      </c>
      <c r="Z25" s="15">
        <f>MAX(1, (Calculations!$H25-Calculations!$K25) / (Calculations!$J25 + Calculations!$N25 + Calculations!$O25))</f>
        <v>9.2692723621195743</v>
      </c>
      <c r="AA25" s="15">
        <f>MAX(1, (Calculations!$H25-Calculations!$K25) / (Calculations!$J25 + Calculations!$N25 + Calculations!$P25))</f>
        <v>4.8336421493595427</v>
      </c>
      <c r="AB25" s="15">
        <f>MAX(1, (Calculations!$H25-Calculations!$K25) / (Calculations!$J25 + Calculations!$N25 + Calculations!$Q25))</f>
        <v>2.6341206427254371</v>
      </c>
      <c r="AC25" s="15"/>
      <c r="AD25" s="15"/>
    </row>
    <row r="26" spans="1:30" ht="14.25" customHeight="1" x14ac:dyDescent="0.25">
      <c r="A26" s="11" t="s">
        <v>344</v>
      </c>
      <c r="B26" s="11"/>
      <c r="C26" s="11" t="s">
        <v>48</v>
      </c>
      <c r="D26" s="15">
        <v>0.05</v>
      </c>
      <c r="E26" s="11"/>
      <c r="F26" s="11"/>
      <c r="G26" s="11">
        <f t="array" ref="G26">INDEX(Data!$X$2:$X$106,MATCH(Calculations!$A26,Data!$A$2:$A$106,0))</f>
        <v>20</v>
      </c>
      <c r="H26" s="11">
        <f t="array" ref="H26">INDEX(Data!$Y$2:$Y$106,MATCH(Calculations!$A26,Data!$A$2:$A$106,0))</f>
        <v>80</v>
      </c>
      <c r="I26" s="101">
        <f t="array" ref="I26">INDEX(Data!$F$2:$F$106,MATCH(Calculations!$A26,Data!$A$2:$A$106,0)) * Calculations!$E26 +
 INDEX(Data!$G$2:$G$106,MATCH(Calculations!$A26,Data!$A$2:$A$106,0)) * Calculations!$F26 +
INDEX(Data!$O$2:$O$106,MATCH(Calculations!$A26,Data!$A$2:$A$106,0)) * (0.6 +0.4*Calculations!$D26) * MIN(INDEX(Data!$R$2:$R$106,MATCH(Calculations!$A26,Data!$A$2:$A$106,0)), Calculations!$G26)</f>
        <v>0</v>
      </c>
      <c r="J26" s="101">
        <f>Calculations!$I26*OnFieldRight</f>
        <v>0</v>
      </c>
      <c r="K26" s="101"/>
      <c r="L26" s="101">
        <f>(Calculations!$D26*OnFieldOrb + (1-Calculations!$D26*OffFieldOrb)) * OrbsPerRun / (90/Calculations!$G26)</f>
        <v>1.7422222222222223</v>
      </c>
      <c r="M26" s="101">
        <f>(Calculations!$D26*OnFieldOrb + (1-Calculations!$D26*OffFieldOrb)) * OrbsPerRun / (150/Calculations!$G26)</f>
        <v>1.0453333333333334</v>
      </c>
      <c r="N26" s="101">
        <f>(Calculations!$D26*OnFieldOrb + (1-Calculations!$D26*OffFieldOrb)) * OrbsPerRun / (300/Calculations!$G26)</f>
        <v>0.52266666666666672</v>
      </c>
      <c r="O26" s="101">
        <f>LowEPS*Calculations!$G26</f>
        <v>7.38</v>
      </c>
      <c r="P26" s="101">
        <f>MedEPS*Calculations!$G26</f>
        <v>15.299999999999997</v>
      </c>
      <c r="Q26" s="101">
        <f>HighEPS*Calculations!$G26</f>
        <v>29.119999999999997</v>
      </c>
      <c r="R26" s="101">
        <f>VHighEPS*Calculations!$G26</f>
        <v>48.503999999999998</v>
      </c>
      <c r="S26" s="15">
        <f>MAX(1, (Calculations!$H26-Calculations!$K26) / (Calculations!$J26 + Calculations!$L26 + Calculations!$O26))</f>
        <v>8.7697929354445794</v>
      </c>
      <c r="T26" s="15">
        <f>MAX(1, (Calculations!$H26-Calculations!$K26) / (Calculations!$J26 + Calculations!$L26 + Calculations!$P26))</f>
        <v>4.6942234971965062</v>
      </c>
      <c r="U26" s="15">
        <f>MAX(1, (Calculations!$H26-Calculations!$K26) / (Calculations!$J26 + Calculations!$L26 + Calculations!$Q26))</f>
        <v>2.592165898617512</v>
      </c>
      <c r="V26" s="15">
        <f>MAX(1, (Calculations!$H26-Calculations!$K26) / (Calculations!$J26 + Calculations!$L26 + Calculations!$R26))</f>
        <v>1.5921594990004777</v>
      </c>
      <c r="W26" s="15">
        <f>MAX(1, (Calculations!$H26-Calculations!$K26) / (Calculations!$J26 + Calculations!$M26 + Calculations!$O26))</f>
        <v>9.4951732869124861</v>
      </c>
      <c r="X26" s="15">
        <f>MAX(1, (Calculations!$H26-Calculations!$K26) / (Calculations!$J26 + Calculations!$M26 + Calculations!$P26))</f>
        <v>4.8943633249041536</v>
      </c>
      <c r="Y26" s="15">
        <f>MAX(1, (Calculations!$H26-Calculations!$K26) / (Calculations!$J26 + Calculations!$M26 + Calculations!$Q26))</f>
        <v>2.6520509193776522</v>
      </c>
      <c r="Z26" s="15">
        <f>MAX(1, (Calculations!$H26-Calculations!$K26) / (Calculations!$J26 + Calculations!$N26 + Calculations!$O26))</f>
        <v>10.123165176311794</v>
      </c>
      <c r="AA26" s="15">
        <f>MAX(1, (Calculations!$H26-Calculations!$K26) / (Calculations!$J26 + Calculations!$N26 + Calculations!$P26))</f>
        <v>5.0560377517485477</v>
      </c>
      <c r="AB26" s="15">
        <f>MAX(1, (Calculations!$H26-Calculations!$K26) / (Calculations!$J26 + Calculations!$N26 + Calculations!$Q26))</f>
        <v>2.6988125224901047</v>
      </c>
      <c r="AC26" s="15"/>
      <c r="AD26" s="15"/>
    </row>
    <row r="27" spans="1:30" ht="14.25" customHeight="1" x14ac:dyDescent="0.25">
      <c r="A27" s="11" t="s">
        <v>348</v>
      </c>
      <c r="B27" s="11"/>
      <c r="C27" s="11" t="s">
        <v>52</v>
      </c>
      <c r="D27" s="15">
        <v>0.8</v>
      </c>
      <c r="E27" s="11">
        <v>2</v>
      </c>
      <c r="F27" s="11"/>
      <c r="G27" s="11">
        <f t="array" ref="G27">INDEX(Data!$X$2:$X$106,MATCH(Calculations!$A27,Data!$A$2:$A$106,0))</f>
        <v>20</v>
      </c>
      <c r="H27" s="11">
        <f t="array" ref="H27">INDEX(Data!$Y$2:$Y$106,MATCH(Calculations!$A27,Data!$A$2:$A$106,0))</f>
        <v>80</v>
      </c>
      <c r="I27" s="101">
        <f t="array" ref="I27">INDEX(Data!$F$2:$F$106,MATCH(Calculations!$A27,Data!$A$2:$A$106,0)) * Calculations!$E27 +
 INDEX(Data!$G$2:$G$106,MATCH(Calculations!$A27,Data!$A$2:$A$106,0)) * Calculations!$F27 +
INDEX(Data!$O$2:$O$106,MATCH(Calculations!$A27,Data!$A$2:$A$106,0)) * (0.6 +0.4*Calculations!$D27) * MIN(INDEX(Data!$R$2:$R$106,MATCH(Calculations!$A27,Data!$A$2:$A$106,0)), Calculations!$G27)</f>
        <v>6</v>
      </c>
      <c r="J27" s="101">
        <f>Calculations!$I27*OnFieldRight</f>
        <v>18</v>
      </c>
      <c r="K27" s="101"/>
      <c r="L27" s="101">
        <f>(Calculations!$D27*OnFieldOrb + (1-Calculations!$D27*OffFieldOrb)) * OrbsPerRun / (90/Calculations!$G27)</f>
        <v>4.5422222222222235</v>
      </c>
      <c r="M27" s="101">
        <f>(Calculations!$D27*OnFieldOrb + (1-Calculations!$D27*OffFieldOrb)) * OrbsPerRun / (150/Calculations!$G27)</f>
        <v>2.7253333333333338</v>
      </c>
      <c r="N27" s="101">
        <f>(Calculations!$D27*OnFieldOrb + (1-Calculations!$D27*OffFieldOrb)) * OrbsPerRun / (300/Calculations!$G27)</f>
        <v>1.3626666666666669</v>
      </c>
      <c r="O27" s="101">
        <f>LowEPS*Calculations!$G27</f>
        <v>7.38</v>
      </c>
      <c r="P27" s="101">
        <f>MedEPS*Calculations!$G27</f>
        <v>15.299999999999997</v>
      </c>
      <c r="Q27" s="101">
        <f>HighEPS*Calculations!$G27</f>
        <v>29.119999999999997</v>
      </c>
      <c r="R27" s="101">
        <f>VHighEPS*Calculations!$G27</f>
        <v>48.503999999999998</v>
      </c>
      <c r="S27" s="15">
        <f>MAX(1, (Calculations!$H27-Calculations!$K27) / (Calculations!$J27 + Calculations!$L27 + Calculations!$O27))</f>
        <v>2.6735982176011883</v>
      </c>
      <c r="T27" s="15">
        <f>MAX(1, (Calculations!$H27-Calculations!$K27) / (Calculations!$J27 + Calculations!$L27 + Calculations!$P27))</f>
        <v>2.1140407540078692</v>
      </c>
      <c r="U27" s="15">
        <f>MAX(1, (Calculations!$H27-Calculations!$K27) / (Calculations!$J27 + Calculations!$L27 + Calculations!$Q27))</f>
        <v>1.5485203028217482</v>
      </c>
      <c r="V27" s="15">
        <f>MAX(1, (Calculations!$H27-Calculations!$K27) / (Calculations!$J27 + Calculations!$L27 + Calculations!$R27))</f>
        <v>1.1260275000938358</v>
      </c>
      <c r="W27" s="15">
        <f>MAX(1, (Calculations!$H27-Calculations!$K27) / (Calculations!$J27 + Calculations!$M27 + Calculations!$O27))</f>
        <v>2.8464348403624458</v>
      </c>
      <c r="X27" s="15">
        <f>MAX(1, (Calculations!$H27-Calculations!$K27) / (Calculations!$J27 + Calculations!$M27 + Calculations!$P27))</f>
        <v>2.2206595358821568</v>
      </c>
      <c r="Y27" s="15">
        <f>MAX(1, (Calculations!$H27-Calculations!$K27) / (Calculations!$J27 + Calculations!$M27 + Calculations!$Q27))</f>
        <v>1.6049646907768031</v>
      </c>
      <c r="Z27" s="15">
        <f>MAX(1, (Calculations!$H27-Calculations!$K27) / (Calculations!$J27 + Calculations!$N27 + Calculations!$O27))</f>
        <v>2.9914742982499876</v>
      </c>
      <c r="AA27" s="15">
        <f>MAX(1, (Calculations!$H27-Calculations!$K27) / (Calculations!$J27 + Calculations!$N27 + Calculations!$P27))</f>
        <v>2.3079586106089165</v>
      </c>
      <c r="AB27" s="15">
        <f>MAX(1, (Calculations!$H27-Calculations!$K27) / (Calculations!$J27 + Calculations!$N27 + Calculations!$Q27))</f>
        <v>1.6500742533414006</v>
      </c>
      <c r="AC27" s="15"/>
      <c r="AD27" s="15"/>
    </row>
    <row r="28" spans="1:30" ht="14.25" customHeight="1" x14ac:dyDescent="0.25">
      <c r="A28" s="11" t="s">
        <v>364</v>
      </c>
      <c r="B28" s="11"/>
      <c r="C28" s="11" t="s">
        <v>46</v>
      </c>
      <c r="D28" s="15">
        <v>0.1</v>
      </c>
      <c r="E28" s="11">
        <v>1.3</v>
      </c>
      <c r="F28" s="11"/>
      <c r="G28" s="11">
        <f t="array" ref="G28">INDEX(Data!$X$2:$X$106,MATCH(Calculations!$A28,Data!$A$2:$A$106,0))</f>
        <v>20</v>
      </c>
      <c r="H28" s="11">
        <f t="array" ref="H28">INDEX(Data!$Y$2:$Y$106,MATCH(Calculations!$A28,Data!$A$2:$A$106,0))</f>
        <v>80</v>
      </c>
      <c r="I28" s="101">
        <f t="array" ref="I28">INDEX(Data!$F$2:$F$106,MATCH(Calculations!$A28,Data!$A$2:$A$106,0)) * Calculations!$E28 +
 INDEX(Data!$G$2:$G$106,MATCH(Calculations!$A28,Data!$A$2:$A$106,0)) * Calculations!$F28 +
INDEX(Data!$O$2:$O$106,MATCH(Calculations!$A28,Data!$A$2:$A$106,0)) * (0.6 +0.4*Calculations!$D28) * MIN(INDEX(Data!$R$2:$R$106,MATCH(Calculations!$A28,Data!$A$2:$A$106,0)), Calculations!$G28)</f>
        <v>5.2</v>
      </c>
      <c r="J28" s="101">
        <f>Calculations!$I28*OnFieldRight</f>
        <v>15.600000000000001</v>
      </c>
      <c r="K28" s="101"/>
      <c r="L28" s="101">
        <f>(Calculations!$D28*OnFieldOrb + (1-Calculations!$D28*OffFieldOrb)) * OrbsPerRun / (90/Calculations!$G28)</f>
        <v>1.9288888888888893</v>
      </c>
      <c r="M28" s="101">
        <f>(Calculations!$D28*OnFieldOrb + (1-Calculations!$D28*OffFieldOrb)) * OrbsPerRun / (150/Calculations!$G28)</f>
        <v>1.1573333333333335</v>
      </c>
      <c r="N28" s="101">
        <f>(Calculations!$D28*OnFieldOrb + (1-Calculations!$D28*OffFieldOrb)) * OrbsPerRun / (300/Calculations!$G28)</f>
        <v>0.57866666666666677</v>
      </c>
      <c r="O28" s="101">
        <f>LowEPS*Calculations!$G28</f>
        <v>7.38</v>
      </c>
      <c r="P28" s="101">
        <f>MedEPS*Calculations!$G28</f>
        <v>15.299999999999997</v>
      </c>
      <c r="Q28" s="101">
        <f>HighEPS*Calculations!$G28</f>
        <v>29.119999999999997</v>
      </c>
      <c r="R28" s="101">
        <f>VHighEPS*Calculations!$G28</f>
        <v>48.503999999999998</v>
      </c>
      <c r="S28" s="15">
        <f>MAX(1, (Calculations!$H28-Calculations!$K28) / (Calculations!$J28 + Calculations!$L28 + Calculations!$O28))</f>
        <v>3.2117048800071371</v>
      </c>
      <c r="T28" s="15">
        <f>MAX(1, (Calculations!$H28-Calculations!$K28) / (Calculations!$J28 + Calculations!$L28 + Calculations!$P28))</f>
        <v>2.436878088404522</v>
      </c>
      <c r="U28" s="15">
        <f>MAX(1, (Calculations!$H28-Calculations!$K28) / (Calculations!$J28 + Calculations!$L28 + Calculations!$Q28))</f>
        <v>1.7149390243902438</v>
      </c>
      <c r="V28" s="15">
        <f>MAX(1, (Calculations!$H28-Calculations!$K28) / (Calculations!$J28 + Calculations!$L28 + Calculations!$R28))</f>
        <v>1.2115174929664678</v>
      </c>
      <c r="W28" s="15">
        <f>MAX(1, (Calculations!$H28-Calculations!$K28) / (Calculations!$J28 + Calculations!$M28 + Calculations!$O28))</f>
        <v>3.3143677843451362</v>
      </c>
      <c r="X28" s="15">
        <f>MAX(1, (Calculations!$H28-Calculations!$K28) / (Calculations!$J28 + Calculations!$M28 + Calculations!$P28))</f>
        <v>2.4955288441542236</v>
      </c>
      <c r="Y28" s="15">
        <f>MAX(1, (Calculations!$H28-Calculations!$K28) / (Calculations!$J28 + Calculations!$M28 + Calculations!$Q28))</f>
        <v>1.7437805161590327</v>
      </c>
      <c r="Z28" s="15">
        <f>MAX(1, (Calculations!$H28-Calculations!$K28) / (Calculations!$J28 + Calculations!$N28 + Calculations!$O28))</f>
        <v>3.3957779161242856</v>
      </c>
      <c r="AA28" s="15">
        <f>MAX(1, (Calculations!$H28-Calculations!$K28) / (Calculations!$J28 + Calculations!$N28 + Calculations!$P28))</f>
        <v>2.5414037019780591</v>
      </c>
      <c r="AB28" s="15">
        <f>MAX(1, (Calculations!$H28-Calculations!$K28) / (Calculations!$J28 + Calculations!$N28 + Calculations!$Q28))</f>
        <v>1.7660563960675812</v>
      </c>
      <c r="AC28" s="15"/>
      <c r="AD28" s="15"/>
    </row>
    <row r="29" spans="1:30" ht="14.25" customHeight="1" x14ac:dyDescent="0.25">
      <c r="A29" s="11" t="s">
        <v>365</v>
      </c>
      <c r="B29" s="11" t="s">
        <v>769</v>
      </c>
      <c r="C29" s="11" t="s">
        <v>56</v>
      </c>
      <c r="D29" s="15">
        <v>0.5</v>
      </c>
      <c r="E29" s="11">
        <v>4</v>
      </c>
      <c r="F29" s="11"/>
      <c r="G29" s="11">
        <f t="array" ref="G29">INDEX(Data!$X$2:$X$106,MATCH(Calculations!$A29,Data!$A$2:$A$106,0))</f>
        <v>15</v>
      </c>
      <c r="H29" s="11">
        <f t="array" ref="H29">INDEX(Data!$Y$2:$Y$106,MATCH(Calculations!$A29,Data!$A$2:$A$106,0))</f>
        <v>60</v>
      </c>
      <c r="I29" s="101">
        <f t="array" ref="I29">INDEX(Data!$F$2:$F$106,MATCH(Calculations!$A29,Data!$A$2:$A$106,0)) * Calculations!$E29 +
 INDEX(Data!$G$2:$G$106,MATCH(Calculations!$A29,Data!$A$2:$A$106,0)) * Calculations!$F29 +
INDEX(Data!$O$2:$O$106,MATCH(Calculations!$A29,Data!$A$2:$A$106,0)) * (0.6 +0.4*Calculations!$D29) * MIN(INDEX(Data!$R$2:$R$106,MATCH(Calculations!$A29,Data!$A$2:$A$106,0)), Calculations!$G29)</f>
        <v>12</v>
      </c>
      <c r="J29" s="101">
        <f>Calculations!$I29*OnFieldRight</f>
        <v>36</v>
      </c>
      <c r="K29" s="101">
        <v>20</v>
      </c>
      <c r="L29" s="101">
        <f>(Calculations!$D29*OnFieldOrb + (1-Calculations!$D29*OffFieldOrb)) * OrbsPerRun / (90/Calculations!$G29)</f>
        <v>2.5666666666666669</v>
      </c>
      <c r="M29" s="101">
        <f>(Calculations!$D29*OnFieldOrb + (1-Calculations!$D29*OffFieldOrb)) * OrbsPerRun / (150/Calculations!$G29)</f>
        <v>1.5400000000000003</v>
      </c>
      <c r="N29" s="101">
        <f>(Calculations!$D29*OnFieldOrb + (1-Calculations!$D29*OffFieldOrb)) * OrbsPerRun / (300/Calculations!$G29)</f>
        <v>0.77000000000000013</v>
      </c>
      <c r="O29" s="101">
        <f>LowEPS*Calculations!$G29</f>
        <v>5.5350000000000001</v>
      </c>
      <c r="P29" s="101">
        <f>MedEPS*Calculations!$G29</f>
        <v>11.474999999999998</v>
      </c>
      <c r="Q29" s="101">
        <f>HighEPS*Calculations!$G29</f>
        <v>21.84</v>
      </c>
      <c r="R29" s="101">
        <f>VHighEPS*Calculations!$G29</f>
        <v>36.378</v>
      </c>
      <c r="S29" s="15">
        <f>MAX(1, (Calculations!$H29-Calculations!$K29) / (Calculations!$J29 + Calculations!$L29 + Calculations!$O29))</f>
        <v>1</v>
      </c>
      <c r="T29" s="15">
        <f>MAX(1, (Calculations!$H29-Calculations!$K29) / (Calculations!$J29 + Calculations!$L29 + Calculations!$P29))</f>
        <v>1</v>
      </c>
      <c r="U29" s="15">
        <f>MAX(1, (Calculations!$H29-Calculations!$K29) / (Calculations!$J29 + Calculations!$L29 + Calculations!$Q29))</f>
        <v>1</v>
      </c>
      <c r="V29" s="15">
        <f>MAX(1, (Calculations!$H29-Calculations!$K29) / (Calculations!$J29 + Calculations!$L29 + Calculations!$R29))</f>
        <v>1</v>
      </c>
      <c r="W29" s="15">
        <f>MAX(1, (Calculations!$H29-Calculations!$K29) / (Calculations!$J29 + Calculations!$M29 + Calculations!$O29))</f>
        <v>1</v>
      </c>
      <c r="X29" s="15">
        <f>MAX(1, (Calculations!$H29-Calculations!$K29) / (Calculations!$J29 + Calculations!$M29 + Calculations!$P29))</f>
        <v>1</v>
      </c>
      <c r="Y29" s="15">
        <f>MAX(1, (Calculations!$H29-Calculations!$K29) / (Calculations!$J29 + Calculations!$M29 + Calculations!$Q29))</f>
        <v>1</v>
      </c>
      <c r="Z29" s="15">
        <f>MAX(1, (Calculations!$H29-Calculations!$K29) / (Calculations!$J29 + Calculations!$N29 + Calculations!$O29))</f>
        <v>1</v>
      </c>
      <c r="AA29" s="15">
        <f>MAX(1, (Calculations!$H29-Calculations!$K29) / (Calculations!$J29 + Calculations!$N29 + Calculations!$P29))</f>
        <v>1</v>
      </c>
      <c r="AB29" s="15">
        <f>MAX(1, (Calculations!$H29-Calculations!$K29) / (Calculations!$J29 + Calculations!$N29 + Calculations!$Q29))</f>
        <v>1</v>
      </c>
      <c r="AC29" s="15"/>
      <c r="AD29" s="15"/>
    </row>
    <row r="30" spans="1:30" ht="14.25" customHeight="1" x14ac:dyDescent="0.25">
      <c r="A30" s="11" t="s">
        <v>365</v>
      </c>
      <c r="B30" s="11" t="s">
        <v>770</v>
      </c>
      <c r="C30" s="11" t="s">
        <v>56</v>
      </c>
      <c r="D30" s="15">
        <v>0.5</v>
      </c>
      <c r="E30" s="11">
        <v>4</v>
      </c>
      <c r="F30" s="11"/>
      <c r="G30" s="11">
        <f t="array" ref="G30">INDEX(Data!$X$2:$X$106,MATCH(Calculations!$A30,Data!$A$2:$A$106,0))</f>
        <v>15</v>
      </c>
      <c r="H30" s="11">
        <f t="array" ref="H30">INDEX(Data!$Y$2:$Y$106,MATCH(Calculations!$A30,Data!$A$2:$A$106,0))</f>
        <v>60</v>
      </c>
      <c r="I30" s="101">
        <f t="array" ref="I30">INDEX(Data!$F$2:$F$106,MATCH(Calculations!$A30,Data!$A$2:$A$106,0)) * Calculations!$E30 +
 INDEX(Data!$G$2:$G$106,MATCH(Calculations!$A30,Data!$A$2:$A$106,0)) * Calculations!$F30 +
INDEX(Data!$O$2:$O$106,MATCH(Calculations!$A30,Data!$A$2:$A$106,0)) * (0.6 +0.4*Calculations!$D30) * MIN(INDEX(Data!$R$2:$R$106,MATCH(Calculations!$A30,Data!$A$2:$A$106,0)), Calculations!$G30)</f>
        <v>12</v>
      </c>
      <c r="J30" s="101">
        <f>Calculations!$I30*OnFieldRight</f>
        <v>36</v>
      </c>
      <c r="K30" s="101"/>
      <c r="L30" s="101">
        <f>(Calculations!$D30*OnFieldOrb + (1-Calculations!$D30*OffFieldOrb)) * OrbsPerRun / (90/Calculations!$G30)</f>
        <v>2.5666666666666669</v>
      </c>
      <c r="M30" s="101">
        <f>(Calculations!$D30*OnFieldOrb + (1-Calculations!$D30*OffFieldOrb)) * OrbsPerRun / (150/Calculations!$G30)</f>
        <v>1.5400000000000003</v>
      </c>
      <c r="N30" s="101">
        <f>(Calculations!$D30*OnFieldOrb + (1-Calculations!$D30*OffFieldOrb)) * OrbsPerRun / (300/Calculations!$G30)</f>
        <v>0.77000000000000013</v>
      </c>
      <c r="O30" s="101">
        <f>LowEPS*Calculations!$G30</f>
        <v>5.5350000000000001</v>
      </c>
      <c r="P30" s="101">
        <f>MedEPS*Calculations!$G30</f>
        <v>11.474999999999998</v>
      </c>
      <c r="Q30" s="101">
        <f>HighEPS*Calculations!$G30</f>
        <v>21.84</v>
      </c>
      <c r="R30" s="101">
        <f>VHighEPS*Calculations!$G30</f>
        <v>36.378</v>
      </c>
      <c r="S30" s="15">
        <f>MAX(1, (Calculations!$H30-Calculations!$K30) / (Calculations!$J30 + Calculations!$L30 + Calculations!$O30))</f>
        <v>1.3604928007255959</v>
      </c>
      <c r="T30" s="15">
        <f>MAX(1, (Calculations!$H30-Calculations!$K30) / (Calculations!$J30 + Calculations!$L30 + Calculations!$P30))</f>
        <v>1.199000832639467</v>
      </c>
      <c r="U30" s="15">
        <f>MAX(1, (Calculations!$H30-Calculations!$K30) / (Calculations!$J30 + Calculations!$L30 + Calculations!$Q30))</f>
        <v>1</v>
      </c>
      <c r="V30" s="15">
        <f>MAX(1, (Calculations!$H30-Calculations!$K30) / (Calculations!$J30 + Calculations!$L30 + Calculations!$R30))</f>
        <v>1</v>
      </c>
      <c r="W30" s="15">
        <f>MAX(1, (Calculations!$H30-Calculations!$K30) / (Calculations!$J30 + Calculations!$M30 + Calculations!$O30))</f>
        <v>1.3929193267556585</v>
      </c>
      <c r="X30" s="15">
        <f>MAX(1, (Calculations!$H30-Calculations!$K30) / (Calculations!$J30 + Calculations!$M30 + Calculations!$P30))</f>
        <v>1.2241150668162808</v>
      </c>
      <c r="Y30" s="15">
        <f>MAX(1, (Calculations!$H30-Calculations!$K30) / (Calculations!$J30 + Calculations!$M30 + Calculations!$Q30))</f>
        <v>1.010441226002021</v>
      </c>
      <c r="Z30" s="15">
        <f>MAX(1, (Calculations!$H30-Calculations!$K30) / (Calculations!$J30 + Calculations!$N30 + Calculations!$O30))</f>
        <v>1.4182720718591182</v>
      </c>
      <c r="AA30" s="15">
        <f>MAX(1, (Calculations!$H30-Calculations!$K30) / (Calculations!$J30 + Calculations!$N30 + Calculations!$P30))</f>
        <v>1.2436521919369881</v>
      </c>
      <c r="AB30" s="15">
        <f>MAX(1, (Calculations!$H30-Calculations!$K30) / (Calculations!$J30 + Calculations!$N30 + Calculations!$Q30))</f>
        <v>1.0237160894045385</v>
      </c>
      <c r="AC30" s="15"/>
      <c r="AD30" s="15"/>
    </row>
    <row r="31" spans="1:30" ht="14.25" customHeight="1" x14ac:dyDescent="0.25">
      <c r="A31" s="11" t="s">
        <v>373</v>
      </c>
      <c r="B31" s="11"/>
      <c r="C31" s="11" t="s">
        <v>46</v>
      </c>
      <c r="D31" s="15">
        <v>0.1</v>
      </c>
      <c r="E31" s="11"/>
      <c r="F31" s="11">
        <v>1</v>
      </c>
      <c r="G31" s="11">
        <f t="array" ref="G31">INDEX(Data!$X$2:$X$106,MATCH(Calculations!$A31,Data!$A$2:$A$106,0))</f>
        <v>15</v>
      </c>
      <c r="H31" s="11">
        <f t="array" ref="H31">INDEX(Data!$Y$2:$Y$106,MATCH(Calculations!$A31,Data!$A$2:$A$106,0))</f>
        <v>60</v>
      </c>
      <c r="I31" s="101">
        <f t="array" ref="I31">INDEX(Data!$F$2:$F$106,MATCH(Calculations!$A31,Data!$A$2:$A$106,0)) * Calculations!$E31 +
 INDEX(Data!$G$2:$G$106,MATCH(Calculations!$A31,Data!$A$2:$A$106,0)) * Calculations!$F31 +
INDEX(Data!$O$2:$O$106,MATCH(Calculations!$A31,Data!$A$2:$A$106,0)) * (0.6 +0.4*Calculations!$D31) * MIN(INDEX(Data!$R$2:$R$106,MATCH(Calculations!$A31,Data!$A$2:$A$106,0)), Calculations!$G31)</f>
        <v>3.33</v>
      </c>
      <c r="J31" s="101">
        <f>Calculations!$I31*OnFieldRight</f>
        <v>9.99</v>
      </c>
      <c r="K31" s="101"/>
      <c r="L31" s="101">
        <f>(Calculations!$D31*OnFieldOrb + (1-Calculations!$D31*OffFieldOrb)) * OrbsPerRun / (90/Calculations!$G31)</f>
        <v>1.446666666666667</v>
      </c>
      <c r="M31" s="101">
        <f>(Calculations!$D31*OnFieldOrb + (1-Calculations!$D31*OffFieldOrb)) * OrbsPerRun / (150/Calculations!$G31)</f>
        <v>0.8680000000000001</v>
      </c>
      <c r="N31" s="101">
        <f>(Calculations!$D31*OnFieldOrb + (1-Calculations!$D31*OffFieldOrb)) * OrbsPerRun / (300/Calculations!$G31)</f>
        <v>0.43400000000000005</v>
      </c>
      <c r="O31" s="101">
        <f>LowEPS*Calculations!$G31</f>
        <v>5.5350000000000001</v>
      </c>
      <c r="P31" s="101">
        <f>MedEPS*Calculations!$G31</f>
        <v>11.474999999999998</v>
      </c>
      <c r="Q31" s="101">
        <f>HighEPS*Calculations!$G31</f>
        <v>21.84</v>
      </c>
      <c r="R31" s="101">
        <f>VHighEPS*Calculations!$G31</f>
        <v>36.378</v>
      </c>
      <c r="S31" s="15">
        <f>MAX(1, (Calculations!$H31-Calculations!$K31) / (Calculations!$J31 + Calculations!$L31 + Calculations!$O31))</f>
        <v>3.5353039379357751</v>
      </c>
      <c r="T31" s="15">
        <f>MAX(1, (Calculations!$H31-Calculations!$K31) / (Calculations!$J31 + Calculations!$L31 + Calculations!$P31))</f>
        <v>2.6187531825125485</v>
      </c>
      <c r="U31" s="15">
        <f>MAX(1, (Calculations!$H31-Calculations!$K31) / (Calculations!$J31 + Calculations!$L31 + Calculations!$Q31))</f>
        <v>1.8030652108584591</v>
      </c>
      <c r="V31" s="15">
        <f>MAX(1, (Calculations!$H31-Calculations!$K31) / (Calculations!$J31 + Calculations!$L31 + Calculations!$R31))</f>
        <v>1.2548450963442179</v>
      </c>
      <c r="W31" s="15">
        <f>MAX(1, (Calculations!$H31-Calculations!$K31) / (Calculations!$J31 + Calculations!$M31 + Calculations!$O31))</f>
        <v>3.6600988226682118</v>
      </c>
      <c r="X31" s="15">
        <f>MAX(1, (Calculations!$H31-Calculations!$K31) / (Calculations!$J31 + Calculations!$M31 + Calculations!$P31))</f>
        <v>2.6866072627949671</v>
      </c>
      <c r="Y31" s="15">
        <f>MAX(1, (Calculations!$H31-Calculations!$K31) / (Calculations!$J31 + Calculations!$M31 + Calculations!$Q31))</f>
        <v>1.834974616184476</v>
      </c>
      <c r="Z31" s="15">
        <f>MAX(1, (Calculations!$H31-Calculations!$K31) / (Calculations!$J31 + Calculations!$N31 + Calculations!$O31))</f>
        <v>3.7596340622846043</v>
      </c>
      <c r="AA31" s="15">
        <f>MAX(1, (Calculations!$H31-Calculations!$K31) / (Calculations!$J31 + Calculations!$N31 + Calculations!$P31))</f>
        <v>2.7398511347550119</v>
      </c>
      <c r="AB31" s="15">
        <f>MAX(1, (Calculations!$H31-Calculations!$K31) / (Calculations!$J31 + Calculations!$N31 + Calculations!$Q31))</f>
        <v>1.8596578229605756</v>
      </c>
      <c r="AC31" s="15"/>
      <c r="AD31" s="15"/>
    </row>
    <row r="32" spans="1:30" ht="14.25" customHeight="1" x14ac:dyDescent="0.25">
      <c r="A32" s="11" t="s">
        <v>379</v>
      </c>
      <c r="B32" s="11" t="s">
        <v>767</v>
      </c>
      <c r="C32" s="11" t="s">
        <v>54</v>
      </c>
      <c r="D32" s="15">
        <v>0.15</v>
      </c>
      <c r="E32" s="11">
        <v>1</v>
      </c>
      <c r="F32" s="11"/>
      <c r="G32" s="11">
        <f t="array" ref="G32">INDEX(Data!$X$2:$X$106,MATCH(Calculations!$A32,Data!$A$2:$A$106,0))</f>
        <v>15</v>
      </c>
      <c r="H32" s="11">
        <f t="array" ref="H32">INDEX(Data!$Y$2:$Y$106,MATCH(Calculations!$A32,Data!$A$2:$A$106,0))</f>
        <v>60</v>
      </c>
      <c r="I32" s="101">
        <f t="array" ref="I32">INDEX(Data!$F$2:$F$106,MATCH(Calculations!$A32,Data!$A$2:$A$106,0)) * Calculations!$E32 +
 INDEX(Data!$G$2:$G$106,MATCH(Calculations!$A32,Data!$A$2:$A$106,0)) * Calculations!$F32 +
INDEX(Data!$O$2:$O$106,MATCH(Calculations!$A32,Data!$A$2:$A$106,0)) * (0.6 +0.4*Calculations!$D32) * MIN(INDEX(Data!$R$2:$R$106,MATCH(Calculations!$A32,Data!$A$2:$A$106,0)), Calculations!$G32)</f>
        <v>3.33</v>
      </c>
      <c r="J32" s="101">
        <f>Calculations!$I32*OnFieldRight</f>
        <v>9.99</v>
      </c>
      <c r="K32" s="101">
        <v>10</v>
      </c>
      <c r="L32" s="101">
        <f>(Calculations!$D32*OnFieldOrb + (1-Calculations!$D32*OffFieldOrb)) * OrbsPerRun / (90/Calculations!$G32)</f>
        <v>1.5866666666666667</v>
      </c>
      <c r="M32" s="101">
        <f>(Calculations!$D32*OnFieldOrb + (1-Calculations!$D32*OffFieldOrb)) * OrbsPerRun / (150/Calculations!$G32)</f>
        <v>0.95199999999999996</v>
      </c>
      <c r="N32" s="101">
        <f>(Calculations!$D32*OnFieldOrb + (1-Calculations!$D32*OffFieldOrb)) * OrbsPerRun / (300/Calculations!$G32)</f>
        <v>0.47599999999999998</v>
      </c>
      <c r="O32" s="101">
        <f>LowEPS*Calculations!$G32</f>
        <v>5.5350000000000001</v>
      </c>
      <c r="P32" s="101">
        <f>MedEPS*Calculations!$G32</f>
        <v>11.474999999999998</v>
      </c>
      <c r="Q32" s="101">
        <f>HighEPS*Calculations!$G32</f>
        <v>21.84</v>
      </c>
      <c r="R32" s="101">
        <f>VHighEPS*Calculations!$G32</f>
        <v>36.378</v>
      </c>
      <c r="S32" s="15">
        <f>MAX(1, (Calculations!$H32-Calculations!$K32) / (Calculations!$J32 + Calculations!$L32 + Calculations!$O32))</f>
        <v>2.9219830524982959</v>
      </c>
      <c r="T32" s="15">
        <f>MAX(1, (Calculations!$H32-Calculations!$K32) / (Calculations!$J32 + Calculations!$L32 + Calculations!$P32))</f>
        <v>2.1690405610584924</v>
      </c>
      <c r="U32" s="15">
        <f>MAX(1, (Calculations!$H32-Calculations!$K32) / (Calculations!$J32 + Calculations!$L32 + Calculations!$Q32))</f>
        <v>1.4962593516209477</v>
      </c>
      <c r="V32" s="15">
        <f>MAX(1, (Calculations!$H32-Calculations!$K32) / (Calculations!$J32 + Calculations!$L32 + Calculations!$R32))</f>
        <v>1.0426513929822609</v>
      </c>
      <c r="W32" s="15">
        <f>MAX(1, (Calculations!$H32-Calculations!$K32) / (Calculations!$J32 + Calculations!$M32 + Calculations!$O32))</f>
        <v>3.0345329853735508</v>
      </c>
      <c r="X32" s="15">
        <f>MAX(1, (Calculations!$H32-Calculations!$K32) / (Calculations!$J32 + Calculations!$M32 + Calculations!$P32))</f>
        <v>2.2304501048311551</v>
      </c>
      <c r="Y32" s="15">
        <f>MAX(1, (Calculations!$H32-Calculations!$K32) / (Calculations!$J32 + Calculations!$M32 + Calculations!$Q32))</f>
        <v>1.5252272588615705</v>
      </c>
      <c r="Z32" s="15">
        <f>MAX(1, (Calculations!$H32-Calculations!$K32) / (Calculations!$J32 + Calculations!$N32 + Calculations!$O32))</f>
        <v>3.1248046997062682</v>
      </c>
      <c r="AA32" s="15">
        <f>MAX(1, (Calculations!$H32-Calculations!$K32) / (Calculations!$J32 + Calculations!$N32 + Calculations!$P32))</f>
        <v>2.2788387037965454</v>
      </c>
      <c r="AB32" s="15">
        <f>MAX(1, (Calculations!$H32-Calculations!$K32) / (Calculations!$J32 + Calculations!$N32 + Calculations!$Q32))</f>
        <v>1.547700117625209</v>
      </c>
      <c r="AC32" s="15"/>
      <c r="AD32" s="15"/>
    </row>
    <row r="33" spans="1:30" ht="14.25" customHeight="1" x14ac:dyDescent="0.25">
      <c r="A33" s="11" t="s">
        <v>379</v>
      </c>
      <c r="B33" s="11" t="s">
        <v>768</v>
      </c>
      <c r="C33" s="11" t="s">
        <v>54</v>
      </c>
      <c r="D33" s="15">
        <v>0.15</v>
      </c>
      <c r="E33" s="11">
        <v>2</v>
      </c>
      <c r="F33" s="11"/>
      <c r="G33" s="11">
        <f t="array" ref="G33">INDEX(Data!$X$2:$X$106,MATCH(Calculations!$A33,Data!$A$2:$A$106,0))</f>
        <v>15</v>
      </c>
      <c r="H33" s="11">
        <f t="array" ref="H33">INDEX(Data!$Y$2:$Y$106,MATCH(Calculations!$A33,Data!$A$2:$A$106,0))</f>
        <v>60</v>
      </c>
      <c r="I33" s="101">
        <f t="array" ref="I33">INDEX(Data!$F$2:$F$106,MATCH(Calculations!$A33,Data!$A$2:$A$106,0)) * Calculations!$E33 +
 INDEX(Data!$G$2:$G$106,MATCH(Calculations!$A33,Data!$A$2:$A$106,0)) * Calculations!$F33 +
INDEX(Data!$O$2:$O$106,MATCH(Calculations!$A33,Data!$A$2:$A$106,0)) * (0.6 +0.4*Calculations!$D33) * MIN(INDEX(Data!$R$2:$R$106,MATCH(Calculations!$A33,Data!$A$2:$A$106,0)), Calculations!$G33)</f>
        <v>6.66</v>
      </c>
      <c r="J33" s="101">
        <f>Calculations!$I33*OnFieldRight</f>
        <v>19.98</v>
      </c>
      <c r="K33" s="101">
        <v>10</v>
      </c>
      <c r="L33" s="101">
        <f>(Calculations!$D33*OnFieldOrb + (1-Calculations!$D33*OffFieldOrb)) * OrbsPerRun / (90/Calculations!$G33)</f>
        <v>1.5866666666666667</v>
      </c>
      <c r="M33" s="101">
        <f>(Calculations!$D33*OnFieldOrb + (1-Calculations!$D33*OffFieldOrb)) * OrbsPerRun / (150/Calculations!$G33)</f>
        <v>0.95199999999999996</v>
      </c>
      <c r="N33" s="101">
        <f>(Calculations!$D33*OnFieldOrb + (1-Calculations!$D33*OffFieldOrb)) * OrbsPerRun / (300/Calculations!$G33)</f>
        <v>0.47599999999999998</v>
      </c>
      <c r="O33" s="101">
        <f>LowEPS*Calculations!$G33</f>
        <v>5.5350000000000001</v>
      </c>
      <c r="P33" s="101">
        <f>MedEPS*Calculations!$G33</f>
        <v>11.474999999999998</v>
      </c>
      <c r="Q33" s="101">
        <f>HighEPS*Calculations!$G33</f>
        <v>21.84</v>
      </c>
      <c r="R33" s="101">
        <f>VHighEPS*Calculations!$G33</f>
        <v>36.378</v>
      </c>
      <c r="S33" s="15">
        <f>MAX(1, (Calculations!$H33-Calculations!$K33) / (Calculations!$J33 + Calculations!$L33 + Calculations!$O33))</f>
        <v>1.8449049873931493</v>
      </c>
      <c r="T33" s="15">
        <f>MAX(1, (Calculations!$H33-Calculations!$K33) / (Calculations!$J33 + Calculations!$L33 + Calculations!$P33))</f>
        <v>1.5132408575031526</v>
      </c>
      <c r="U33" s="15">
        <f>MAX(1, (Calculations!$H33-Calculations!$K33) / (Calculations!$J33 + Calculations!$L33 + Calculations!$Q33))</f>
        <v>1.1518967900476118</v>
      </c>
      <c r="V33" s="15">
        <f>MAX(1, (Calculations!$H33-Calculations!$K33) / (Calculations!$J33 + Calculations!$L33 + Calculations!$R33))</f>
        <v>1</v>
      </c>
      <c r="W33" s="15">
        <f>MAX(1, (Calculations!$H33-Calculations!$K33) / (Calculations!$J33 + Calculations!$M33 + Calculations!$O33))</f>
        <v>1.8891449729852268</v>
      </c>
      <c r="X33" s="15">
        <f>MAX(1, (Calculations!$H33-Calculations!$K33) / (Calculations!$J33 + Calculations!$M33 + Calculations!$P33))</f>
        <v>1.5428765390193477</v>
      </c>
      <c r="Y33" s="15">
        <f>MAX(1, (Calculations!$H33-Calculations!$K33) / (Calculations!$J33 + Calculations!$M33 + Calculations!$Q33))</f>
        <v>1.1689890582624145</v>
      </c>
      <c r="Z33" s="15">
        <f>MAX(1, (Calculations!$H33-Calculations!$K33) / (Calculations!$J33 + Calculations!$N33 + Calculations!$O33))</f>
        <v>1.9237428340579432</v>
      </c>
      <c r="AA33" s="15">
        <f>MAX(1, (Calculations!$H33-Calculations!$K33) / (Calculations!$J33 + Calculations!$N33 + Calculations!$P33))</f>
        <v>1.5658764210328522</v>
      </c>
      <c r="AB33" s="15">
        <f>MAX(1, (Calculations!$H33-Calculations!$K33) / (Calculations!$J33 + Calculations!$N33 + Calculations!$Q33))</f>
        <v>1.1821448836769435</v>
      </c>
      <c r="AC33" s="15"/>
      <c r="AD33" s="15"/>
    </row>
    <row r="34" spans="1:30" ht="14.25" customHeight="1" x14ac:dyDescent="0.25">
      <c r="A34" s="11" t="s">
        <v>385</v>
      </c>
      <c r="B34" s="11" t="s">
        <v>767</v>
      </c>
      <c r="C34" s="11" t="s">
        <v>46</v>
      </c>
      <c r="D34" s="15">
        <v>0.15</v>
      </c>
      <c r="E34" s="11">
        <v>1</v>
      </c>
      <c r="F34" s="11"/>
      <c r="G34" s="11">
        <f t="array" ref="G34">INDEX(Data!$X$2:$X$106,MATCH(Calculations!$A34,Data!$A$2:$A$106,0))</f>
        <v>15</v>
      </c>
      <c r="H34" s="11">
        <f t="array" ref="H34">INDEX(Data!$Y$2:$Y$106,MATCH(Calculations!$A34,Data!$A$2:$A$106,0))</f>
        <v>60</v>
      </c>
      <c r="I34" s="101">
        <f t="array" ref="I34">INDEX(Data!$F$2:$F$106,MATCH(Calculations!$A34,Data!$A$2:$A$106,0)) * Calculations!$E34 +
 INDEX(Data!$G$2:$G$106,MATCH(Calculations!$A34,Data!$A$2:$A$106,0)) * Calculations!$F34 +
INDEX(Data!$O$2:$O$106,MATCH(Calculations!$A34,Data!$A$2:$A$106,0)) * (0.6 +0.4*Calculations!$D34) * MIN(INDEX(Data!$R$2:$R$106,MATCH(Calculations!$A34,Data!$A$2:$A$106,0)), Calculations!$G34)</f>
        <v>3</v>
      </c>
      <c r="J34" s="101">
        <f>Calculations!$I34*OnFieldRight</f>
        <v>9</v>
      </c>
      <c r="K34" s="101">
        <v>15</v>
      </c>
      <c r="L34" s="101">
        <f>(Calculations!$D34*OnFieldOrb + (1-Calculations!$D34*OffFieldOrb)) * OrbsPerRun / (90/Calculations!$G34)</f>
        <v>1.5866666666666667</v>
      </c>
      <c r="M34" s="101">
        <f>(Calculations!$D34*OnFieldOrb + (1-Calculations!$D34*OffFieldOrb)) * OrbsPerRun / (150/Calculations!$G34)</f>
        <v>0.95199999999999996</v>
      </c>
      <c r="N34" s="101">
        <f>(Calculations!$D34*OnFieldOrb + (1-Calculations!$D34*OffFieldOrb)) * OrbsPerRun / (300/Calculations!$G34)</f>
        <v>0.47599999999999998</v>
      </c>
      <c r="O34" s="101">
        <f>LowEPS*Calculations!$G34</f>
        <v>5.5350000000000001</v>
      </c>
      <c r="P34" s="101">
        <f>MedEPS*Calculations!$G34</f>
        <v>11.474999999999998</v>
      </c>
      <c r="Q34" s="101">
        <f>HighEPS*Calculations!$G34</f>
        <v>21.84</v>
      </c>
      <c r="R34" s="101">
        <f>VHighEPS*Calculations!$G34</f>
        <v>36.378</v>
      </c>
      <c r="S34" s="15">
        <f>MAX(1, (Calculations!$H34-Calculations!$K34) / (Calculations!$J34 + Calculations!$L34 + Calculations!$O34))</f>
        <v>2.7912746821048278</v>
      </c>
      <c r="T34" s="15">
        <f>MAX(1, (Calculations!$H34-Calculations!$K34) / (Calculations!$J34 + Calculations!$L34 + Calculations!$P34))</f>
        <v>2.0397371005514846</v>
      </c>
      <c r="U34" s="15">
        <f>MAX(1, (Calculations!$H34-Calculations!$K34) / (Calculations!$J34 + Calculations!$L34 + Calculations!$Q34))</f>
        <v>1.3877467105263159</v>
      </c>
      <c r="V34" s="15">
        <f>MAX(1, (Calculations!$H34-Calculations!$K34) / (Calculations!$J34 + Calculations!$L34 + Calculations!$R34))</f>
        <v>1</v>
      </c>
      <c r="W34" s="15">
        <f>MAX(1, (Calculations!$H34-Calculations!$K34) / (Calculations!$J34 + Calculations!$M34 + Calculations!$O34))</f>
        <v>2.9056628139730094</v>
      </c>
      <c r="X34" s="15">
        <f>MAX(1, (Calculations!$H34-Calculations!$K34) / (Calculations!$J34 + Calculations!$M34 + Calculations!$P34))</f>
        <v>2.1001540112941615</v>
      </c>
      <c r="Y34" s="15">
        <f>MAX(1, (Calculations!$H34-Calculations!$K34) / (Calculations!$J34 + Calculations!$M34 + Calculations!$Q34))</f>
        <v>1.4154504277805737</v>
      </c>
      <c r="Z34" s="15">
        <f>MAX(1, (Calculations!$H34-Calculations!$K34) / (Calculations!$J34 + Calculations!$N34 + Calculations!$O34))</f>
        <v>2.9978016121510893</v>
      </c>
      <c r="AA34" s="15">
        <f>MAX(1, (Calculations!$H34-Calculations!$K34) / (Calculations!$J34 + Calculations!$N34 + Calculations!$P34))</f>
        <v>2.1478688368096992</v>
      </c>
      <c r="AB34" s="15">
        <f>MAX(1, (Calculations!$H34-Calculations!$K34) / (Calculations!$J34 + Calculations!$N34 + Calculations!$Q34))</f>
        <v>1.4369651296461874</v>
      </c>
      <c r="AC34" s="15"/>
      <c r="AD34" s="15"/>
    </row>
    <row r="35" spans="1:30" ht="14.25" customHeight="1" x14ac:dyDescent="0.25">
      <c r="A35" s="11" t="s">
        <v>385</v>
      </c>
      <c r="B35" s="11" t="s">
        <v>768</v>
      </c>
      <c r="C35" s="11" t="s">
        <v>46</v>
      </c>
      <c r="D35" s="15">
        <v>0.15</v>
      </c>
      <c r="E35" s="11">
        <v>2</v>
      </c>
      <c r="F35" s="11"/>
      <c r="G35" s="11">
        <f t="array" ref="G35">INDEX(Data!$X$2:$X$106,MATCH(Calculations!$A35,Data!$A$2:$A$106,0))</f>
        <v>15</v>
      </c>
      <c r="H35" s="11">
        <f t="array" ref="H35">INDEX(Data!$Y$2:$Y$106,MATCH(Calculations!$A35,Data!$A$2:$A$106,0))</f>
        <v>60</v>
      </c>
      <c r="I35" s="101">
        <f t="array" ref="I35">INDEX(Data!$F$2:$F$106,MATCH(Calculations!$A35,Data!$A$2:$A$106,0)) * Calculations!$E35 +
 INDEX(Data!$G$2:$G$106,MATCH(Calculations!$A35,Data!$A$2:$A$106,0)) * Calculations!$F35 +
INDEX(Data!$O$2:$O$106,MATCH(Calculations!$A35,Data!$A$2:$A$106,0)) * (0.6 +0.4*Calculations!$D35) * MIN(INDEX(Data!$R$2:$R$106,MATCH(Calculations!$A35,Data!$A$2:$A$106,0)), Calculations!$G35)</f>
        <v>6</v>
      </c>
      <c r="J35" s="101">
        <f>Calculations!$I35*OnFieldRight</f>
        <v>18</v>
      </c>
      <c r="K35" s="101">
        <v>15</v>
      </c>
      <c r="L35" s="101">
        <f>(Calculations!$D35*OnFieldOrb + (1-Calculations!$D35*OffFieldOrb)) * OrbsPerRun / (90/Calculations!$G35)</f>
        <v>1.5866666666666667</v>
      </c>
      <c r="M35" s="101">
        <f>(Calculations!$D35*OnFieldOrb + (1-Calculations!$D35*OffFieldOrb)) * OrbsPerRun / (150/Calculations!$G35)</f>
        <v>0.95199999999999996</v>
      </c>
      <c r="N35" s="101">
        <f>(Calculations!$D35*OnFieldOrb + (1-Calculations!$D35*OffFieldOrb)) * OrbsPerRun / (300/Calculations!$G35)</f>
        <v>0.47599999999999998</v>
      </c>
      <c r="O35" s="101">
        <f>LowEPS*Calculations!$G35</f>
        <v>5.5350000000000001</v>
      </c>
      <c r="P35" s="101">
        <f>MedEPS*Calculations!$G35</f>
        <v>11.474999999999998</v>
      </c>
      <c r="Q35" s="101">
        <f>HighEPS*Calculations!$G35</f>
        <v>21.84</v>
      </c>
      <c r="R35" s="101">
        <f>VHighEPS*Calculations!$G35</f>
        <v>36.378</v>
      </c>
      <c r="S35" s="15">
        <f>MAX(1, (Calculations!$H35-Calculations!$K35) / (Calculations!$J35 + Calculations!$L35 + Calculations!$O35))</f>
        <v>1.7912824255290918</v>
      </c>
      <c r="T35" s="15">
        <f>MAX(1, (Calculations!$H35-Calculations!$K35) / (Calculations!$J35 + Calculations!$L35 + Calculations!$P35))</f>
        <v>1.4487310189408167</v>
      </c>
      <c r="U35" s="15">
        <f>MAX(1, (Calculations!$H35-Calculations!$K35) / (Calculations!$J35 + Calculations!$L35 + Calculations!$Q35))</f>
        <v>1.0862568393949148</v>
      </c>
      <c r="V35" s="15">
        <f>MAX(1, (Calculations!$H35-Calculations!$K35) / (Calculations!$J35 + Calculations!$L35 + Calculations!$R35))</f>
        <v>1</v>
      </c>
      <c r="W35" s="15">
        <f>MAX(1, (Calculations!$H35-Calculations!$K35) / (Calculations!$J35 + Calculations!$M35 + Calculations!$O35))</f>
        <v>1.8377098052027607</v>
      </c>
      <c r="X35" s="15">
        <f>MAX(1, (Calculations!$H35-Calculations!$K35) / (Calculations!$J35 + Calculations!$M35 + Calculations!$P35))</f>
        <v>1.4789496171163772</v>
      </c>
      <c r="Y35" s="15">
        <f>MAX(1, (Calculations!$H35-Calculations!$K35) / (Calculations!$J35 + Calculations!$M35 + Calculations!$Q35))</f>
        <v>1.103157481859188</v>
      </c>
      <c r="Z35" s="15">
        <f>MAX(1, (Calculations!$H35-Calculations!$K35) / (Calculations!$J35 + Calculations!$N35 + Calculations!$O35))</f>
        <v>1.8741410186997627</v>
      </c>
      <c r="AA35" s="15">
        <f>MAX(1, (Calculations!$H35-Calculations!$K35) / (Calculations!$J35 + Calculations!$N35 + Calculations!$P35))</f>
        <v>1.5024540082134155</v>
      </c>
      <c r="AB35" s="15">
        <f>MAX(1, (Calculations!$H35-Calculations!$K35) / (Calculations!$J35 + Calculations!$N35 + Calculations!$Q35))</f>
        <v>1.1161821609286635</v>
      </c>
      <c r="AC35" s="15"/>
      <c r="AD35" s="15"/>
    </row>
    <row r="36" spans="1:30" ht="14.25" customHeight="1" x14ac:dyDescent="0.25">
      <c r="A36" s="11" t="s">
        <v>395</v>
      </c>
      <c r="B36" s="11" t="s">
        <v>766</v>
      </c>
      <c r="C36" s="11" t="s">
        <v>63</v>
      </c>
      <c r="D36" s="15">
        <v>0.1</v>
      </c>
      <c r="E36" s="11">
        <v>1</v>
      </c>
      <c r="F36" s="11"/>
      <c r="G36" s="11">
        <f t="array" ref="G36">INDEX(Data!$X$2:$X$106,MATCH(Calculations!$A36,Data!$A$2:$A$106,0))</f>
        <v>20</v>
      </c>
      <c r="H36" s="11">
        <f t="array" ref="H36">INDEX(Data!$Y$2:$Y$106,MATCH(Calculations!$A36,Data!$A$2:$A$106,0))</f>
        <v>80</v>
      </c>
      <c r="I36" s="101">
        <f t="array" ref="I36">INDEX(Data!$F$2:$F$106,MATCH(Calculations!$A36,Data!$A$2:$A$106,0)) * Calculations!$E36 +
 INDEX(Data!$G$2:$G$106,MATCH(Calculations!$A36,Data!$A$2:$A$106,0)) * Calculations!$F36 +
INDEX(Data!$O$2:$O$106,MATCH(Calculations!$A36,Data!$A$2:$A$106,0)) * (0.6 +0.4*Calculations!$D36) * MIN(INDEX(Data!$R$2:$R$106,MATCH(Calculations!$A36,Data!$A$2:$A$106,0)), Calculations!$G36)</f>
        <v>2.56</v>
      </c>
      <c r="J36" s="101">
        <f>Calculations!$I36*OnFieldRight</f>
        <v>7.68</v>
      </c>
      <c r="K36" s="101"/>
      <c r="L36" s="101">
        <f>(Calculations!$D36*OnFieldOrb + (1-Calculations!$D36*OffFieldOrb)) * OrbsPerRun / (90/Calculations!$G36)</f>
        <v>1.9288888888888893</v>
      </c>
      <c r="M36" s="101">
        <f>(Calculations!$D36*OnFieldOrb + (1-Calculations!$D36*OffFieldOrb)) * OrbsPerRun / (150/Calculations!$G36)</f>
        <v>1.1573333333333335</v>
      </c>
      <c r="N36" s="101">
        <f>(Calculations!$D36*OnFieldOrb + (1-Calculations!$D36*OffFieldOrb)) * OrbsPerRun / (300/Calculations!$G36)</f>
        <v>0.57866666666666677</v>
      </c>
      <c r="O36" s="101">
        <f>LowEPS*Calculations!$G36</f>
        <v>7.38</v>
      </c>
      <c r="P36" s="101">
        <f>MedEPS*Calculations!$G36</f>
        <v>15.299999999999997</v>
      </c>
      <c r="Q36" s="101">
        <f>HighEPS*Calculations!$G36</f>
        <v>29.119999999999997</v>
      </c>
      <c r="R36" s="101">
        <f>VHighEPS*Calculations!$G36</f>
        <v>48.503999999999998</v>
      </c>
      <c r="S36" s="15">
        <f>MAX(1, (Calculations!$H36-Calculations!$K36) / (Calculations!$J36 + Calculations!$L36 + Calculations!$O36))</f>
        <v>4.7089601046435581</v>
      </c>
      <c r="T36" s="15">
        <f>MAX(1, (Calculations!$H36-Calculations!$K36) / (Calculations!$J36 + Calculations!$L36 + Calculations!$P36))</f>
        <v>3.2117048800071375</v>
      </c>
      <c r="U36" s="15">
        <f>MAX(1, (Calculations!$H36-Calculations!$K36) / (Calculations!$J36 + Calculations!$L36 + Calculations!$Q36))</f>
        <v>2.0656414964425065</v>
      </c>
      <c r="V36" s="15">
        <f>MAX(1, (Calculations!$H36-Calculations!$K36) / (Calculations!$J36 + Calculations!$L36 + Calculations!$R36))</f>
        <v>1.3766309252489408</v>
      </c>
      <c r="W36" s="15">
        <f>MAX(1, (Calculations!$H36-Calculations!$K36) / (Calculations!$J36 + Calculations!$M36 + Calculations!$O36))</f>
        <v>4.9329935048918854</v>
      </c>
      <c r="X36" s="15">
        <f>MAX(1, (Calculations!$H36-Calculations!$K36) / (Calculations!$J36 + Calculations!$M36 + Calculations!$P36))</f>
        <v>3.3143677843451367</v>
      </c>
      <c r="Y36" s="15">
        <f>MAX(1, (Calculations!$H36-Calculations!$K36) / (Calculations!$J36 + Calculations!$M36 + Calculations!$Q36))</f>
        <v>2.1076296192215822</v>
      </c>
      <c r="Z36" s="15">
        <f>MAX(1, (Calculations!$H36-Calculations!$K36) / (Calculations!$J36 + Calculations!$N36 + Calculations!$O36))</f>
        <v>5.1155256202574817</v>
      </c>
      <c r="AA36" s="15">
        <f>MAX(1, (Calculations!$H36-Calculations!$K36) / (Calculations!$J36 + Calculations!$N36 + Calculations!$P36))</f>
        <v>3.395777916124286</v>
      </c>
      <c r="AB36" s="15">
        <f>MAX(1, (Calculations!$H36-Calculations!$K36) / (Calculations!$J36 + Calculations!$N36 + Calculations!$Q36))</f>
        <v>2.1402582578297786</v>
      </c>
      <c r="AC36" s="15"/>
      <c r="AD36" s="15"/>
    </row>
    <row r="37" spans="1:30" ht="14.25" customHeight="1" x14ac:dyDescent="0.25">
      <c r="A37" s="11" t="s">
        <v>399</v>
      </c>
      <c r="B37" s="11"/>
      <c r="C37" s="11" t="s">
        <v>46</v>
      </c>
      <c r="D37" s="15">
        <v>0.8</v>
      </c>
      <c r="E37" s="11">
        <v>2</v>
      </c>
      <c r="F37" s="11"/>
      <c r="G37" s="11">
        <f t="array" ref="G37">INDEX(Data!$X$2:$X$106,MATCH(Calculations!$A37,Data!$A$2:$A$106,0))</f>
        <v>18</v>
      </c>
      <c r="H37" s="11">
        <f t="array" ref="H37">INDEX(Data!$Y$2:$Y$106,MATCH(Calculations!$A37,Data!$A$2:$A$106,0))</f>
        <v>70</v>
      </c>
      <c r="I37" s="101">
        <f t="array" ref="I37">INDEX(Data!$F$2:$F$106,MATCH(Calculations!$A37,Data!$A$2:$A$106,0)) * Calculations!$E37 +
 INDEX(Data!$G$2:$G$106,MATCH(Calculations!$A37,Data!$A$2:$A$106,0)) * Calculations!$F37 +
INDEX(Data!$O$2:$O$106,MATCH(Calculations!$A37,Data!$A$2:$A$106,0)) * (0.6 +0.4*Calculations!$D37) * MIN(INDEX(Data!$R$2:$R$106,MATCH(Calculations!$A37,Data!$A$2:$A$106,0)), Calculations!$G37)</f>
        <v>6</v>
      </c>
      <c r="J37" s="101">
        <f>Calculations!$I37*OnFieldRight</f>
        <v>18</v>
      </c>
      <c r="K37" s="101"/>
      <c r="L37" s="101">
        <f>(Calculations!$D37*OnFieldOrb + (1-Calculations!$D37*OffFieldOrb)) * OrbsPerRun / (90/Calculations!$G37)</f>
        <v>4.088000000000001</v>
      </c>
      <c r="M37" s="101">
        <f>(Calculations!$D37*OnFieldOrb + (1-Calculations!$D37*OffFieldOrb)) * OrbsPerRun / (150/Calculations!$G37)</f>
        <v>2.4528000000000003</v>
      </c>
      <c r="N37" s="101">
        <f>(Calculations!$D37*OnFieldOrb + (1-Calculations!$D37*OffFieldOrb)) * OrbsPerRun / (300/Calculations!$G37)</f>
        <v>1.2264000000000002</v>
      </c>
      <c r="O37" s="101">
        <f>LowEPS*Calculations!$G37</f>
        <v>6.6419999999999995</v>
      </c>
      <c r="P37" s="101">
        <f>MedEPS*Calculations!$G37</f>
        <v>13.769999999999998</v>
      </c>
      <c r="Q37" s="101">
        <f>HighEPS*Calculations!$G37</f>
        <v>26.207999999999998</v>
      </c>
      <c r="R37" s="101">
        <f>VHighEPS*Calculations!$G37</f>
        <v>43.653599999999997</v>
      </c>
      <c r="S37" s="15">
        <f>MAX(1, (Calculations!$H37-Calculations!$K37) / (Calculations!$J37 + Calculations!$L37 + Calculations!$O37))</f>
        <v>2.4364775495997213</v>
      </c>
      <c r="T37" s="15">
        <f>MAX(1, (Calculations!$H37-Calculations!$K37) / (Calculations!$J37 + Calculations!$L37 + Calculations!$P37))</f>
        <v>1.952144570249317</v>
      </c>
      <c r="U37" s="15">
        <f>MAX(1, (Calculations!$H37-Calculations!$K37) / (Calculations!$J37 + Calculations!$L37 + Calculations!$Q37))</f>
        <v>1.4493953950637735</v>
      </c>
      <c r="V37" s="15">
        <f>MAX(1, (Calculations!$H37-Calculations!$K37) / (Calculations!$J37 + Calculations!$L37 + Calculations!$R37))</f>
        <v>1.0647748153376249</v>
      </c>
      <c r="W37" s="15">
        <f>MAX(1, (Calculations!$H37-Calculations!$K37) / (Calculations!$J37 + Calculations!$M37 + Calculations!$O37))</f>
        <v>2.5835215613328018</v>
      </c>
      <c r="X37" s="15">
        <f>MAX(1, (Calculations!$H37-Calculations!$K37) / (Calculations!$J37 + Calculations!$M37 + Calculations!$P37))</f>
        <v>2.0454200123894011</v>
      </c>
      <c r="Y37" s="15">
        <f>MAX(1, (Calculations!$H37-Calculations!$K37) / (Calculations!$J37 + Calculations!$M37 + Calculations!$Q37))</f>
        <v>1.5001885951376746</v>
      </c>
      <c r="Z37" s="15">
        <f>MAX(1, (Calculations!$H37-Calculations!$K37) / (Calculations!$J37 + Calculations!$N37 + Calculations!$O37))</f>
        <v>2.7060042368294908</v>
      </c>
      <c r="AA37" s="15">
        <f>MAX(1, (Calculations!$H37-Calculations!$K37) / (Calculations!$J37 + Calculations!$N37 + Calculations!$P37))</f>
        <v>2.1214435514177303</v>
      </c>
      <c r="AB37" s="15">
        <f>MAX(1, (Calculations!$H37-Calculations!$K37) / (Calculations!$J37 + Calculations!$N37 + Calculations!$Q37))</f>
        <v>1.5406828306305356</v>
      </c>
      <c r="AC37" s="15"/>
      <c r="AD37" s="15"/>
    </row>
    <row r="38" spans="1:30" ht="14.25" customHeight="1" x14ac:dyDescent="0.25">
      <c r="A38" s="11" t="s">
        <v>402</v>
      </c>
      <c r="B38" s="11"/>
      <c r="C38" s="11" t="s">
        <v>56</v>
      </c>
      <c r="D38" s="15">
        <v>0.1</v>
      </c>
      <c r="E38" s="11">
        <v>1</v>
      </c>
      <c r="F38" s="11"/>
      <c r="G38" s="11">
        <f t="array" ref="G38">INDEX(Data!$X$2:$X$106,MATCH(Calculations!$A38,Data!$A$2:$A$106,0))</f>
        <v>20</v>
      </c>
      <c r="H38" s="11">
        <f t="array" ref="H38">INDEX(Data!$Y$2:$Y$106,MATCH(Calculations!$A38,Data!$A$2:$A$106,0))</f>
        <v>80</v>
      </c>
      <c r="I38" s="101">
        <f t="array" ref="I38">INDEX(Data!$F$2:$F$106,MATCH(Calculations!$A38,Data!$A$2:$A$106,0)) * Calculations!$E38 +
 INDEX(Data!$G$2:$G$106,MATCH(Calculations!$A38,Data!$A$2:$A$106,0)) * Calculations!$F38 +
INDEX(Data!$O$2:$O$106,MATCH(Calculations!$A38,Data!$A$2:$A$106,0)) * (0.6 +0.4*Calculations!$D38) * MIN(INDEX(Data!$R$2:$R$106,MATCH(Calculations!$A38,Data!$A$2:$A$106,0)), Calculations!$G38)</f>
        <v>5</v>
      </c>
      <c r="J38" s="101">
        <f>Calculations!$I38*OnFieldRight</f>
        <v>15</v>
      </c>
      <c r="K38" s="101"/>
      <c r="L38" s="101">
        <f>(Calculations!$D38*OnFieldOrb + (1-Calculations!$D38*OffFieldOrb)) * OrbsPerRun / (90/Calculations!$G38)</f>
        <v>1.9288888888888893</v>
      </c>
      <c r="M38" s="101">
        <f>(Calculations!$D38*OnFieldOrb + (1-Calculations!$D38*OffFieldOrb)) * OrbsPerRun / (150/Calculations!$G38)</f>
        <v>1.1573333333333335</v>
      </c>
      <c r="N38" s="101">
        <f>(Calculations!$D38*OnFieldOrb + (1-Calculations!$D38*OffFieldOrb)) * OrbsPerRun / (300/Calculations!$G38)</f>
        <v>0.57866666666666677</v>
      </c>
      <c r="O38" s="101">
        <f>LowEPS*Calculations!$G38</f>
        <v>7.38</v>
      </c>
      <c r="P38" s="101">
        <f>MedEPS*Calculations!$G38</f>
        <v>15.299999999999997</v>
      </c>
      <c r="Q38" s="101">
        <f>HighEPS*Calculations!$G38</f>
        <v>29.119999999999997</v>
      </c>
      <c r="R38" s="101">
        <f>VHighEPS*Calculations!$G38</f>
        <v>48.503999999999998</v>
      </c>
      <c r="S38" s="15">
        <f>MAX(1, (Calculations!$H38-Calculations!$K38) / (Calculations!$J38 + Calculations!$L38 + Calculations!$O38))</f>
        <v>3.2909772374074415</v>
      </c>
      <c r="T38" s="15">
        <f>MAX(1, (Calculations!$H38-Calculations!$K38) / (Calculations!$J38 + Calculations!$L38 + Calculations!$P38))</f>
        <v>2.4822450527477073</v>
      </c>
      <c r="U38" s="15">
        <f>MAX(1, (Calculations!$H38-Calculations!$K38) / (Calculations!$J38 + Calculations!$L38 + Calculations!$Q38))</f>
        <v>1.7372840459415118</v>
      </c>
      <c r="V38" s="15">
        <f>MAX(1, (Calculations!$H38-Calculations!$K38) / (Calculations!$J38 + Calculations!$L38 + Calculations!$R38))</f>
        <v>1.2226267456392981</v>
      </c>
      <c r="W38" s="15">
        <f>MAX(1, (Calculations!$H38-Calculations!$K38) / (Calculations!$J38 + Calculations!$M38 + Calculations!$O38))</f>
        <v>3.3988557185747466</v>
      </c>
      <c r="X38" s="15">
        <f>MAX(1, (Calculations!$H38-Calculations!$K38) / (Calculations!$J38 + Calculations!$M38 + Calculations!$P38))</f>
        <v>2.5431271987453909</v>
      </c>
      <c r="Y38" s="15">
        <f>MAX(1, (Calculations!$H38-Calculations!$K38) / (Calculations!$J38 + Calculations!$M38 + Calculations!$Q38))</f>
        <v>1.766888509335061</v>
      </c>
      <c r="Z38" s="15">
        <f>MAX(1, (Calculations!$H38-Calculations!$K38) / (Calculations!$J38 + Calculations!$N38 + Calculations!$O38))</f>
        <v>3.4845229107381384</v>
      </c>
      <c r="AA38" s="15">
        <f>MAX(1, (Calculations!$H38-Calculations!$K38) / (Calculations!$J38 + Calculations!$N38 + Calculations!$P38))</f>
        <v>2.5907854397858285</v>
      </c>
      <c r="AB38" s="15">
        <f>MAX(1, (Calculations!$H38-Calculations!$K38) / (Calculations!$J38 + Calculations!$N38 + Calculations!$Q38))</f>
        <v>1.7897625581672831</v>
      </c>
      <c r="AC38" s="15"/>
      <c r="AD38" s="15"/>
    </row>
    <row r="39" spans="1:30" ht="14.25" customHeight="1" x14ac:dyDescent="0.25">
      <c r="A39" s="11" t="s">
        <v>402</v>
      </c>
      <c r="B39" s="11" t="s">
        <v>771</v>
      </c>
      <c r="C39" s="11" t="s">
        <v>56</v>
      </c>
      <c r="D39" s="15">
        <v>0.1</v>
      </c>
      <c r="E39" s="11">
        <v>2</v>
      </c>
      <c r="F39" s="11"/>
      <c r="G39" s="11">
        <f t="array" ref="G39">INDEX(Data!$X$2:$X$106,MATCH(Calculations!$A39,Data!$A$2:$A$106,0))</f>
        <v>20</v>
      </c>
      <c r="H39" s="11">
        <f t="array" ref="H39">INDEX(Data!$Y$2:$Y$106,MATCH(Calculations!$A39,Data!$A$2:$A$106,0))</f>
        <v>80</v>
      </c>
      <c r="I39" s="101">
        <f t="array" ref="I39">INDEX(Data!$F$2:$F$106,MATCH(Calculations!$A39,Data!$A$2:$A$106,0)) * Calculations!$E39 +
 INDEX(Data!$G$2:$G$106,MATCH(Calculations!$A39,Data!$A$2:$A$106,0)) * Calculations!$F39 +
INDEX(Data!$O$2:$O$106,MATCH(Calculations!$A39,Data!$A$2:$A$106,0)) * (0.6 +0.4*Calculations!$D39) * MIN(INDEX(Data!$R$2:$R$106,MATCH(Calculations!$A39,Data!$A$2:$A$106,0)), Calculations!$G39)</f>
        <v>10</v>
      </c>
      <c r="J39" s="101">
        <f>Calculations!$I39*OnFieldRight</f>
        <v>30</v>
      </c>
      <c r="K39" s="101"/>
      <c r="L39" s="101">
        <f>(Calculations!$D39*OnFieldOrb + (1-Calculations!$D39*OffFieldOrb)) * OrbsPerRun / (90/Calculations!$G39)</f>
        <v>1.9288888888888893</v>
      </c>
      <c r="M39" s="101">
        <f>(Calculations!$D39*OnFieldOrb + (1-Calculations!$D39*OffFieldOrb)) * OrbsPerRun / (150/Calculations!$G39)</f>
        <v>1.1573333333333335</v>
      </c>
      <c r="N39" s="101">
        <f>(Calculations!$D39*OnFieldOrb + (1-Calculations!$D39*OffFieldOrb)) * OrbsPerRun / (300/Calculations!$G39)</f>
        <v>0.57866666666666677</v>
      </c>
      <c r="O39" s="101">
        <f>LowEPS*Calculations!$G39</f>
        <v>7.38</v>
      </c>
      <c r="P39" s="101">
        <f>MedEPS*Calculations!$G39</f>
        <v>15.299999999999997</v>
      </c>
      <c r="Q39" s="101">
        <f>HighEPS*Calculations!$G39</f>
        <v>29.119999999999997</v>
      </c>
      <c r="R39" s="101">
        <f>VHighEPS*Calculations!$G39</f>
        <v>48.503999999999998</v>
      </c>
      <c r="S39" s="15">
        <f>MAX(1, (Calculations!$H39-Calculations!$K39) / (Calculations!$J39 + Calculations!$L39 + Calculations!$O39))</f>
        <v>2.0351630957091977</v>
      </c>
      <c r="T39" s="15">
        <f>MAX(1, (Calculations!$H39-Calculations!$K39) / (Calculations!$J39 + Calculations!$L39 + Calculations!$P39))</f>
        <v>1.6938785112689974</v>
      </c>
      <c r="U39" s="15">
        <f>MAX(1, (Calculations!$H39-Calculations!$K39) / (Calculations!$J39 + Calculations!$L39 + Calculations!$Q39))</f>
        <v>1.3104251601630752</v>
      </c>
      <c r="V39" s="15">
        <f>MAX(1, (Calculations!$H39-Calculations!$K39) / (Calculations!$J39 + Calculations!$L39 + Calculations!$R39))</f>
        <v>1</v>
      </c>
      <c r="W39" s="15">
        <f>MAX(1, (Calculations!$H39-Calculations!$K39) / (Calculations!$J39 + Calculations!$M39 + Calculations!$O39))</f>
        <v>2.0759090751825067</v>
      </c>
      <c r="X39" s="15">
        <f>MAX(1, (Calculations!$H39-Calculations!$K39) / (Calculations!$J39 + Calculations!$M39 + Calculations!$P39))</f>
        <v>1.7220101598599433</v>
      </c>
      <c r="Y39" s="15">
        <f>MAX(1, (Calculations!$H39-Calculations!$K39) / (Calculations!$J39 + Calculations!$M39 + Calculations!$Q39))</f>
        <v>1.3271987258892233</v>
      </c>
      <c r="Z39" s="15">
        <f>MAX(1, (Calculations!$H39-Calculations!$K39) / (Calculations!$J39 + Calculations!$N39 + Calculations!$O39))</f>
        <v>2.1075555867786013</v>
      </c>
      <c r="AA39" s="15">
        <f>MAX(1, (Calculations!$H39-Calculations!$K39) / (Calculations!$J39 + Calculations!$N39 + Calculations!$P39))</f>
        <v>1.7437298381237469</v>
      </c>
      <c r="AB39" s="15">
        <f>MAX(1, (Calculations!$H39-Calculations!$K39) / (Calculations!$J39 + Calculations!$N39 + Calculations!$Q39))</f>
        <v>1.3400634296690044</v>
      </c>
      <c r="AC39" s="15"/>
      <c r="AD39" s="15"/>
    </row>
    <row r="40" spans="1:30" ht="14.25" customHeight="1" x14ac:dyDescent="0.25">
      <c r="A40" s="11" t="s">
        <v>405</v>
      </c>
      <c r="B40" s="11"/>
      <c r="C40" s="11" t="s">
        <v>63</v>
      </c>
      <c r="D40" s="15">
        <v>0.1</v>
      </c>
      <c r="E40" s="11">
        <v>1</v>
      </c>
      <c r="F40" s="11"/>
      <c r="G40" s="11">
        <f t="array" ref="G40">INDEX(Data!$X$2:$X$106,MATCH(Calculations!$A40,Data!$A$2:$A$106,0))</f>
        <v>15</v>
      </c>
      <c r="H40" s="11">
        <f t="array" ref="H40">INDEX(Data!$Y$2:$Y$106,MATCH(Calculations!$A40,Data!$A$2:$A$106,0))</f>
        <v>60</v>
      </c>
      <c r="I40" s="101">
        <f t="array" ref="I40">INDEX(Data!$F$2:$F$106,MATCH(Calculations!$A40,Data!$A$2:$A$106,0)) * Calculations!$E40 +
 INDEX(Data!$G$2:$G$106,MATCH(Calculations!$A40,Data!$A$2:$A$106,0)) * Calculations!$F40 +
INDEX(Data!$O$2:$O$106,MATCH(Calculations!$A40,Data!$A$2:$A$106,0)) * (0.6 +0.4*Calculations!$D40) * MIN(INDEX(Data!$R$2:$R$106,MATCH(Calculations!$A40,Data!$A$2:$A$106,0)), Calculations!$G40)</f>
        <v>4</v>
      </c>
      <c r="J40" s="101">
        <f>Calculations!$I40*OnFieldRight</f>
        <v>12</v>
      </c>
      <c r="K40" s="101"/>
      <c r="L40" s="101">
        <f>(Calculations!$D40*OnFieldOrb + (1-Calculations!$D40*OffFieldOrb)) * OrbsPerRun / (90/Calculations!$G40)</f>
        <v>1.446666666666667</v>
      </c>
      <c r="M40" s="101">
        <f>(Calculations!$D40*OnFieldOrb + (1-Calculations!$D40*OffFieldOrb)) * OrbsPerRun / (150/Calculations!$G40)</f>
        <v>0.8680000000000001</v>
      </c>
      <c r="N40" s="101">
        <f>(Calculations!$D40*OnFieldOrb + (1-Calculations!$D40*OffFieldOrb)) * OrbsPerRun / (300/Calculations!$G40)</f>
        <v>0.43400000000000005</v>
      </c>
      <c r="O40" s="101">
        <f>LowEPS*Calculations!$G40</f>
        <v>5.5350000000000001</v>
      </c>
      <c r="P40" s="101">
        <f>MedEPS*Calculations!$G40</f>
        <v>11.474999999999998</v>
      </c>
      <c r="Q40" s="101">
        <f>HighEPS*Calculations!$G40</f>
        <v>21.84</v>
      </c>
      <c r="R40" s="101">
        <f>VHighEPS*Calculations!$G40</f>
        <v>36.378</v>
      </c>
      <c r="S40" s="15">
        <f>MAX(1, (Calculations!$H40-Calculations!$K40) / (Calculations!$J40 + Calculations!$L40 + Calculations!$O40))</f>
        <v>3.1609447712705236</v>
      </c>
      <c r="T40" s="15">
        <f>MAX(1, (Calculations!$H40-Calculations!$K40) / (Calculations!$J40 + Calculations!$L40 + Calculations!$P40))</f>
        <v>2.4075436367284158</v>
      </c>
      <c r="U40" s="15">
        <f>MAX(1, (Calculations!$H40-Calculations!$K40) / (Calculations!$J40 + Calculations!$L40 + Calculations!$Q40))</f>
        <v>1.7003589646703192</v>
      </c>
      <c r="V40" s="15">
        <f>MAX(1, (Calculations!$H40-Calculations!$K40) / (Calculations!$J40 + Calculations!$L40 + Calculations!$R40))</f>
        <v>1.2042228079799833</v>
      </c>
      <c r="W40" s="15">
        <f>MAX(1, (Calculations!$H40-Calculations!$K40) / (Calculations!$J40 + Calculations!$M40 + Calculations!$O40))</f>
        <v>3.2603379883714614</v>
      </c>
      <c r="X40" s="15">
        <f>MAX(1, (Calculations!$H40-Calculations!$K40) / (Calculations!$J40 + Calculations!$M40 + Calculations!$P40))</f>
        <v>2.4647742677566451</v>
      </c>
      <c r="Y40" s="15">
        <f>MAX(1, (Calculations!$H40-Calculations!$K40) / (Calculations!$J40 + Calculations!$M40 + Calculations!$Q40))</f>
        <v>1.7287080788290885</v>
      </c>
      <c r="Z40" s="15">
        <f>MAX(1, (Calculations!$H40-Calculations!$K40) / (Calculations!$J40 + Calculations!$N40 + Calculations!$O40))</f>
        <v>3.3390839779620456</v>
      </c>
      <c r="AA40" s="15">
        <f>MAX(1, (Calculations!$H40-Calculations!$K40) / (Calculations!$J40 + Calculations!$N40 + Calculations!$P40))</f>
        <v>2.5095152453051153</v>
      </c>
      <c r="AB40" s="15">
        <f>MAX(1, (Calculations!$H40-Calculations!$K40) / (Calculations!$J40 + Calculations!$N40 + Calculations!$Q40))</f>
        <v>1.7505981210246835</v>
      </c>
      <c r="AC40" s="15"/>
      <c r="AD40" s="15"/>
    </row>
    <row r="41" spans="1:30" ht="14.25" customHeight="1" x14ac:dyDescent="0.25">
      <c r="A41" s="11" t="s">
        <v>420</v>
      </c>
      <c r="B41" s="11"/>
      <c r="C41" s="11" t="s">
        <v>54</v>
      </c>
      <c r="D41" s="15">
        <v>0.1</v>
      </c>
      <c r="E41" s="11"/>
      <c r="F41" s="11"/>
      <c r="G41" s="11">
        <f t="array" ref="G41">INDEX(Data!$X$2:$X$106,MATCH(Calculations!$A41,Data!$A$2:$A$106,0))</f>
        <v>12</v>
      </c>
      <c r="H41" s="11">
        <f t="array" ref="H41">INDEX(Data!$Y$2:$Y$106,MATCH(Calculations!$A41,Data!$A$2:$A$106,0))</f>
        <v>40</v>
      </c>
      <c r="I41" s="101">
        <f t="array" ref="I41">INDEX(Data!$F$2:$F$106,MATCH(Calculations!$A41,Data!$A$2:$A$106,0)) * Calculations!$E41 +
 INDEX(Data!$G$2:$G$106,MATCH(Calculations!$A41,Data!$A$2:$A$106,0)) * Calculations!$F41 +
INDEX(Data!$O$2:$O$106,MATCH(Calculations!$A41,Data!$A$2:$A$106,0)) * (0.6 +0.4*Calculations!$D41) * MIN(INDEX(Data!$R$2:$R$106,MATCH(Calculations!$A41,Data!$A$2:$A$106,0)), Calculations!$G41)</f>
        <v>1.92</v>
      </c>
      <c r="J41" s="101">
        <f>Calculations!$I41*OnFieldRight</f>
        <v>5.76</v>
      </c>
      <c r="K41" s="101"/>
      <c r="L41" s="101">
        <f>(Calculations!$D41*OnFieldOrb + (1-Calculations!$D41*OffFieldOrb)) * OrbsPerRun / (90/Calculations!$G41)</f>
        <v>1.1573333333333335</v>
      </c>
      <c r="M41" s="101">
        <f>(Calculations!$D41*OnFieldOrb + (1-Calculations!$D41*OffFieldOrb)) * OrbsPerRun / (150/Calculations!$G41)</f>
        <v>0.69440000000000013</v>
      </c>
      <c r="N41" s="101">
        <f>(Calculations!$D41*OnFieldOrb + (1-Calculations!$D41*OffFieldOrb)) * OrbsPerRun / (300/Calculations!$G41)</f>
        <v>0.34720000000000006</v>
      </c>
      <c r="O41" s="101">
        <f>LowEPS*Calculations!$G41</f>
        <v>4.4279999999999999</v>
      </c>
      <c r="P41" s="101">
        <f>MedEPS*Calculations!$G41</f>
        <v>9.18</v>
      </c>
      <c r="Q41" s="101">
        <f>HighEPS*Calculations!$G41</f>
        <v>17.472000000000001</v>
      </c>
      <c r="R41" s="101">
        <f>VHighEPS*Calculations!$G41</f>
        <v>29.102399999999996</v>
      </c>
      <c r="S41" s="15">
        <f>MAX(1, (Calculations!$H41-Calculations!$K41) / (Calculations!$J41 + Calculations!$L41 + Calculations!$O41))</f>
        <v>3.5256786931484312</v>
      </c>
      <c r="T41" s="15">
        <f>MAX(1, (Calculations!$H41-Calculations!$K41) / (Calculations!$J41 + Calculations!$L41 + Calculations!$P41))</f>
        <v>2.4848836246169141</v>
      </c>
      <c r="U41" s="15">
        <f>MAX(1, (Calculations!$H41-Calculations!$K41) / (Calculations!$J41 + Calculations!$L41 + Calculations!$Q41))</f>
        <v>1.6400612289525476</v>
      </c>
      <c r="V41" s="15">
        <f>MAX(1, (Calculations!$H41-Calculations!$K41) / (Calculations!$J41 + Calculations!$L41 + Calculations!$R41))</f>
        <v>1.1105023912818162</v>
      </c>
      <c r="W41" s="15">
        <f>MAX(1, (Calculations!$H41-Calculations!$K41) / (Calculations!$J41 + Calculations!$M41 + Calculations!$O41))</f>
        <v>3.675659780930677</v>
      </c>
      <c r="X41" s="15">
        <f>MAX(1, (Calculations!$H41-Calculations!$K41) / (Calculations!$J41 + Calculations!$M41 + Calculations!$P41))</f>
        <v>2.5584608299646932</v>
      </c>
      <c r="Y41" s="15">
        <f>MAX(1, (Calculations!$H41-Calculations!$K41) / (Calculations!$J41 + Calculations!$M41 + Calculations!$Q41))</f>
        <v>1.6717935000668718</v>
      </c>
      <c r="Z41" s="15">
        <f>MAX(1, (Calculations!$H41-Calculations!$K41) / (Calculations!$J41 + Calculations!$N41 + Calculations!$O41))</f>
        <v>3.7967955045941228</v>
      </c>
      <c r="AA41" s="15">
        <f>MAX(1, (Calculations!$H41-Calculations!$K41) / (Calculations!$J41 + Calculations!$N41 + Calculations!$P41))</f>
        <v>2.6165681092678845</v>
      </c>
      <c r="AB41" s="15">
        <f>MAX(1, (Calculations!$H41-Calculations!$K41) / (Calculations!$J41 + Calculations!$N41 + Calculations!$Q41))</f>
        <v>1.6964103956029042</v>
      </c>
      <c r="AC41" s="15"/>
      <c r="AD41" s="15"/>
    </row>
    <row r="42" spans="1:30" ht="14.25" customHeight="1" x14ac:dyDescent="0.25">
      <c r="D42" s="15"/>
    </row>
    <row r="43" spans="1:30" ht="14.25" customHeight="1" x14ac:dyDescent="0.25">
      <c r="D43" s="15"/>
    </row>
    <row r="44" spans="1:30" ht="14.25" customHeight="1" x14ac:dyDescent="0.25">
      <c r="D44" s="15"/>
    </row>
    <row r="45" spans="1:30" ht="14.25" customHeight="1" x14ac:dyDescent="0.25">
      <c r="D45" s="15"/>
    </row>
    <row r="46" spans="1:30" ht="14.25" customHeight="1" x14ac:dyDescent="0.25">
      <c r="D46" s="15"/>
    </row>
    <row r="47" spans="1:30" ht="14.25" customHeight="1" x14ac:dyDescent="0.25">
      <c r="D47" s="15"/>
    </row>
    <row r="48" spans="1:30" ht="14.25" customHeight="1" x14ac:dyDescent="0.25">
      <c r="D48" s="15"/>
    </row>
    <row r="49" spans="4:4" ht="14.25" customHeight="1" x14ac:dyDescent="0.25">
      <c r="D49" s="15"/>
    </row>
    <row r="50" spans="4:4" ht="14.25" customHeight="1" x14ac:dyDescent="0.25">
      <c r="D50" s="15"/>
    </row>
    <row r="51" spans="4:4" ht="14.25" customHeight="1" x14ac:dyDescent="0.25">
      <c r="D51" s="15"/>
    </row>
    <row r="52" spans="4:4" ht="14.25" customHeight="1" x14ac:dyDescent="0.25">
      <c r="D52" s="15"/>
    </row>
    <row r="53" spans="4:4" ht="14.25" customHeight="1" x14ac:dyDescent="0.25">
      <c r="D53" s="15"/>
    </row>
    <row r="54" spans="4:4" ht="14.25" customHeight="1" x14ac:dyDescent="0.25">
      <c r="D54" s="15"/>
    </row>
    <row r="55" spans="4:4" ht="14.25" customHeight="1" x14ac:dyDescent="0.25">
      <c r="D55" s="15"/>
    </row>
    <row r="56" spans="4:4" ht="14.25" customHeight="1" x14ac:dyDescent="0.25">
      <c r="D56" s="15"/>
    </row>
    <row r="57" spans="4:4" ht="14.25" customHeight="1" x14ac:dyDescent="0.25">
      <c r="D57" s="15"/>
    </row>
    <row r="58" spans="4:4" ht="14.25" customHeight="1" x14ac:dyDescent="0.25">
      <c r="D58" s="15"/>
    </row>
    <row r="59" spans="4:4" ht="14.25" customHeight="1" x14ac:dyDescent="0.25">
      <c r="D59" s="15"/>
    </row>
    <row r="60" spans="4:4" ht="14.25" customHeight="1" x14ac:dyDescent="0.25">
      <c r="D60" s="15"/>
    </row>
    <row r="61" spans="4:4" ht="14.25" customHeight="1" x14ac:dyDescent="0.25">
      <c r="D61" s="15"/>
    </row>
    <row r="62" spans="4:4" ht="14.25" customHeight="1" x14ac:dyDescent="0.25">
      <c r="D62" s="15"/>
    </row>
    <row r="63" spans="4:4" ht="14.25" customHeight="1" x14ac:dyDescent="0.25">
      <c r="D63" s="15"/>
    </row>
    <row r="64" spans="4:4" ht="14.25" customHeight="1" x14ac:dyDescent="0.25">
      <c r="D64" s="15"/>
    </row>
    <row r="65" spans="4:4" ht="14.25" customHeight="1" x14ac:dyDescent="0.25">
      <c r="D65" s="15"/>
    </row>
    <row r="66" spans="4:4" ht="14.25" customHeight="1" x14ac:dyDescent="0.25">
      <c r="D66" s="15"/>
    </row>
    <row r="67" spans="4:4" ht="14.25" customHeight="1" x14ac:dyDescent="0.25">
      <c r="D67" s="15"/>
    </row>
    <row r="68" spans="4:4" ht="14.25" customHeight="1" x14ac:dyDescent="0.25">
      <c r="D68" s="15"/>
    </row>
    <row r="69" spans="4:4" ht="14.25" customHeight="1" x14ac:dyDescent="0.25">
      <c r="D69" s="15"/>
    </row>
    <row r="70" spans="4:4" ht="14.25" customHeight="1" x14ac:dyDescent="0.25">
      <c r="D70" s="15"/>
    </row>
    <row r="71" spans="4:4" ht="14.25" customHeight="1" x14ac:dyDescent="0.25">
      <c r="D71" s="15"/>
    </row>
    <row r="72" spans="4:4" ht="14.25" customHeight="1" x14ac:dyDescent="0.25">
      <c r="D72" s="15"/>
    </row>
    <row r="73" spans="4:4" ht="14.25" customHeight="1" x14ac:dyDescent="0.25">
      <c r="D73" s="15"/>
    </row>
    <row r="74" spans="4:4" ht="14.25" customHeight="1" x14ac:dyDescent="0.25">
      <c r="D74" s="15"/>
    </row>
    <row r="75" spans="4:4" ht="14.25" customHeight="1" x14ac:dyDescent="0.25">
      <c r="D75" s="15"/>
    </row>
    <row r="76" spans="4:4" ht="14.25" customHeight="1" x14ac:dyDescent="0.25">
      <c r="D76" s="15"/>
    </row>
    <row r="77" spans="4:4" ht="14.25" customHeight="1" x14ac:dyDescent="0.25">
      <c r="D77" s="15"/>
    </row>
    <row r="78" spans="4:4" ht="14.25" customHeight="1" x14ac:dyDescent="0.25">
      <c r="D78" s="15"/>
    </row>
    <row r="79" spans="4:4" ht="14.25" customHeight="1" x14ac:dyDescent="0.25">
      <c r="D79" s="15"/>
    </row>
    <row r="80" spans="4:4" ht="14.25" customHeight="1" x14ac:dyDescent="0.25">
      <c r="D80" s="15"/>
    </row>
    <row r="81" spans="4:4" ht="14.25" customHeight="1" x14ac:dyDescent="0.25">
      <c r="D81" s="15"/>
    </row>
    <row r="82" spans="4:4" ht="14.25" customHeight="1" x14ac:dyDescent="0.25">
      <c r="D82" s="15"/>
    </row>
    <row r="83" spans="4:4" ht="14.25" customHeight="1" x14ac:dyDescent="0.25">
      <c r="D83" s="15"/>
    </row>
    <row r="84" spans="4:4" ht="14.25" customHeight="1" x14ac:dyDescent="0.25">
      <c r="D84" s="15"/>
    </row>
    <row r="85" spans="4:4" ht="14.25" customHeight="1" x14ac:dyDescent="0.25">
      <c r="D85" s="15"/>
    </row>
    <row r="86" spans="4:4" ht="14.25" customHeight="1" x14ac:dyDescent="0.25">
      <c r="D86" s="15"/>
    </row>
    <row r="87" spans="4:4" ht="14.25" customHeight="1" x14ac:dyDescent="0.25">
      <c r="D87" s="15"/>
    </row>
    <row r="88" spans="4:4" ht="14.25" customHeight="1" x14ac:dyDescent="0.25">
      <c r="D88" s="15"/>
    </row>
    <row r="89" spans="4:4" ht="14.25" customHeight="1" x14ac:dyDescent="0.25">
      <c r="D89" s="15"/>
    </row>
    <row r="90" spans="4:4" ht="14.25" customHeight="1" x14ac:dyDescent="0.25">
      <c r="D90" s="15"/>
    </row>
    <row r="91" spans="4:4" ht="14.25" customHeight="1" x14ac:dyDescent="0.25">
      <c r="D91" s="15"/>
    </row>
    <row r="92" spans="4:4" ht="14.25" customHeight="1" x14ac:dyDescent="0.25">
      <c r="D92" s="15"/>
    </row>
    <row r="93" spans="4:4" ht="14.25" customHeight="1" x14ac:dyDescent="0.25">
      <c r="D93" s="15"/>
    </row>
    <row r="94" spans="4:4" ht="14.25" customHeight="1" x14ac:dyDescent="0.25">
      <c r="D94" s="15"/>
    </row>
    <row r="95" spans="4:4" ht="14.25" customHeight="1" x14ac:dyDescent="0.25">
      <c r="D95" s="15"/>
    </row>
    <row r="96" spans="4:4" ht="14.25" customHeight="1" x14ac:dyDescent="0.25">
      <c r="D96" s="15"/>
    </row>
    <row r="97" spans="4:4" ht="14.25" customHeight="1" x14ac:dyDescent="0.25">
      <c r="D97" s="15"/>
    </row>
    <row r="98" spans="4:4" ht="14.25" customHeight="1" x14ac:dyDescent="0.25">
      <c r="D98" s="15"/>
    </row>
    <row r="99" spans="4:4" ht="14.25" customHeight="1" x14ac:dyDescent="0.25">
      <c r="D99" s="15"/>
    </row>
    <row r="100" spans="4:4" ht="14.25" customHeight="1" x14ac:dyDescent="0.25">
      <c r="D100" s="15"/>
    </row>
    <row r="101" spans="4:4" ht="14.25" customHeight="1" x14ac:dyDescent="0.25">
      <c r="D101" s="15"/>
    </row>
    <row r="102" spans="4:4" ht="14.25" customHeight="1" x14ac:dyDescent="0.25">
      <c r="D102" s="15"/>
    </row>
    <row r="103" spans="4:4" ht="14.25" customHeight="1" x14ac:dyDescent="0.25">
      <c r="D103" s="15"/>
    </row>
    <row r="104" spans="4:4" ht="14.25" customHeight="1" x14ac:dyDescent="0.25">
      <c r="D104" s="15"/>
    </row>
    <row r="105" spans="4:4" ht="14.25" customHeight="1" x14ac:dyDescent="0.25">
      <c r="D105" s="15"/>
    </row>
    <row r="106" spans="4:4" ht="14.25" customHeight="1" x14ac:dyDescent="0.25">
      <c r="D106" s="15"/>
    </row>
    <row r="107" spans="4:4" ht="14.25" customHeight="1" x14ac:dyDescent="0.25">
      <c r="D107" s="15"/>
    </row>
    <row r="108" spans="4:4" ht="14.25" customHeight="1" x14ac:dyDescent="0.25">
      <c r="D108" s="15"/>
    </row>
    <row r="109" spans="4:4" ht="14.25" customHeight="1" x14ac:dyDescent="0.25">
      <c r="D109" s="15"/>
    </row>
    <row r="110" spans="4:4" ht="14.25" customHeight="1" x14ac:dyDescent="0.25">
      <c r="D110" s="15"/>
    </row>
    <row r="111" spans="4:4" ht="14.25" customHeight="1" x14ac:dyDescent="0.25">
      <c r="D111" s="15"/>
    </row>
    <row r="112" spans="4:4" ht="14.25" customHeight="1" x14ac:dyDescent="0.25">
      <c r="D112" s="15"/>
    </row>
    <row r="113" spans="4:4" ht="14.25" customHeight="1" x14ac:dyDescent="0.25">
      <c r="D113" s="15"/>
    </row>
    <row r="114" spans="4:4" ht="14.25" customHeight="1" x14ac:dyDescent="0.25">
      <c r="D114" s="15"/>
    </row>
    <row r="115" spans="4:4" ht="14.25" customHeight="1" x14ac:dyDescent="0.25">
      <c r="D115" s="15"/>
    </row>
    <row r="116" spans="4:4" ht="14.25" customHeight="1" x14ac:dyDescent="0.25">
      <c r="D116" s="15"/>
    </row>
    <row r="117" spans="4:4" ht="14.25" customHeight="1" x14ac:dyDescent="0.25">
      <c r="D117" s="15"/>
    </row>
    <row r="118" spans="4:4" ht="14.25" customHeight="1" x14ac:dyDescent="0.25">
      <c r="D118" s="15"/>
    </row>
    <row r="119" spans="4:4" ht="14.25" customHeight="1" x14ac:dyDescent="0.25">
      <c r="D119" s="15"/>
    </row>
    <row r="120" spans="4:4" ht="14.25" customHeight="1" x14ac:dyDescent="0.25">
      <c r="D120" s="15"/>
    </row>
    <row r="121" spans="4:4" ht="14.25" customHeight="1" x14ac:dyDescent="0.25">
      <c r="D121" s="15"/>
    </row>
    <row r="122" spans="4:4" ht="14.25" customHeight="1" x14ac:dyDescent="0.25">
      <c r="D122" s="15"/>
    </row>
    <row r="123" spans="4:4" ht="14.25" customHeight="1" x14ac:dyDescent="0.25">
      <c r="D123" s="15"/>
    </row>
    <row r="124" spans="4:4" ht="14.25" customHeight="1" x14ac:dyDescent="0.25">
      <c r="D124" s="15"/>
    </row>
    <row r="125" spans="4:4" ht="14.25" customHeight="1" x14ac:dyDescent="0.25">
      <c r="D125" s="15"/>
    </row>
    <row r="126" spans="4:4" ht="14.25" customHeight="1" x14ac:dyDescent="0.25">
      <c r="D126" s="15"/>
    </row>
    <row r="127" spans="4:4" ht="14.25" customHeight="1" x14ac:dyDescent="0.25">
      <c r="D127" s="15"/>
    </row>
    <row r="128" spans="4:4" ht="14.25" customHeight="1" x14ac:dyDescent="0.25">
      <c r="D128" s="15"/>
    </row>
    <row r="129" spans="4:4" ht="14.25" customHeight="1" x14ac:dyDescent="0.25">
      <c r="D129" s="15"/>
    </row>
    <row r="130" spans="4:4" ht="14.25" customHeight="1" x14ac:dyDescent="0.25">
      <c r="D130" s="15"/>
    </row>
    <row r="131" spans="4:4" ht="14.25" customHeight="1" x14ac:dyDescent="0.25">
      <c r="D131" s="15"/>
    </row>
    <row r="132" spans="4:4" ht="14.25" customHeight="1" x14ac:dyDescent="0.25">
      <c r="D132" s="15"/>
    </row>
    <row r="133" spans="4:4" ht="14.25" customHeight="1" x14ac:dyDescent="0.25">
      <c r="D133" s="15"/>
    </row>
    <row r="134" spans="4:4" ht="14.25" customHeight="1" x14ac:dyDescent="0.25">
      <c r="D134" s="15"/>
    </row>
    <row r="135" spans="4:4" ht="14.25" customHeight="1" x14ac:dyDescent="0.25">
      <c r="D135" s="15"/>
    </row>
    <row r="136" spans="4:4" ht="14.25" customHeight="1" x14ac:dyDescent="0.25">
      <c r="D136" s="15"/>
    </row>
    <row r="137" spans="4:4" ht="14.25" customHeight="1" x14ac:dyDescent="0.25">
      <c r="D137" s="15"/>
    </row>
    <row r="138" spans="4:4" ht="14.25" customHeight="1" x14ac:dyDescent="0.25">
      <c r="D138" s="15"/>
    </row>
    <row r="139" spans="4:4" ht="14.25" customHeight="1" x14ac:dyDescent="0.25">
      <c r="D139" s="15"/>
    </row>
    <row r="140" spans="4:4" ht="14.25" customHeight="1" x14ac:dyDescent="0.25">
      <c r="D140" s="15"/>
    </row>
    <row r="141" spans="4:4" ht="14.25" customHeight="1" x14ac:dyDescent="0.25">
      <c r="D141" s="15"/>
    </row>
    <row r="142" spans="4:4" ht="14.25" customHeight="1" x14ac:dyDescent="0.25">
      <c r="D142" s="15"/>
    </row>
    <row r="143" spans="4:4" ht="14.25" customHeight="1" x14ac:dyDescent="0.25">
      <c r="D143" s="15"/>
    </row>
    <row r="144" spans="4:4" ht="14.25" customHeight="1" x14ac:dyDescent="0.25">
      <c r="D144" s="15"/>
    </row>
    <row r="145" spans="4:4" ht="14.25" customHeight="1" x14ac:dyDescent="0.25">
      <c r="D145" s="15"/>
    </row>
    <row r="146" spans="4:4" ht="14.25" customHeight="1" x14ac:dyDescent="0.25">
      <c r="D146" s="15"/>
    </row>
    <row r="147" spans="4:4" ht="14.25" customHeight="1" x14ac:dyDescent="0.25">
      <c r="D147" s="15"/>
    </row>
    <row r="148" spans="4:4" ht="14.25" customHeight="1" x14ac:dyDescent="0.25">
      <c r="D148" s="15"/>
    </row>
    <row r="149" spans="4:4" ht="14.25" customHeight="1" x14ac:dyDescent="0.25">
      <c r="D149" s="15"/>
    </row>
    <row r="150" spans="4:4" ht="14.25" customHeight="1" x14ac:dyDescent="0.25">
      <c r="D150" s="15"/>
    </row>
    <row r="151" spans="4:4" ht="14.25" customHeight="1" x14ac:dyDescent="0.25">
      <c r="D151" s="15"/>
    </row>
    <row r="152" spans="4:4" ht="14.25" customHeight="1" x14ac:dyDescent="0.25">
      <c r="D152" s="15"/>
    </row>
    <row r="153" spans="4:4" ht="14.25" customHeight="1" x14ac:dyDescent="0.25">
      <c r="D153" s="15"/>
    </row>
    <row r="154" spans="4:4" ht="14.25" customHeight="1" x14ac:dyDescent="0.25">
      <c r="D154" s="15"/>
    </row>
    <row r="155" spans="4:4" ht="14.25" customHeight="1" x14ac:dyDescent="0.25">
      <c r="D155" s="15"/>
    </row>
    <row r="156" spans="4:4" ht="14.25" customHeight="1" x14ac:dyDescent="0.25">
      <c r="D156" s="15"/>
    </row>
    <row r="157" spans="4:4" ht="14.25" customHeight="1" x14ac:dyDescent="0.25">
      <c r="D157" s="15"/>
    </row>
    <row r="158" spans="4:4" ht="14.25" customHeight="1" x14ac:dyDescent="0.25">
      <c r="D158" s="15"/>
    </row>
    <row r="159" spans="4:4" ht="14.25" customHeight="1" x14ac:dyDescent="0.25">
      <c r="D159" s="15"/>
    </row>
    <row r="160" spans="4:4" ht="14.25" customHeight="1" x14ac:dyDescent="0.25">
      <c r="D160" s="15"/>
    </row>
    <row r="161" spans="4:4" ht="14.25" customHeight="1" x14ac:dyDescent="0.25">
      <c r="D161" s="15"/>
    </row>
    <row r="162" spans="4:4" ht="14.25" customHeight="1" x14ac:dyDescent="0.25">
      <c r="D162" s="15"/>
    </row>
    <row r="163" spans="4:4" ht="14.25" customHeight="1" x14ac:dyDescent="0.25">
      <c r="D163" s="15"/>
    </row>
    <row r="164" spans="4:4" ht="14.25" customHeight="1" x14ac:dyDescent="0.25">
      <c r="D164" s="15"/>
    </row>
    <row r="165" spans="4:4" ht="14.25" customHeight="1" x14ac:dyDescent="0.25">
      <c r="D165" s="15"/>
    </row>
    <row r="166" spans="4:4" ht="14.25" customHeight="1" x14ac:dyDescent="0.25">
      <c r="D166" s="15"/>
    </row>
    <row r="167" spans="4:4" ht="14.25" customHeight="1" x14ac:dyDescent="0.25">
      <c r="D167" s="15"/>
    </row>
    <row r="168" spans="4:4" ht="14.25" customHeight="1" x14ac:dyDescent="0.25">
      <c r="D168" s="15"/>
    </row>
    <row r="169" spans="4:4" ht="14.25" customHeight="1" x14ac:dyDescent="0.25">
      <c r="D169" s="15"/>
    </row>
    <row r="170" spans="4:4" ht="14.25" customHeight="1" x14ac:dyDescent="0.25">
      <c r="D170" s="15"/>
    </row>
    <row r="171" spans="4:4" ht="14.25" customHeight="1" x14ac:dyDescent="0.25">
      <c r="D171" s="15"/>
    </row>
    <row r="172" spans="4:4" ht="14.25" customHeight="1" x14ac:dyDescent="0.25">
      <c r="D172" s="15"/>
    </row>
    <row r="173" spans="4:4" ht="14.25" customHeight="1" x14ac:dyDescent="0.25">
      <c r="D173" s="15"/>
    </row>
    <row r="174" spans="4:4" ht="14.25" customHeight="1" x14ac:dyDescent="0.25">
      <c r="D174" s="15"/>
    </row>
    <row r="175" spans="4:4" ht="14.25" customHeight="1" x14ac:dyDescent="0.25">
      <c r="D175" s="15"/>
    </row>
    <row r="176" spans="4:4" ht="14.25" customHeight="1" x14ac:dyDescent="0.25">
      <c r="D176" s="15"/>
    </row>
    <row r="177" spans="4:4" ht="14.25" customHeight="1" x14ac:dyDescent="0.25">
      <c r="D177" s="15"/>
    </row>
    <row r="178" spans="4:4" ht="14.25" customHeight="1" x14ac:dyDescent="0.25">
      <c r="D178" s="15"/>
    </row>
    <row r="179" spans="4:4" ht="14.25" customHeight="1" x14ac:dyDescent="0.25">
      <c r="D179" s="15"/>
    </row>
    <row r="180" spans="4:4" ht="14.25" customHeight="1" x14ac:dyDescent="0.25">
      <c r="D180" s="15"/>
    </row>
    <row r="181" spans="4:4" ht="14.25" customHeight="1" x14ac:dyDescent="0.25">
      <c r="D181" s="15"/>
    </row>
    <row r="182" spans="4:4" ht="14.25" customHeight="1" x14ac:dyDescent="0.25">
      <c r="D182" s="15"/>
    </row>
    <row r="183" spans="4:4" ht="14.25" customHeight="1" x14ac:dyDescent="0.25">
      <c r="D183" s="15"/>
    </row>
    <row r="184" spans="4:4" ht="14.25" customHeight="1" x14ac:dyDescent="0.25">
      <c r="D184" s="15"/>
    </row>
    <row r="185" spans="4:4" ht="14.25" customHeight="1" x14ac:dyDescent="0.25">
      <c r="D185" s="15"/>
    </row>
    <row r="186" spans="4:4" ht="14.25" customHeight="1" x14ac:dyDescent="0.25">
      <c r="D186" s="15"/>
    </row>
    <row r="187" spans="4:4" ht="14.25" customHeight="1" x14ac:dyDescent="0.25">
      <c r="D187" s="15"/>
    </row>
    <row r="188" spans="4:4" ht="14.25" customHeight="1" x14ac:dyDescent="0.25">
      <c r="D188" s="15"/>
    </row>
    <row r="189" spans="4:4" ht="14.25" customHeight="1" x14ac:dyDescent="0.25">
      <c r="D189" s="15"/>
    </row>
    <row r="190" spans="4:4" ht="14.25" customHeight="1" x14ac:dyDescent="0.25">
      <c r="D190" s="15"/>
    </row>
    <row r="191" spans="4:4" ht="14.25" customHeight="1" x14ac:dyDescent="0.25">
      <c r="D191" s="15"/>
    </row>
    <row r="192" spans="4:4" ht="14.25" customHeight="1" x14ac:dyDescent="0.25">
      <c r="D192" s="15"/>
    </row>
    <row r="193" spans="4:4" ht="14.25" customHeight="1" x14ac:dyDescent="0.25">
      <c r="D193" s="15"/>
    </row>
    <row r="194" spans="4:4" ht="14.25" customHeight="1" x14ac:dyDescent="0.25">
      <c r="D194" s="15"/>
    </row>
    <row r="195" spans="4:4" ht="14.25" customHeight="1" x14ac:dyDescent="0.25">
      <c r="D195" s="15"/>
    </row>
    <row r="196" spans="4:4" ht="14.25" customHeight="1" x14ac:dyDescent="0.25">
      <c r="D196" s="15"/>
    </row>
    <row r="197" spans="4:4" ht="14.25" customHeight="1" x14ac:dyDescent="0.25">
      <c r="D197" s="15"/>
    </row>
    <row r="198" spans="4:4" ht="14.25" customHeight="1" x14ac:dyDescent="0.25">
      <c r="D198" s="15"/>
    </row>
    <row r="199" spans="4:4" ht="14.25" customHeight="1" x14ac:dyDescent="0.25">
      <c r="D199" s="15"/>
    </row>
    <row r="200" spans="4:4" ht="14.25" customHeight="1" x14ac:dyDescent="0.25">
      <c r="D200" s="15"/>
    </row>
    <row r="201" spans="4:4" ht="14.25" customHeight="1" x14ac:dyDescent="0.25">
      <c r="D201" s="15"/>
    </row>
    <row r="202" spans="4:4" ht="14.25" customHeight="1" x14ac:dyDescent="0.25">
      <c r="D202" s="15"/>
    </row>
    <row r="203" spans="4:4" ht="14.25" customHeight="1" x14ac:dyDescent="0.25">
      <c r="D203" s="15"/>
    </row>
    <row r="204" spans="4:4" ht="14.25" customHeight="1" x14ac:dyDescent="0.25">
      <c r="D204" s="15"/>
    </row>
    <row r="205" spans="4:4" ht="14.25" customHeight="1" x14ac:dyDescent="0.25">
      <c r="D205" s="15"/>
    </row>
    <row r="206" spans="4:4" ht="14.25" customHeight="1" x14ac:dyDescent="0.25">
      <c r="D206" s="15"/>
    </row>
    <row r="207" spans="4:4" ht="14.25" customHeight="1" x14ac:dyDescent="0.25">
      <c r="D207" s="15"/>
    </row>
    <row r="208" spans="4:4" ht="14.25" customHeight="1" x14ac:dyDescent="0.25">
      <c r="D208" s="15"/>
    </row>
    <row r="209" spans="4:4" ht="14.25" customHeight="1" x14ac:dyDescent="0.25">
      <c r="D209" s="15"/>
    </row>
    <row r="210" spans="4:4" ht="14.25" customHeight="1" x14ac:dyDescent="0.25">
      <c r="D210" s="15"/>
    </row>
    <row r="211" spans="4:4" ht="14.25" customHeight="1" x14ac:dyDescent="0.25">
      <c r="D211" s="15"/>
    </row>
    <row r="212" spans="4:4" ht="14.25" customHeight="1" x14ac:dyDescent="0.25">
      <c r="D212" s="15"/>
    </row>
    <row r="213" spans="4:4" ht="14.25" customHeight="1" x14ac:dyDescent="0.25">
      <c r="D213" s="15"/>
    </row>
    <row r="214" spans="4:4" ht="14.25" customHeight="1" x14ac:dyDescent="0.25">
      <c r="D214" s="15"/>
    </row>
    <row r="215" spans="4:4" ht="14.25" customHeight="1" x14ac:dyDescent="0.25">
      <c r="D215" s="15"/>
    </row>
    <row r="216" spans="4:4" ht="14.25" customHeight="1" x14ac:dyDescent="0.25">
      <c r="D216" s="15"/>
    </row>
    <row r="217" spans="4:4" ht="14.25" customHeight="1" x14ac:dyDescent="0.25">
      <c r="D217" s="15"/>
    </row>
    <row r="218" spans="4:4" ht="14.25" customHeight="1" x14ac:dyDescent="0.25">
      <c r="D218" s="15"/>
    </row>
    <row r="219" spans="4:4" ht="14.25" customHeight="1" x14ac:dyDescent="0.25">
      <c r="D219" s="15"/>
    </row>
    <row r="220" spans="4:4" ht="14.25" customHeight="1" x14ac:dyDescent="0.25">
      <c r="D220" s="15"/>
    </row>
    <row r="221" spans="4:4" ht="14.25" customHeight="1" x14ac:dyDescent="0.25">
      <c r="D221" s="15"/>
    </row>
    <row r="222" spans="4:4" ht="14.25" customHeight="1" x14ac:dyDescent="0.25">
      <c r="D222" s="15"/>
    </row>
    <row r="223" spans="4:4" ht="14.25" customHeight="1" x14ac:dyDescent="0.25">
      <c r="D223" s="15"/>
    </row>
    <row r="224" spans="4:4" ht="14.25" customHeight="1" x14ac:dyDescent="0.25">
      <c r="D224" s="15"/>
    </row>
    <row r="225" spans="4:4" ht="14.25" customHeight="1" x14ac:dyDescent="0.25">
      <c r="D225" s="15"/>
    </row>
    <row r="226" spans="4:4" ht="14.25" customHeight="1" x14ac:dyDescent="0.25">
      <c r="D226" s="15"/>
    </row>
    <row r="227" spans="4:4" ht="14.25" customHeight="1" x14ac:dyDescent="0.25">
      <c r="D227" s="15"/>
    </row>
    <row r="228" spans="4:4" ht="14.25" customHeight="1" x14ac:dyDescent="0.25">
      <c r="D228" s="15"/>
    </row>
    <row r="229" spans="4:4" ht="14.25" customHeight="1" x14ac:dyDescent="0.25">
      <c r="D229" s="15"/>
    </row>
    <row r="230" spans="4:4" ht="14.25" customHeight="1" x14ac:dyDescent="0.25">
      <c r="D230" s="15"/>
    </row>
    <row r="231" spans="4:4" ht="14.25" customHeight="1" x14ac:dyDescent="0.25">
      <c r="D231" s="15"/>
    </row>
    <row r="232" spans="4:4" ht="14.25" customHeight="1" x14ac:dyDescent="0.25">
      <c r="D232" s="15"/>
    </row>
    <row r="233" spans="4:4" ht="14.25" customHeight="1" x14ac:dyDescent="0.25">
      <c r="D233" s="15"/>
    </row>
    <row r="234" spans="4:4" ht="14.25" customHeight="1" x14ac:dyDescent="0.25">
      <c r="D234" s="15"/>
    </row>
    <row r="235" spans="4:4" ht="14.25" customHeight="1" x14ac:dyDescent="0.25">
      <c r="D235" s="15"/>
    </row>
    <row r="236" spans="4:4" ht="14.25" customHeight="1" x14ac:dyDescent="0.25">
      <c r="D236" s="15"/>
    </row>
    <row r="237" spans="4:4" ht="14.25" customHeight="1" x14ac:dyDescent="0.25">
      <c r="D237" s="15"/>
    </row>
    <row r="238" spans="4:4" ht="14.25" customHeight="1" x14ac:dyDescent="0.25">
      <c r="D238" s="15"/>
    </row>
    <row r="239" spans="4:4" ht="14.25" customHeight="1" x14ac:dyDescent="0.25">
      <c r="D239" s="15"/>
    </row>
    <row r="240" spans="4:4" ht="14.25" customHeight="1" x14ac:dyDescent="0.25">
      <c r="D240" s="15"/>
    </row>
    <row r="241" spans="4:4" ht="14.25" customHeight="1" x14ac:dyDescent="0.25">
      <c r="D241" s="15"/>
    </row>
    <row r="242" spans="4:4" ht="14.25" customHeight="1" x14ac:dyDescent="0.25">
      <c r="D242" s="15"/>
    </row>
    <row r="243" spans="4:4" ht="14.25" customHeight="1" x14ac:dyDescent="0.25">
      <c r="D243" s="15"/>
    </row>
    <row r="244" spans="4:4" ht="14.25" customHeight="1" x14ac:dyDescent="0.25">
      <c r="D244" s="15"/>
    </row>
    <row r="245" spans="4:4" ht="14.25" customHeight="1" x14ac:dyDescent="0.25">
      <c r="D245" s="15"/>
    </row>
    <row r="246" spans="4:4" ht="14.25" customHeight="1" x14ac:dyDescent="0.25">
      <c r="D246" s="15"/>
    </row>
    <row r="247" spans="4:4" ht="14.25" customHeight="1" x14ac:dyDescent="0.25">
      <c r="D247" s="15"/>
    </row>
    <row r="248" spans="4:4" ht="14.25" customHeight="1" x14ac:dyDescent="0.25">
      <c r="D248" s="15"/>
    </row>
    <row r="249" spans="4:4" ht="14.25" customHeight="1" x14ac:dyDescent="0.25">
      <c r="D249" s="15"/>
    </row>
    <row r="250" spans="4:4" ht="14.25" customHeight="1" x14ac:dyDescent="0.25">
      <c r="D250" s="15"/>
    </row>
    <row r="251" spans="4:4" ht="14.25" customHeight="1" x14ac:dyDescent="0.25">
      <c r="D251" s="15"/>
    </row>
    <row r="252" spans="4:4" ht="14.25" customHeight="1" x14ac:dyDescent="0.25">
      <c r="D252" s="15"/>
    </row>
    <row r="253" spans="4:4" ht="14.25" customHeight="1" x14ac:dyDescent="0.25">
      <c r="D253" s="15"/>
    </row>
    <row r="254" spans="4:4" ht="14.25" customHeight="1" x14ac:dyDescent="0.25">
      <c r="D254" s="15"/>
    </row>
    <row r="255" spans="4:4" ht="14.25" customHeight="1" x14ac:dyDescent="0.25">
      <c r="D255" s="15"/>
    </row>
    <row r="256" spans="4:4" ht="14.25" customHeight="1" x14ac:dyDescent="0.25">
      <c r="D256" s="15"/>
    </row>
    <row r="257" spans="4:4" ht="14.25" customHeight="1" x14ac:dyDescent="0.25">
      <c r="D257" s="15"/>
    </row>
    <row r="258" spans="4:4" ht="14.25" customHeight="1" x14ac:dyDescent="0.25">
      <c r="D258" s="15"/>
    </row>
    <row r="259" spans="4:4" ht="14.25" customHeight="1" x14ac:dyDescent="0.25">
      <c r="D259" s="15"/>
    </row>
    <row r="260" spans="4:4" ht="14.25" customHeight="1" x14ac:dyDescent="0.25">
      <c r="D260" s="15"/>
    </row>
    <row r="261" spans="4:4" ht="14.25" customHeight="1" x14ac:dyDescent="0.25">
      <c r="D261" s="15"/>
    </row>
    <row r="262" spans="4:4" ht="14.25" customHeight="1" x14ac:dyDescent="0.25">
      <c r="D262" s="15"/>
    </row>
    <row r="263" spans="4:4" ht="14.25" customHeight="1" x14ac:dyDescent="0.25">
      <c r="D263" s="15"/>
    </row>
    <row r="264" spans="4:4" ht="14.25" customHeight="1" x14ac:dyDescent="0.25">
      <c r="D264" s="15"/>
    </row>
    <row r="265" spans="4:4" ht="14.25" customHeight="1" x14ac:dyDescent="0.25">
      <c r="D265" s="15"/>
    </row>
    <row r="266" spans="4:4" ht="14.25" customHeight="1" x14ac:dyDescent="0.25">
      <c r="D266" s="15"/>
    </row>
    <row r="267" spans="4:4" ht="14.25" customHeight="1" x14ac:dyDescent="0.25">
      <c r="D267" s="15"/>
    </row>
    <row r="268" spans="4:4" ht="14.25" customHeight="1" x14ac:dyDescent="0.25">
      <c r="D268" s="15"/>
    </row>
    <row r="269" spans="4:4" ht="14.25" customHeight="1" x14ac:dyDescent="0.25">
      <c r="D269" s="15"/>
    </row>
    <row r="270" spans="4:4" ht="14.25" customHeight="1" x14ac:dyDescent="0.25">
      <c r="D270" s="15"/>
    </row>
    <row r="271" spans="4:4" ht="14.25" customHeight="1" x14ac:dyDescent="0.25">
      <c r="D271" s="15"/>
    </row>
    <row r="272" spans="4:4" ht="14.25" customHeight="1" x14ac:dyDescent="0.25">
      <c r="D272" s="15"/>
    </row>
    <row r="273" spans="4:4" ht="14.25" customHeight="1" x14ac:dyDescent="0.25">
      <c r="D273" s="15"/>
    </row>
    <row r="274" spans="4:4" ht="14.25" customHeight="1" x14ac:dyDescent="0.25">
      <c r="D274" s="15"/>
    </row>
    <row r="275" spans="4:4" ht="14.25" customHeight="1" x14ac:dyDescent="0.25">
      <c r="D275" s="15"/>
    </row>
    <row r="276" spans="4:4" ht="14.25" customHeight="1" x14ac:dyDescent="0.25">
      <c r="D276" s="15"/>
    </row>
    <row r="277" spans="4:4" ht="14.25" customHeight="1" x14ac:dyDescent="0.25">
      <c r="D277" s="15"/>
    </row>
    <row r="278" spans="4:4" ht="14.25" customHeight="1" x14ac:dyDescent="0.25">
      <c r="D278" s="15"/>
    </row>
    <row r="279" spans="4:4" ht="14.25" customHeight="1" x14ac:dyDescent="0.25">
      <c r="D279" s="15"/>
    </row>
    <row r="280" spans="4:4" ht="14.25" customHeight="1" x14ac:dyDescent="0.25">
      <c r="D280" s="15"/>
    </row>
    <row r="281" spans="4:4" ht="14.25" customHeight="1" x14ac:dyDescent="0.25">
      <c r="D281" s="15"/>
    </row>
    <row r="282" spans="4:4" ht="14.25" customHeight="1" x14ac:dyDescent="0.25">
      <c r="D282" s="15"/>
    </row>
    <row r="283" spans="4:4" ht="14.25" customHeight="1" x14ac:dyDescent="0.25">
      <c r="D283" s="15"/>
    </row>
    <row r="284" spans="4:4" ht="14.25" customHeight="1" x14ac:dyDescent="0.25">
      <c r="D284" s="15"/>
    </row>
    <row r="285" spans="4:4" ht="14.25" customHeight="1" x14ac:dyDescent="0.25">
      <c r="D285" s="15"/>
    </row>
    <row r="286" spans="4:4" ht="14.25" customHeight="1" x14ac:dyDescent="0.25">
      <c r="D286" s="15"/>
    </row>
    <row r="287" spans="4:4" ht="14.25" customHeight="1" x14ac:dyDescent="0.25">
      <c r="D287" s="15"/>
    </row>
    <row r="288" spans="4:4" ht="14.25" customHeight="1" x14ac:dyDescent="0.25">
      <c r="D288" s="15"/>
    </row>
    <row r="289" spans="4:4" ht="14.25" customHeight="1" x14ac:dyDescent="0.25">
      <c r="D289" s="15"/>
    </row>
    <row r="290" spans="4:4" ht="14.25" customHeight="1" x14ac:dyDescent="0.25">
      <c r="D290" s="15"/>
    </row>
    <row r="291" spans="4:4" ht="14.25" customHeight="1" x14ac:dyDescent="0.25">
      <c r="D291" s="15"/>
    </row>
    <row r="292" spans="4:4" ht="14.25" customHeight="1" x14ac:dyDescent="0.25">
      <c r="D292" s="15"/>
    </row>
    <row r="293" spans="4:4" ht="14.25" customHeight="1" x14ac:dyDescent="0.25">
      <c r="D293" s="15"/>
    </row>
    <row r="294" spans="4:4" ht="14.25" customHeight="1" x14ac:dyDescent="0.25">
      <c r="D294" s="15"/>
    </row>
    <row r="295" spans="4:4" ht="14.25" customHeight="1" x14ac:dyDescent="0.25">
      <c r="D295" s="15"/>
    </row>
    <row r="296" spans="4:4" ht="14.25" customHeight="1" x14ac:dyDescent="0.25">
      <c r="D296" s="15"/>
    </row>
    <row r="297" spans="4:4" ht="14.25" customHeight="1" x14ac:dyDescent="0.25">
      <c r="D297" s="15"/>
    </row>
    <row r="298" spans="4:4" ht="14.25" customHeight="1" x14ac:dyDescent="0.25">
      <c r="D298" s="15"/>
    </row>
    <row r="299" spans="4:4" ht="14.25" customHeight="1" x14ac:dyDescent="0.25">
      <c r="D299" s="15"/>
    </row>
    <row r="300" spans="4:4" ht="14.25" customHeight="1" x14ac:dyDescent="0.25">
      <c r="D300" s="15"/>
    </row>
    <row r="301" spans="4:4" ht="14.25" customHeight="1" x14ac:dyDescent="0.25">
      <c r="D301" s="15"/>
    </row>
    <row r="302" spans="4:4" ht="14.25" customHeight="1" x14ac:dyDescent="0.25">
      <c r="D302" s="15"/>
    </row>
    <row r="303" spans="4:4" ht="14.25" customHeight="1" x14ac:dyDescent="0.25">
      <c r="D303" s="15"/>
    </row>
    <row r="304" spans="4:4" ht="14.25" customHeight="1" x14ac:dyDescent="0.25">
      <c r="D304" s="15"/>
    </row>
    <row r="305" spans="4:4" ht="14.25" customHeight="1" x14ac:dyDescent="0.25">
      <c r="D305" s="15"/>
    </row>
    <row r="306" spans="4:4" ht="14.25" customHeight="1" x14ac:dyDescent="0.25">
      <c r="D306" s="15"/>
    </row>
    <row r="307" spans="4:4" ht="14.25" customHeight="1" x14ac:dyDescent="0.25">
      <c r="D307" s="15"/>
    </row>
    <row r="308" spans="4:4" ht="14.25" customHeight="1" x14ac:dyDescent="0.25">
      <c r="D308" s="15"/>
    </row>
    <row r="309" spans="4:4" ht="14.25" customHeight="1" x14ac:dyDescent="0.25">
      <c r="D309" s="15"/>
    </row>
    <row r="310" spans="4:4" ht="14.25" customHeight="1" x14ac:dyDescent="0.25">
      <c r="D310" s="15"/>
    </row>
    <row r="311" spans="4:4" ht="14.25" customHeight="1" x14ac:dyDescent="0.25">
      <c r="D311" s="15"/>
    </row>
    <row r="312" spans="4:4" ht="14.25" customHeight="1" x14ac:dyDescent="0.25">
      <c r="D312" s="15"/>
    </row>
    <row r="313" spans="4:4" ht="14.25" customHeight="1" x14ac:dyDescent="0.25">
      <c r="D313" s="15"/>
    </row>
    <row r="314" spans="4:4" ht="14.25" customHeight="1" x14ac:dyDescent="0.25">
      <c r="D314" s="15"/>
    </row>
    <row r="315" spans="4:4" ht="14.25" customHeight="1" x14ac:dyDescent="0.25">
      <c r="D315" s="15"/>
    </row>
    <row r="316" spans="4:4" ht="14.25" customHeight="1" x14ac:dyDescent="0.25">
      <c r="D316" s="15"/>
    </row>
    <row r="317" spans="4:4" ht="14.25" customHeight="1" x14ac:dyDescent="0.25">
      <c r="D317" s="15"/>
    </row>
    <row r="318" spans="4:4" ht="14.25" customHeight="1" x14ac:dyDescent="0.25">
      <c r="D318" s="15"/>
    </row>
    <row r="319" spans="4:4" ht="14.25" customHeight="1" x14ac:dyDescent="0.25">
      <c r="D319" s="15"/>
    </row>
    <row r="320" spans="4:4" ht="14.25" customHeight="1" x14ac:dyDescent="0.25">
      <c r="D320" s="15"/>
    </row>
    <row r="321" spans="4:4" ht="14.25" customHeight="1" x14ac:dyDescent="0.25">
      <c r="D321" s="15"/>
    </row>
    <row r="322" spans="4:4" ht="14.25" customHeight="1" x14ac:dyDescent="0.25">
      <c r="D322" s="15"/>
    </row>
    <row r="323" spans="4:4" ht="14.25" customHeight="1" x14ac:dyDescent="0.25">
      <c r="D323" s="15"/>
    </row>
    <row r="324" spans="4:4" ht="14.25" customHeight="1" x14ac:dyDescent="0.25">
      <c r="D324" s="15"/>
    </row>
    <row r="325" spans="4:4" ht="14.25" customHeight="1" x14ac:dyDescent="0.25">
      <c r="D325" s="15"/>
    </row>
    <row r="326" spans="4:4" ht="14.25" customHeight="1" x14ac:dyDescent="0.25">
      <c r="D326" s="15"/>
    </row>
    <row r="327" spans="4:4" ht="14.25" customHeight="1" x14ac:dyDescent="0.25">
      <c r="D327" s="15"/>
    </row>
    <row r="328" spans="4:4" ht="14.25" customHeight="1" x14ac:dyDescent="0.25">
      <c r="D328" s="15"/>
    </row>
    <row r="329" spans="4:4" ht="14.25" customHeight="1" x14ac:dyDescent="0.25">
      <c r="D329" s="15"/>
    </row>
    <row r="330" spans="4:4" ht="14.25" customHeight="1" x14ac:dyDescent="0.25">
      <c r="D330" s="15"/>
    </row>
    <row r="331" spans="4:4" ht="14.25" customHeight="1" x14ac:dyDescent="0.25">
      <c r="D331" s="15"/>
    </row>
    <row r="332" spans="4:4" ht="14.25" customHeight="1" x14ac:dyDescent="0.25">
      <c r="D332" s="15"/>
    </row>
    <row r="333" spans="4:4" ht="14.25" customHeight="1" x14ac:dyDescent="0.25">
      <c r="D333" s="15"/>
    </row>
    <row r="334" spans="4:4" ht="14.25" customHeight="1" x14ac:dyDescent="0.25">
      <c r="D334" s="15"/>
    </row>
    <row r="335" spans="4:4" ht="14.25" customHeight="1" x14ac:dyDescent="0.25">
      <c r="D335" s="15"/>
    </row>
    <row r="336" spans="4:4" ht="14.25" customHeight="1" x14ac:dyDescent="0.25">
      <c r="D336" s="15"/>
    </row>
    <row r="337" spans="4:4" ht="14.25" customHeight="1" x14ac:dyDescent="0.25">
      <c r="D337" s="15"/>
    </row>
    <row r="338" spans="4:4" ht="14.25" customHeight="1" x14ac:dyDescent="0.25">
      <c r="D338" s="15"/>
    </row>
    <row r="339" spans="4:4" ht="14.25" customHeight="1" x14ac:dyDescent="0.25">
      <c r="D339" s="15"/>
    </row>
    <row r="340" spans="4:4" ht="14.25" customHeight="1" x14ac:dyDescent="0.25">
      <c r="D340" s="15"/>
    </row>
    <row r="341" spans="4:4" ht="14.25" customHeight="1" x14ac:dyDescent="0.25">
      <c r="D341" s="15"/>
    </row>
    <row r="342" spans="4:4" ht="14.25" customHeight="1" x14ac:dyDescent="0.25">
      <c r="D342" s="15"/>
    </row>
    <row r="343" spans="4:4" ht="14.25" customHeight="1" x14ac:dyDescent="0.25">
      <c r="D343" s="15"/>
    </row>
    <row r="344" spans="4:4" ht="14.25" customHeight="1" x14ac:dyDescent="0.25">
      <c r="D344" s="15"/>
    </row>
    <row r="345" spans="4:4" ht="14.25" customHeight="1" x14ac:dyDescent="0.25">
      <c r="D345" s="15"/>
    </row>
    <row r="346" spans="4:4" ht="14.25" customHeight="1" x14ac:dyDescent="0.25">
      <c r="D346" s="15"/>
    </row>
    <row r="347" spans="4:4" ht="14.25" customHeight="1" x14ac:dyDescent="0.25">
      <c r="D347" s="15"/>
    </row>
    <row r="348" spans="4:4" ht="14.25" customHeight="1" x14ac:dyDescent="0.25">
      <c r="D348" s="15"/>
    </row>
    <row r="349" spans="4:4" ht="14.25" customHeight="1" x14ac:dyDescent="0.25">
      <c r="D349" s="15"/>
    </row>
    <row r="350" spans="4:4" ht="14.25" customHeight="1" x14ac:dyDescent="0.25">
      <c r="D350" s="15"/>
    </row>
    <row r="351" spans="4:4" ht="14.25" customHeight="1" x14ac:dyDescent="0.25">
      <c r="D351" s="15"/>
    </row>
    <row r="352" spans="4:4" ht="14.25" customHeight="1" x14ac:dyDescent="0.25">
      <c r="D352" s="15"/>
    </row>
    <row r="353" spans="4:4" ht="14.25" customHeight="1" x14ac:dyDescent="0.25">
      <c r="D353" s="15"/>
    </row>
    <row r="354" spans="4:4" ht="14.25" customHeight="1" x14ac:dyDescent="0.25">
      <c r="D354" s="15"/>
    </row>
    <row r="355" spans="4:4" ht="14.25" customHeight="1" x14ac:dyDescent="0.25">
      <c r="D355" s="15"/>
    </row>
    <row r="356" spans="4:4" ht="14.25" customHeight="1" x14ac:dyDescent="0.25">
      <c r="D356" s="15"/>
    </row>
    <row r="357" spans="4:4" ht="14.25" customHeight="1" x14ac:dyDescent="0.25">
      <c r="D357" s="15"/>
    </row>
    <row r="358" spans="4:4" ht="14.25" customHeight="1" x14ac:dyDescent="0.25">
      <c r="D358" s="15"/>
    </row>
    <row r="359" spans="4:4" ht="14.25" customHeight="1" x14ac:dyDescent="0.25">
      <c r="D359" s="15"/>
    </row>
    <row r="360" spans="4:4" ht="14.25" customHeight="1" x14ac:dyDescent="0.25">
      <c r="D360" s="15"/>
    </row>
    <row r="361" spans="4:4" ht="14.25" customHeight="1" x14ac:dyDescent="0.25">
      <c r="D361" s="15"/>
    </row>
    <row r="362" spans="4:4" ht="14.25" customHeight="1" x14ac:dyDescent="0.25">
      <c r="D362" s="15"/>
    </row>
    <row r="363" spans="4:4" ht="14.25" customHeight="1" x14ac:dyDescent="0.25">
      <c r="D363" s="15"/>
    </row>
    <row r="364" spans="4:4" ht="14.25" customHeight="1" x14ac:dyDescent="0.25">
      <c r="D364" s="15"/>
    </row>
    <row r="365" spans="4:4" ht="14.25" customHeight="1" x14ac:dyDescent="0.25">
      <c r="D365" s="15"/>
    </row>
    <row r="366" spans="4:4" ht="14.25" customHeight="1" x14ac:dyDescent="0.25">
      <c r="D366" s="15"/>
    </row>
    <row r="367" spans="4:4" ht="14.25" customHeight="1" x14ac:dyDescent="0.25">
      <c r="D367" s="15"/>
    </row>
    <row r="368" spans="4:4" ht="14.25" customHeight="1" x14ac:dyDescent="0.25">
      <c r="D368" s="15"/>
    </row>
    <row r="369" spans="4:4" ht="14.25" customHeight="1" x14ac:dyDescent="0.25">
      <c r="D369" s="15"/>
    </row>
    <row r="370" spans="4:4" ht="14.25" customHeight="1" x14ac:dyDescent="0.25">
      <c r="D370" s="15"/>
    </row>
    <row r="371" spans="4:4" ht="14.25" customHeight="1" x14ac:dyDescent="0.25">
      <c r="D371" s="15"/>
    </row>
    <row r="372" spans="4:4" ht="14.25" customHeight="1" x14ac:dyDescent="0.25">
      <c r="D372" s="15"/>
    </row>
    <row r="373" spans="4:4" ht="14.25" customHeight="1" x14ac:dyDescent="0.25">
      <c r="D373" s="15"/>
    </row>
    <row r="374" spans="4:4" ht="14.25" customHeight="1" x14ac:dyDescent="0.25">
      <c r="D374" s="15"/>
    </row>
    <row r="375" spans="4:4" ht="14.25" customHeight="1" x14ac:dyDescent="0.25">
      <c r="D375" s="15"/>
    </row>
    <row r="376" spans="4:4" ht="14.25" customHeight="1" x14ac:dyDescent="0.25">
      <c r="D376" s="15"/>
    </row>
    <row r="377" spans="4:4" ht="14.25" customHeight="1" x14ac:dyDescent="0.25">
      <c r="D377" s="15"/>
    </row>
    <row r="378" spans="4:4" ht="14.25" customHeight="1" x14ac:dyDescent="0.25">
      <c r="D378" s="15"/>
    </row>
    <row r="379" spans="4:4" ht="14.25" customHeight="1" x14ac:dyDescent="0.25">
      <c r="D379" s="15"/>
    </row>
    <row r="380" spans="4:4" ht="14.25" customHeight="1" x14ac:dyDescent="0.25">
      <c r="D380" s="15"/>
    </row>
    <row r="381" spans="4:4" ht="14.25" customHeight="1" x14ac:dyDescent="0.25">
      <c r="D381" s="15"/>
    </row>
    <row r="382" spans="4:4" ht="14.25" customHeight="1" x14ac:dyDescent="0.25">
      <c r="D382" s="15"/>
    </row>
    <row r="383" spans="4:4" ht="14.25" customHeight="1" x14ac:dyDescent="0.25">
      <c r="D383" s="15"/>
    </row>
    <row r="384" spans="4:4" ht="14.25" customHeight="1" x14ac:dyDescent="0.25">
      <c r="D384" s="15"/>
    </row>
    <row r="385" spans="4:4" ht="14.25" customHeight="1" x14ac:dyDescent="0.25">
      <c r="D385" s="15"/>
    </row>
    <row r="386" spans="4:4" ht="14.25" customHeight="1" x14ac:dyDescent="0.25">
      <c r="D386" s="15"/>
    </row>
    <row r="387" spans="4:4" ht="14.25" customHeight="1" x14ac:dyDescent="0.25">
      <c r="D387" s="15"/>
    </row>
    <row r="388" spans="4:4" ht="14.25" customHeight="1" x14ac:dyDescent="0.25">
      <c r="D388" s="15"/>
    </row>
    <row r="389" spans="4:4" ht="14.25" customHeight="1" x14ac:dyDescent="0.25">
      <c r="D389" s="15"/>
    </row>
    <row r="390" spans="4:4" ht="14.25" customHeight="1" x14ac:dyDescent="0.25">
      <c r="D390" s="15"/>
    </row>
    <row r="391" spans="4:4" ht="14.25" customHeight="1" x14ac:dyDescent="0.25">
      <c r="D391" s="15"/>
    </row>
    <row r="392" spans="4:4" ht="14.25" customHeight="1" x14ac:dyDescent="0.25">
      <c r="D392" s="15"/>
    </row>
    <row r="393" spans="4:4" ht="14.25" customHeight="1" x14ac:dyDescent="0.25">
      <c r="D393" s="15"/>
    </row>
    <row r="394" spans="4:4" ht="14.25" customHeight="1" x14ac:dyDescent="0.25">
      <c r="D394" s="15"/>
    </row>
    <row r="395" spans="4:4" ht="14.25" customHeight="1" x14ac:dyDescent="0.25">
      <c r="D395" s="15"/>
    </row>
    <row r="396" spans="4:4" ht="14.25" customHeight="1" x14ac:dyDescent="0.25">
      <c r="D396" s="15"/>
    </row>
    <row r="397" spans="4:4" ht="14.25" customHeight="1" x14ac:dyDescent="0.25">
      <c r="D397" s="15"/>
    </row>
    <row r="398" spans="4:4" ht="14.25" customHeight="1" x14ac:dyDescent="0.25">
      <c r="D398" s="15"/>
    </row>
    <row r="399" spans="4:4" ht="14.25" customHeight="1" x14ac:dyDescent="0.25">
      <c r="D399" s="15"/>
    </row>
    <row r="400" spans="4:4" ht="14.25" customHeight="1" x14ac:dyDescent="0.25">
      <c r="D400" s="15"/>
    </row>
    <row r="401" spans="4:4" ht="14.25" customHeight="1" x14ac:dyDescent="0.25">
      <c r="D401" s="15"/>
    </row>
    <row r="402" spans="4:4" ht="14.25" customHeight="1" x14ac:dyDescent="0.25">
      <c r="D402" s="15"/>
    </row>
    <row r="403" spans="4:4" ht="14.25" customHeight="1" x14ac:dyDescent="0.25">
      <c r="D403" s="15"/>
    </row>
    <row r="404" spans="4:4" ht="14.25" customHeight="1" x14ac:dyDescent="0.25">
      <c r="D404" s="15"/>
    </row>
    <row r="405" spans="4:4" ht="14.25" customHeight="1" x14ac:dyDescent="0.25">
      <c r="D405" s="15"/>
    </row>
    <row r="406" spans="4:4" ht="14.25" customHeight="1" x14ac:dyDescent="0.25">
      <c r="D406" s="15"/>
    </row>
    <row r="407" spans="4:4" ht="14.25" customHeight="1" x14ac:dyDescent="0.25">
      <c r="D407" s="15"/>
    </row>
    <row r="408" spans="4:4" ht="14.25" customHeight="1" x14ac:dyDescent="0.25">
      <c r="D408" s="15"/>
    </row>
    <row r="409" spans="4:4" ht="14.25" customHeight="1" x14ac:dyDescent="0.25">
      <c r="D409" s="15"/>
    </row>
    <row r="410" spans="4:4" ht="14.25" customHeight="1" x14ac:dyDescent="0.25">
      <c r="D410" s="15"/>
    </row>
    <row r="411" spans="4:4" ht="14.25" customHeight="1" x14ac:dyDescent="0.25">
      <c r="D411" s="15"/>
    </row>
    <row r="412" spans="4:4" ht="14.25" customHeight="1" x14ac:dyDescent="0.25">
      <c r="D412" s="15"/>
    </row>
    <row r="413" spans="4:4" ht="14.25" customHeight="1" x14ac:dyDescent="0.25">
      <c r="D413" s="15"/>
    </row>
    <row r="414" spans="4:4" ht="14.25" customHeight="1" x14ac:dyDescent="0.25">
      <c r="D414" s="15"/>
    </row>
    <row r="415" spans="4:4" ht="14.25" customHeight="1" x14ac:dyDescent="0.25">
      <c r="D415" s="15"/>
    </row>
    <row r="416" spans="4:4" ht="14.25" customHeight="1" x14ac:dyDescent="0.25">
      <c r="D416" s="15"/>
    </row>
    <row r="417" spans="4:4" ht="14.25" customHeight="1" x14ac:dyDescent="0.25">
      <c r="D417" s="15"/>
    </row>
    <row r="418" spans="4:4" ht="14.25" customHeight="1" x14ac:dyDescent="0.25">
      <c r="D418" s="15"/>
    </row>
    <row r="419" spans="4:4" ht="14.25" customHeight="1" x14ac:dyDescent="0.25">
      <c r="D419" s="15"/>
    </row>
    <row r="420" spans="4:4" ht="14.25" customHeight="1" x14ac:dyDescent="0.25">
      <c r="D420" s="15"/>
    </row>
    <row r="421" spans="4:4" ht="14.25" customHeight="1" x14ac:dyDescent="0.25">
      <c r="D421" s="15"/>
    </row>
    <row r="422" spans="4:4" ht="14.25" customHeight="1" x14ac:dyDescent="0.25">
      <c r="D422" s="15"/>
    </row>
    <row r="423" spans="4:4" ht="14.25" customHeight="1" x14ac:dyDescent="0.25">
      <c r="D423" s="15"/>
    </row>
    <row r="424" spans="4:4" ht="14.25" customHeight="1" x14ac:dyDescent="0.25">
      <c r="D424" s="15"/>
    </row>
    <row r="425" spans="4:4" ht="14.25" customHeight="1" x14ac:dyDescent="0.25">
      <c r="D425" s="15"/>
    </row>
    <row r="426" spans="4:4" ht="14.25" customHeight="1" x14ac:dyDescent="0.25">
      <c r="D426" s="15"/>
    </row>
    <row r="427" spans="4:4" ht="14.25" customHeight="1" x14ac:dyDescent="0.25">
      <c r="D427" s="15"/>
    </row>
    <row r="428" spans="4:4" ht="14.25" customHeight="1" x14ac:dyDescent="0.25">
      <c r="D428" s="15"/>
    </row>
    <row r="429" spans="4:4" ht="14.25" customHeight="1" x14ac:dyDescent="0.25">
      <c r="D429" s="15"/>
    </row>
    <row r="430" spans="4:4" ht="14.25" customHeight="1" x14ac:dyDescent="0.25">
      <c r="D430" s="15"/>
    </row>
    <row r="431" spans="4:4" ht="14.25" customHeight="1" x14ac:dyDescent="0.25">
      <c r="D431" s="15"/>
    </row>
    <row r="432" spans="4:4" ht="14.25" customHeight="1" x14ac:dyDescent="0.25">
      <c r="D432" s="15"/>
    </row>
    <row r="433" spans="4:4" ht="14.25" customHeight="1" x14ac:dyDescent="0.25">
      <c r="D433" s="15"/>
    </row>
    <row r="434" spans="4:4" ht="14.25" customHeight="1" x14ac:dyDescent="0.25">
      <c r="D434" s="15"/>
    </row>
    <row r="435" spans="4:4" ht="14.25" customHeight="1" x14ac:dyDescent="0.25">
      <c r="D435" s="15"/>
    </row>
    <row r="436" spans="4:4" ht="14.25" customHeight="1" x14ac:dyDescent="0.25">
      <c r="D436" s="15"/>
    </row>
    <row r="437" spans="4:4" ht="14.25" customHeight="1" x14ac:dyDescent="0.25">
      <c r="D437" s="15"/>
    </row>
    <row r="438" spans="4:4" ht="14.25" customHeight="1" x14ac:dyDescent="0.25">
      <c r="D438" s="15"/>
    </row>
    <row r="439" spans="4:4" ht="14.25" customHeight="1" x14ac:dyDescent="0.25">
      <c r="D439" s="15"/>
    </row>
    <row r="440" spans="4:4" ht="14.25" customHeight="1" x14ac:dyDescent="0.25">
      <c r="D440" s="15"/>
    </row>
    <row r="441" spans="4:4" ht="14.25" customHeight="1" x14ac:dyDescent="0.25">
      <c r="D441" s="15"/>
    </row>
    <row r="442" spans="4:4" ht="14.25" customHeight="1" x14ac:dyDescent="0.25">
      <c r="D442" s="15"/>
    </row>
    <row r="443" spans="4:4" ht="14.25" customHeight="1" x14ac:dyDescent="0.25">
      <c r="D443" s="15"/>
    </row>
    <row r="444" spans="4:4" ht="14.25" customHeight="1" x14ac:dyDescent="0.25">
      <c r="D444" s="15"/>
    </row>
    <row r="445" spans="4:4" ht="14.25" customHeight="1" x14ac:dyDescent="0.25">
      <c r="D445" s="15"/>
    </row>
    <row r="446" spans="4:4" ht="14.25" customHeight="1" x14ac:dyDescent="0.25">
      <c r="D446" s="15"/>
    </row>
    <row r="447" spans="4:4" ht="14.25" customHeight="1" x14ac:dyDescent="0.25">
      <c r="D447" s="15"/>
    </row>
    <row r="448" spans="4:4" ht="14.25" customHeight="1" x14ac:dyDescent="0.25">
      <c r="D448" s="15"/>
    </row>
    <row r="449" spans="4:4" ht="14.25" customHeight="1" x14ac:dyDescent="0.25">
      <c r="D449" s="15"/>
    </row>
    <row r="450" spans="4:4" ht="14.25" customHeight="1" x14ac:dyDescent="0.25">
      <c r="D450" s="15"/>
    </row>
    <row r="451" spans="4:4" ht="14.25" customHeight="1" x14ac:dyDescent="0.25">
      <c r="D451" s="15"/>
    </row>
    <row r="452" spans="4:4" ht="14.25" customHeight="1" x14ac:dyDescent="0.25">
      <c r="D452" s="15"/>
    </row>
    <row r="453" spans="4:4" ht="14.25" customHeight="1" x14ac:dyDescent="0.25">
      <c r="D453" s="15"/>
    </row>
    <row r="454" spans="4:4" ht="14.25" customHeight="1" x14ac:dyDescent="0.25">
      <c r="D454" s="15"/>
    </row>
    <row r="455" spans="4:4" ht="14.25" customHeight="1" x14ac:dyDescent="0.25">
      <c r="D455" s="15"/>
    </row>
    <row r="456" spans="4:4" ht="14.25" customHeight="1" x14ac:dyDescent="0.25">
      <c r="D456" s="15"/>
    </row>
    <row r="457" spans="4:4" ht="14.25" customHeight="1" x14ac:dyDescent="0.25">
      <c r="D457" s="15"/>
    </row>
    <row r="458" spans="4:4" ht="14.25" customHeight="1" x14ac:dyDescent="0.25">
      <c r="D458" s="15"/>
    </row>
    <row r="459" spans="4:4" ht="14.25" customHeight="1" x14ac:dyDescent="0.25">
      <c r="D459" s="15"/>
    </row>
    <row r="460" spans="4:4" ht="14.25" customHeight="1" x14ac:dyDescent="0.25">
      <c r="D460" s="15"/>
    </row>
    <row r="461" spans="4:4" ht="14.25" customHeight="1" x14ac:dyDescent="0.25">
      <c r="D461" s="15"/>
    </row>
    <row r="462" spans="4:4" ht="14.25" customHeight="1" x14ac:dyDescent="0.25">
      <c r="D462" s="15"/>
    </row>
    <row r="463" spans="4:4" ht="14.25" customHeight="1" x14ac:dyDescent="0.25">
      <c r="D463" s="15"/>
    </row>
    <row r="464" spans="4:4" ht="14.25" customHeight="1" x14ac:dyDescent="0.25">
      <c r="D464" s="15"/>
    </row>
    <row r="465" spans="4:4" ht="14.25" customHeight="1" x14ac:dyDescent="0.25">
      <c r="D465" s="15"/>
    </row>
    <row r="466" spans="4:4" ht="14.25" customHeight="1" x14ac:dyDescent="0.25">
      <c r="D466" s="15"/>
    </row>
    <row r="467" spans="4:4" ht="14.25" customHeight="1" x14ac:dyDescent="0.25">
      <c r="D467" s="15"/>
    </row>
    <row r="468" spans="4:4" ht="14.25" customHeight="1" x14ac:dyDescent="0.25">
      <c r="D468" s="15"/>
    </row>
    <row r="469" spans="4:4" ht="14.25" customHeight="1" x14ac:dyDescent="0.25">
      <c r="D469" s="15"/>
    </row>
    <row r="470" spans="4:4" ht="14.25" customHeight="1" x14ac:dyDescent="0.25">
      <c r="D470" s="15"/>
    </row>
    <row r="471" spans="4:4" ht="14.25" customHeight="1" x14ac:dyDescent="0.25">
      <c r="D471" s="15"/>
    </row>
    <row r="472" spans="4:4" ht="14.25" customHeight="1" x14ac:dyDescent="0.25">
      <c r="D472" s="15"/>
    </row>
    <row r="473" spans="4:4" ht="14.25" customHeight="1" x14ac:dyDescent="0.25">
      <c r="D473" s="15"/>
    </row>
    <row r="474" spans="4:4" ht="14.25" customHeight="1" x14ac:dyDescent="0.25">
      <c r="D474" s="15"/>
    </row>
    <row r="475" spans="4:4" ht="14.25" customHeight="1" x14ac:dyDescent="0.25">
      <c r="D475" s="15"/>
    </row>
    <row r="476" spans="4:4" ht="14.25" customHeight="1" x14ac:dyDescent="0.25">
      <c r="D476" s="15"/>
    </row>
    <row r="477" spans="4:4" ht="14.25" customHeight="1" x14ac:dyDescent="0.25">
      <c r="D477" s="15"/>
    </row>
    <row r="478" spans="4:4" ht="14.25" customHeight="1" x14ac:dyDescent="0.25">
      <c r="D478" s="15"/>
    </row>
    <row r="479" spans="4:4" ht="14.25" customHeight="1" x14ac:dyDescent="0.25">
      <c r="D479" s="15"/>
    </row>
    <row r="480" spans="4:4" ht="14.25" customHeight="1" x14ac:dyDescent="0.25">
      <c r="D480" s="15"/>
    </row>
    <row r="481" spans="4:4" ht="14.25" customHeight="1" x14ac:dyDescent="0.25">
      <c r="D481" s="15"/>
    </row>
    <row r="482" spans="4:4" ht="14.25" customHeight="1" x14ac:dyDescent="0.25">
      <c r="D482" s="15"/>
    </row>
    <row r="483" spans="4:4" ht="14.25" customHeight="1" x14ac:dyDescent="0.25">
      <c r="D483" s="15"/>
    </row>
    <row r="484" spans="4:4" ht="14.25" customHeight="1" x14ac:dyDescent="0.25">
      <c r="D484" s="15"/>
    </row>
    <row r="485" spans="4:4" ht="14.25" customHeight="1" x14ac:dyDescent="0.25">
      <c r="D485" s="15"/>
    </row>
    <row r="486" spans="4:4" ht="14.25" customHeight="1" x14ac:dyDescent="0.25">
      <c r="D486" s="15"/>
    </row>
    <row r="487" spans="4:4" ht="14.25" customHeight="1" x14ac:dyDescent="0.25">
      <c r="D487" s="15"/>
    </row>
    <row r="488" spans="4:4" ht="14.25" customHeight="1" x14ac:dyDescent="0.25">
      <c r="D488" s="15"/>
    </row>
    <row r="489" spans="4:4" ht="14.25" customHeight="1" x14ac:dyDescent="0.25">
      <c r="D489" s="15"/>
    </row>
    <row r="490" spans="4:4" ht="14.25" customHeight="1" x14ac:dyDescent="0.25">
      <c r="D490" s="15"/>
    </row>
    <row r="491" spans="4:4" ht="14.25" customHeight="1" x14ac:dyDescent="0.25">
      <c r="D491" s="15"/>
    </row>
    <row r="492" spans="4:4" ht="14.25" customHeight="1" x14ac:dyDescent="0.25">
      <c r="D492" s="15"/>
    </row>
    <row r="493" spans="4:4" ht="14.25" customHeight="1" x14ac:dyDescent="0.25">
      <c r="D493" s="15"/>
    </row>
    <row r="494" spans="4:4" ht="14.25" customHeight="1" x14ac:dyDescent="0.25">
      <c r="D494" s="15"/>
    </row>
    <row r="495" spans="4:4" ht="14.25" customHeight="1" x14ac:dyDescent="0.25">
      <c r="D495" s="15"/>
    </row>
    <row r="496" spans="4:4" ht="14.25" customHeight="1" x14ac:dyDescent="0.25">
      <c r="D496" s="15"/>
    </row>
    <row r="497" spans="4:4" ht="14.25" customHeight="1" x14ac:dyDescent="0.25">
      <c r="D497" s="15"/>
    </row>
    <row r="498" spans="4:4" ht="14.25" customHeight="1" x14ac:dyDescent="0.25">
      <c r="D498" s="15"/>
    </row>
    <row r="499" spans="4:4" ht="14.25" customHeight="1" x14ac:dyDescent="0.25">
      <c r="D499" s="15"/>
    </row>
    <row r="500" spans="4:4" ht="14.25" customHeight="1" x14ac:dyDescent="0.25">
      <c r="D500" s="15"/>
    </row>
    <row r="501" spans="4:4" ht="14.25" customHeight="1" x14ac:dyDescent="0.25">
      <c r="D501" s="15"/>
    </row>
    <row r="502" spans="4:4" ht="14.25" customHeight="1" x14ac:dyDescent="0.25">
      <c r="D502" s="15"/>
    </row>
    <row r="503" spans="4:4" ht="14.25" customHeight="1" x14ac:dyDescent="0.25">
      <c r="D503" s="15"/>
    </row>
    <row r="504" spans="4:4" ht="14.25" customHeight="1" x14ac:dyDescent="0.25">
      <c r="D504" s="15"/>
    </row>
    <row r="505" spans="4:4" ht="14.25" customHeight="1" x14ac:dyDescent="0.25">
      <c r="D505" s="15"/>
    </row>
    <row r="506" spans="4:4" ht="14.25" customHeight="1" x14ac:dyDescent="0.25">
      <c r="D506" s="15"/>
    </row>
    <row r="507" spans="4:4" ht="14.25" customHeight="1" x14ac:dyDescent="0.25">
      <c r="D507" s="15"/>
    </row>
    <row r="508" spans="4:4" ht="14.25" customHeight="1" x14ac:dyDescent="0.25">
      <c r="D508" s="15"/>
    </row>
    <row r="509" spans="4:4" ht="14.25" customHeight="1" x14ac:dyDescent="0.25">
      <c r="D509" s="15"/>
    </row>
    <row r="510" spans="4:4" ht="14.25" customHeight="1" x14ac:dyDescent="0.25">
      <c r="D510" s="15"/>
    </row>
    <row r="511" spans="4:4" ht="14.25" customHeight="1" x14ac:dyDescent="0.25">
      <c r="D511" s="15"/>
    </row>
    <row r="512" spans="4:4" ht="14.25" customHeight="1" x14ac:dyDescent="0.25">
      <c r="D512" s="15"/>
    </row>
    <row r="513" spans="4:4" ht="14.25" customHeight="1" x14ac:dyDescent="0.25">
      <c r="D513" s="15"/>
    </row>
    <row r="514" spans="4:4" ht="14.25" customHeight="1" x14ac:dyDescent="0.25">
      <c r="D514" s="15"/>
    </row>
    <row r="515" spans="4:4" ht="14.25" customHeight="1" x14ac:dyDescent="0.25">
      <c r="D515" s="15"/>
    </row>
    <row r="516" spans="4:4" ht="14.25" customHeight="1" x14ac:dyDescent="0.25">
      <c r="D516" s="15"/>
    </row>
    <row r="517" spans="4:4" ht="14.25" customHeight="1" x14ac:dyDescent="0.25">
      <c r="D517" s="15"/>
    </row>
    <row r="518" spans="4:4" ht="14.25" customHeight="1" x14ac:dyDescent="0.25">
      <c r="D518" s="15"/>
    </row>
    <row r="519" spans="4:4" ht="14.25" customHeight="1" x14ac:dyDescent="0.25">
      <c r="D519" s="15"/>
    </row>
    <row r="520" spans="4:4" ht="14.25" customHeight="1" x14ac:dyDescent="0.25">
      <c r="D520" s="15"/>
    </row>
    <row r="521" spans="4:4" ht="14.25" customHeight="1" x14ac:dyDescent="0.25">
      <c r="D521" s="15"/>
    </row>
    <row r="522" spans="4:4" ht="14.25" customHeight="1" x14ac:dyDescent="0.25">
      <c r="D522" s="15"/>
    </row>
    <row r="523" spans="4:4" ht="14.25" customHeight="1" x14ac:dyDescent="0.25">
      <c r="D523" s="15"/>
    </row>
    <row r="524" spans="4:4" ht="14.25" customHeight="1" x14ac:dyDescent="0.25">
      <c r="D524" s="15"/>
    </row>
    <row r="525" spans="4:4" ht="14.25" customHeight="1" x14ac:dyDescent="0.25">
      <c r="D525" s="15"/>
    </row>
    <row r="526" spans="4:4" ht="14.25" customHeight="1" x14ac:dyDescent="0.25">
      <c r="D526" s="15"/>
    </row>
    <row r="527" spans="4:4" ht="14.25" customHeight="1" x14ac:dyDescent="0.25">
      <c r="D527" s="15"/>
    </row>
    <row r="528" spans="4:4" ht="14.25" customHeight="1" x14ac:dyDescent="0.25">
      <c r="D528" s="15"/>
    </row>
    <row r="529" spans="4:4" ht="14.25" customHeight="1" x14ac:dyDescent="0.25">
      <c r="D529" s="15"/>
    </row>
    <row r="530" spans="4:4" ht="14.25" customHeight="1" x14ac:dyDescent="0.25">
      <c r="D530" s="15"/>
    </row>
    <row r="531" spans="4:4" ht="14.25" customHeight="1" x14ac:dyDescent="0.25">
      <c r="D531" s="15"/>
    </row>
    <row r="532" spans="4:4" ht="14.25" customHeight="1" x14ac:dyDescent="0.25">
      <c r="D532" s="15"/>
    </row>
    <row r="533" spans="4:4" ht="14.25" customHeight="1" x14ac:dyDescent="0.25">
      <c r="D533" s="15"/>
    </row>
    <row r="534" spans="4:4" ht="14.25" customHeight="1" x14ac:dyDescent="0.25">
      <c r="D534" s="15"/>
    </row>
    <row r="535" spans="4:4" ht="14.25" customHeight="1" x14ac:dyDescent="0.25">
      <c r="D535" s="15"/>
    </row>
    <row r="536" spans="4:4" ht="14.25" customHeight="1" x14ac:dyDescent="0.25">
      <c r="D536" s="15"/>
    </row>
    <row r="537" spans="4:4" ht="14.25" customHeight="1" x14ac:dyDescent="0.25">
      <c r="D537" s="15"/>
    </row>
    <row r="538" spans="4:4" ht="14.25" customHeight="1" x14ac:dyDescent="0.25">
      <c r="D538" s="15"/>
    </row>
    <row r="539" spans="4:4" ht="14.25" customHeight="1" x14ac:dyDescent="0.25">
      <c r="D539" s="15"/>
    </row>
    <row r="540" spans="4:4" ht="14.25" customHeight="1" x14ac:dyDescent="0.25">
      <c r="D540" s="15"/>
    </row>
    <row r="541" spans="4:4" ht="14.25" customHeight="1" x14ac:dyDescent="0.25">
      <c r="D541" s="15"/>
    </row>
    <row r="542" spans="4:4" ht="14.25" customHeight="1" x14ac:dyDescent="0.25">
      <c r="D542" s="15"/>
    </row>
    <row r="543" spans="4:4" ht="14.25" customHeight="1" x14ac:dyDescent="0.25">
      <c r="D543" s="15"/>
    </row>
    <row r="544" spans="4:4" ht="14.25" customHeight="1" x14ac:dyDescent="0.25">
      <c r="D544" s="15"/>
    </row>
    <row r="545" spans="4:4" ht="14.25" customHeight="1" x14ac:dyDescent="0.25">
      <c r="D545" s="15"/>
    </row>
    <row r="546" spans="4:4" ht="14.25" customHeight="1" x14ac:dyDescent="0.25">
      <c r="D546" s="15"/>
    </row>
    <row r="547" spans="4:4" ht="14.25" customHeight="1" x14ac:dyDescent="0.25">
      <c r="D547" s="15"/>
    </row>
    <row r="548" spans="4:4" ht="14.25" customHeight="1" x14ac:dyDescent="0.25">
      <c r="D548" s="15"/>
    </row>
    <row r="549" spans="4:4" ht="14.25" customHeight="1" x14ac:dyDescent="0.25">
      <c r="D549" s="15"/>
    </row>
    <row r="550" spans="4:4" ht="14.25" customHeight="1" x14ac:dyDescent="0.25">
      <c r="D550" s="15"/>
    </row>
    <row r="551" spans="4:4" ht="14.25" customHeight="1" x14ac:dyDescent="0.25">
      <c r="D551" s="15"/>
    </row>
    <row r="552" spans="4:4" ht="14.25" customHeight="1" x14ac:dyDescent="0.25">
      <c r="D552" s="15"/>
    </row>
    <row r="553" spans="4:4" ht="14.25" customHeight="1" x14ac:dyDescent="0.25">
      <c r="D553" s="15"/>
    </row>
    <row r="554" spans="4:4" ht="14.25" customHeight="1" x14ac:dyDescent="0.25">
      <c r="D554" s="15"/>
    </row>
    <row r="555" spans="4:4" ht="14.25" customHeight="1" x14ac:dyDescent="0.25">
      <c r="D555" s="15"/>
    </row>
    <row r="556" spans="4:4" ht="14.25" customHeight="1" x14ac:dyDescent="0.25">
      <c r="D556" s="15"/>
    </row>
    <row r="557" spans="4:4" ht="14.25" customHeight="1" x14ac:dyDescent="0.25">
      <c r="D557" s="15"/>
    </row>
    <row r="558" spans="4:4" ht="14.25" customHeight="1" x14ac:dyDescent="0.25">
      <c r="D558" s="15"/>
    </row>
    <row r="559" spans="4:4" ht="14.25" customHeight="1" x14ac:dyDescent="0.25">
      <c r="D559" s="15"/>
    </row>
    <row r="560" spans="4:4" ht="14.25" customHeight="1" x14ac:dyDescent="0.25">
      <c r="D560" s="15"/>
    </row>
    <row r="561" spans="4:4" ht="14.25" customHeight="1" x14ac:dyDescent="0.25">
      <c r="D561" s="15"/>
    </row>
    <row r="562" spans="4:4" ht="14.25" customHeight="1" x14ac:dyDescent="0.25">
      <c r="D562" s="15"/>
    </row>
    <row r="563" spans="4:4" ht="14.25" customHeight="1" x14ac:dyDescent="0.25">
      <c r="D563" s="15"/>
    </row>
    <row r="564" spans="4:4" ht="14.25" customHeight="1" x14ac:dyDescent="0.25">
      <c r="D564" s="15"/>
    </row>
    <row r="565" spans="4:4" ht="14.25" customHeight="1" x14ac:dyDescent="0.25">
      <c r="D565" s="15"/>
    </row>
    <row r="566" spans="4:4" ht="14.25" customHeight="1" x14ac:dyDescent="0.25">
      <c r="D566" s="15"/>
    </row>
    <row r="567" spans="4:4" ht="14.25" customHeight="1" x14ac:dyDescent="0.25">
      <c r="D567" s="15"/>
    </row>
    <row r="568" spans="4:4" ht="14.25" customHeight="1" x14ac:dyDescent="0.25">
      <c r="D568" s="15"/>
    </row>
    <row r="569" spans="4:4" ht="14.25" customHeight="1" x14ac:dyDescent="0.25">
      <c r="D569" s="15"/>
    </row>
    <row r="570" spans="4:4" ht="14.25" customHeight="1" x14ac:dyDescent="0.25">
      <c r="D570" s="15"/>
    </row>
    <row r="571" spans="4:4" ht="14.25" customHeight="1" x14ac:dyDescent="0.25">
      <c r="D571" s="15"/>
    </row>
    <row r="572" spans="4:4" ht="14.25" customHeight="1" x14ac:dyDescent="0.25">
      <c r="D572" s="15"/>
    </row>
    <row r="573" spans="4:4" ht="14.25" customHeight="1" x14ac:dyDescent="0.25">
      <c r="D573" s="15"/>
    </row>
    <row r="574" spans="4:4" ht="14.25" customHeight="1" x14ac:dyDescent="0.25">
      <c r="D574" s="15"/>
    </row>
    <row r="575" spans="4:4" ht="14.25" customHeight="1" x14ac:dyDescent="0.25">
      <c r="D575" s="15"/>
    </row>
    <row r="576" spans="4:4" ht="14.25" customHeight="1" x14ac:dyDescent="0.25">
      <c r="D576" s="15"/>
    </row>
    <row r="577" spans="4:4" ht="14.25" customHeight="1" x14ac:dyDescent="0.25">
      <c r="D577" s="15"/>
    </row>
    <row r="578" spans="4:4" ht="14.25" customHeight="1" x14ac:dyDescent="0.25">
      <c r="D578" s="15"/>
    </row>
    <row r="579" spans="4:4" ht="14.25" customHeight="1" x14ac:dyDescent="0.25">
      <c r="D579" s="15"/>
    </row>
    <row r="580" spans="4:4" ht="14.25" customHeight="1" x14ac:dyDescent="0.25">
      <c r="D580" s="15"/>
    </row>
    <row r="581" spans="4:4" ht="14.25" customHeight="1" x14ac:dyDescent="0.25">
      <c r="D581" s="15"/>
    </row>
    <row r="582" spans="4:4" ht="14.25" customHeight="1" x14ac:dyDescent="0.25">
      <c r="D582" s="15"/>
    </row>
    <row r="583" spans="4:4" ht="14.25" customHeight="1" x14ac:dyDescent="0.25">
      <c r="D583" s="15"/>
    </row>
    <row r="584" spans="4:4" ht="14.25" customHeight="1" x14ac:dyDescent="0.25">
      <c r="D584" s="15"/>
    </row>
    <row r="585" spans="4:4" ht="14.25" customHeight="1" x14ac:dyDescent="0.25">
      <c r="D585" s="15"/>
    </row>
    <row r="586" spans="4:4" ht="14.25" customHeight="1" x14ac:dyDescent="0.25">
      <c r="D586" s="15"/>
    </row>
    <row r="587" spans="4:4" ht="14.25" customHeight="1" x14ac:dyDescent="0.25">
      <c r="D587" s="15"/>
    </row>
    <row r="588" spans="4:4" ht="14.25" customHeight="1" x14ac:dyDescent="0.25">
      <c r="D588" s="15"/>
    </row>
    <row r="589" spans="4:4" ht="14.25" customHeight="1" x14ac:dyDescent="0.25">
      <c r="D589" s="15"/>
    </row>
    <row r="590" spans="4:4" ht="14.25" customHeight="1" x14ac:dyDescent="0.25">
      <c r="D590" s="15"/>
    </row>
    <row r="591" spans="4:4" ht="14.25" customHeight="1" x14ac:dyDescent="0.25">
      <c r="D591" s="15"/>
    </row>
    <row r="592" spans="4:4" ht="14.25" customHeight="1" x14ac:dyDescent="0.25">
      <c r="D592" s="15"/>
    </row>
    <row r="593" spans="4:4" ht="14.25" customHeight="1" x14ac:dyDescent="0.25">
      <c r="D593" s="15"/>
    </row>
    <row r="594" spans="4:4" ht="14.25" customHeight="1" x14ac:dyDescent="0.25">
      <c r="D594" s="15"/>
    </row>
    <row r="595" spans="4:4" ht="14.25" customHeight="1" x14ac:dyDescent="0.25">
      <c r="D595" s="15"/>
    </row>
    <row r="596" spans="4:4" ht="14.25" customHeight="1" x14ac:dyDescent="0.25">
      <c r="D596" s="15"/>
    </row>
    <row r="597" spans="4:4" ht="14.25" customHeight="1" x14ac:dyDescent="0.25">
      <c r="D597" s="15"/>
    </row>
    <row r="598" spans="4:4" ht="14.25" customHeight="1" x14ac:dyDescent="0.25">
      <c r="D598" s="15"/>
    </row>
    <row r="599" spans="4:4" ht="14.25" customHeight="1" x14ac:dyDescent="0.25">
      <c r="D599" s="15"/>
    </row>
    <row r="600" spans="4:4" ht="14.25" customHeight="1" x14ac:dyDescent="0.25">
      <c r="D600" s="15"/>
    </row>
    <row r="601" spans="4:4" ht="14.25" customHeight="1" x14ac:dyDescent="0.25">
      <c r="D601" s="15"/>
    </row>
    <row r="602" spans="4:4" ht="14.25" customHeight="1" x14ac:dyDescent="0.25">
      <c r="D602" s="15"/>
    </row>
    <row r="603" spans="4:4" ht="14.25" customHeight="1" x14ac:dyDescent="0.25">
      <c r="D603" s="15"/>
    </row>
    <row r="604" spans="4:4" ht="14.25" customHeight="1" x14ac:dyDescent="0.25">
      <c r="D604" s="15"/>
    </row>
    <row r="605" spans="4:4" ht="14.25" customHeight="1" x14ac:dyDescent="0.25">
      <c r="D605" s="15"/>
    </row>
    <row r="606" spans="4:4" ht="14.25" customHeight="1" x14ac:dyDescent="0.25">
      <c r="D606" s="15"/>
    </row>
    <row r="607" spans="4:4" ht="14.25" customHeight="1" x14ac:dyDescent="0.25">
      <c r="D607" s="15"/>
    </row>
    <row r="608" spans="4:4" ht="14.25" customHeight="1" x14ac:dyDescent="0.25">
      <c r="D608" s="15"/>
    </row>
    <row r="609" spans="4:4" ht="14.25" customHeight="1" x14ac:dyDescent="0.25">
      <c r="D609" s="15"/>
    </row>
    <row r="610" spans="4:4" ht="14.25" customHeight="1" x14ac:dyDescent="0.25">
      <c r="D610" s="15"/>
    </row>
    <row r="611" spans="4:4" ht="14.25" customHeight="1" x14ac:dyDescent="0.25">
      <c r="D611" s="15"/>
    </row>
    <row r="612" spans="4:4" ht="14.25" customHeight="1" x14ac:dyDescent="0.25">
      <c r="D612" s="15"/>
    </row>
    <row r="613" spans="4:4" ht="14.25" customHeight="1" x14ac:dyDescent="0.25">
      <c r="D613" s="15"/>
    </row>
    <row r="614" spans="4:4" ht="14.25" customHeight="1" x14ac:dyDescent="0.25">
      <c r="D614" s="15"/>
    </row>
    <row r="615" spans="4:4" ht="14.25" customHeight="1" x14ac:dyDescent="0.25">
      <c r="D615" s="15"/>
    </row>
    <row r="616" spans="4:4" ht="14.25" customHeight="1" x14ac:dyDescent="0.25">
      <c r="D616" s="15"/>
    </row>
    <row r="617" spans="4:4" ht="14.25" customHeight="1" x14ac:dyDescent="0.25">
      <c r="D617" s="15"/>
    </row>
    <row r="618" spans="4:4" ht="14.25" customHeight="1" x14ac:dyDescent="0.25">
      <c r="D618" s="15"/>
    </row>
    <row r="619" spans="4:4" ht="14.25" customHeight="1" x14ac:dyDescent="0.25">
      <c r="D619" s="15"/>
    </row>
    <row r="620" spans="4:4" ht="14.25" customHeight="1" x14ac:dyDescent="0.25">
      <c r="D620" s="15"/>
    </row>
    <row r="621" spans="4:4" ht="14.25" customHeight="1" x14ac:dyDescent="0.25">
      <c r="D621" s="15"/>
    </row>
    <row r="622" spans="4:4" ht="14.25" customHeight="1" x14ac:dyDescent="0.25">
      <c r="D622" s="15"/>
    </row>
    <row r="623" spans="4:4" ht="14.25" customHeight="1" x14ac:dyDescent="0.25">
      <c r="D623" s="15"/>
    </row>
    <row r="624" spans="4:4" ht="14.25" customHeight="1" x14ac:dyDescent="0.25">
      <c r="D624" s="15"/>
    </row>
    <row r="625" spans="4:4" ht="14.25" customHeight="1" x14ac:dyDescent="0.25">
      <c r="D625" s="15"/>
    </row>
    <row r="626" spans="4:4" ht="14.25" customHeight="1" x14ac:dyDescent="0.25">
      <c r="D626" s="15"/>
    </row>
    <row r="627" spans="4:4" ht="14.25" customHeight="1" x14ac:dyDescent="0.25">
      <c r="D627" s="15"/>
    </row>
    <row r="628" spans="4:4" ht="14.25" customHeight="1" x14ac:dyDescent="0.25">
      <c r="D628" s="15"/>
    </row>
    <row r="629" spans="4:4" ht="14.25" customHeight="1" x14ac:dyDescent="0.25">
      <c r="D629" s="15"/>
    </row>
    <row r="630" spans="4:4" ht="14.25" customHeight="1" x14ac:dyDescent="0.25">
      <c r="D630" s="15"/>
    </row>
    <row r="631" spans="4:4" ht="14.25" customHeight="1" x14ac:dyDescent="0.25">
      <c r="D631" s="15"/>
    </row>
    <row r="632" spans="4:4" ht="14.25" customHeight="1" x14ac:dyDescent="0.25">
      <c r="D632" s="15"/>
    </row>
    <row r="633" spans="4:4" ht="14.25" customHeight="1" x14ac:dyDescent="0.25">
      <c r="D633" s="15"/>
    </row>
    <row r="634" spans="4:4" ht="14.25" customHeight="1" x14ac:dyDescent="0.25">
      <c r="D634" s="15"/>
    </row>
    <row r="635" spans="4:4" ht="14.25" customHeight="1" x14ac:dyDescent="0.25">
      <c r="D635" s="15"/>
    </row>
    <row r="636" spans="4:4" ht="14.25" customHeight="1" x14ac:dyDescent="0.25">
      <c r="D636" s="15"/>
    </row>
    <row r="637" spans="4:4" ht="14.25" customHeight="1" x14ac:dyDescent="0.25">
      <c r="D637" s="15"/>
    </row>
    <row r="638" spans="4:4" ht="14.25" customHeight="1" x14ac:dyDescent="0.25">
      <c r="D638" s="15"/>
    </row>
    <row r="639" spans="4:4" ht="14.25" customHeight="1" x14ac:dyDescent="0.25">
      <c r="D639" s="15"/>
    </row>
    <row r="640" spans="4:4" ht="14.25" customHeight="1" x14ac:dyDescent="0.25">
      <c r="D640" s="15"/>
    </row>
    <row r="641" spans="4:4" ht="14.25" customHeight="1" x14ac:dyDescent="0.25">
      <c r="D641" s="15"/>
    </row>
    <row r="642" spans="4:4" ht="14.25" customHeight="1" x14ac:dyDescent="0.25">
      <c r="D642" s="15"/>
    </row>
    <row r="643" spans="4:4" ht="14.25" customHeight="1" x14ac:dyDescent="0.25">
      <c r="D643" s="15"/>
    </row>
    <row r="644" spans="4:4" ht="14.25" customHeight="1" x14ac:dyDescent="0.25">
      <c r="D644" s="15"/>
    </row>
    <row r="645" spans="4:4" ht="14.25" customHeight="1" x14ac:dyDescent="0.25">
      <c r="D645" s="15"/>
    </row>
    <row r="646" spans="4:4" ht="14.25" customHeight="1" x14ac:dyDescent="0.25">
      <c r="D646" s="15"/>
    </row>
    <row r="647" spans="4:4" ht="14.25" customHeight="1" x14ac:dyDescent="0.25">
      <c r="D647" s="15"/>
    </row>
    <row r="648" spans="4:4" ht="14.25" customHeight="1" x14ac:dyDescent="0.25">
      <c r="D648" s="15"/>
    </row>
    <row r="649" spans="4:4" ht="14.25" customHeight="1" x14ac:dyDescent="0.25">
      <c r="D649" s="15"/>
    </row>
    <row r="650" spans="4:4" ht="14.25" customHeight="1" x14ac:dyDescent="0.25">
      <c r="D650" s="15"/>
    </row>
    <row r="651" spans="4:4" ht="14.25" customHeight="1" x14ac:dyDescent="0.25">
      <c r="D651" s="15"/>
    </row>
    <row r="652" spans="4:4" ht="14.25" customHeight="1" x14ac:dyDescent="0.25">
      <c r="D652" s="15"/>
    </row>
    <row r="653" spans="4:4" ht="14.25" customHeight="1" x14ac:dyDescent="0.25">
      <c r="D653" s="15"/>
    </row>
    <row r="654" spans="4:4" ht="14.25" customHeight="1" x14ac:dyDescent="0.25">
      <c r="D654" s="15"/>
    </row>
    <row r="655" spans="4:4" ht="14.25" customHeight="1" x14ac:dyDescent="0.25">
      <c r="D655" s="15"/>
    </row>
    <row r="656" spans="4:4" ht="14.25" customHeight="1" x14ac:dyDescent="0.25">
      <c r="D656" s="15"/>
    </row>
    <row r="657" spans="4:4" ht="14.25" customHeight="1" x14ac:dyDescent="0.25">
      <c r="D657" s="15"/>
    </row>
    <row r="658" spans="4:4" ht="14.25" customHeight="1" x14ac:dyDescent="0.25">
      <c r="D658" s="15"/>
    </row>
    <row r="659" spans="4:4" ht="14.25" customHeight="1" x14ac:dyDescent="0.25">
      <c r="D659" s="15"/>
    </row>
    <row r="660" spans="4:4" ht="14.25" customHeight="1" x14ac:dyDescent="0.25">
      <c r="D660" s="15"/>
    </row>
    <row r="661" spans="4:4" ht="14.25" customHeight="1" x14ac:dyDescent="0.25">
      <c r="D661" s="15"/>
    </row>
    <row r="662" spans="4:4" ht="14.25" customHeight="1" x14ac:dyDescent="0.25">
      <c r="D662" s="15"/>
    </row>
    <row r="663" spans="4:4" ht="14.25" customHeight="1" x14ac:dyDescent="0.25">
      <c r="D663" s="15"/>
    </row>
    <row r="664" spans="4:4" ht="14.25" customHeight="1" x14ac:dyDescent="0.25">
      <c r="D664" s="15"/>
    </row>
    <row r="665" spans="4:4" ht="14.25" customHeight="1" x14ac:dyDescent="0.25">
      <c r="D665" s="15"/>
    </row>
    <row r="666" spans="4:4" ht="14.25" customHeight="1" x14ac:dyDescent="0.25">
      <c r="D666" s="15"/>
    </row>
    <row r="667" spans="4:4" ht="14.25" customHeight="1" x14ac:dyDescent="0.25">
      <c r="D667" s="15"/>
    </row>
    <row r="668" spans="4:4" ht="14.25" customHeight="1" x14ac:dyDescent="0.25">
      <c r="D668" s="15"/>
    </row>
    <row r="669" spans="4:4" ht="14.25" customHeight="1" x14ac:dyDescent="0.25">
      <c r="D669" s="15"/>
    </row>
    <row r="670" spans="4:4" ht="14.25" customHeight="1" x14ac:dyDescent="0.25">
      <c r="D670" s="15"/>
    </row>
    <row r="671" spans="4:4" ht="14.25" customHeight="1" x14ac:dyDescent="0.25">
      <c r="D671" s="15"/>
    </row>
    <row r="672" spans="4:4" ht="14.25" customHeight="1" x14ac:dyDescent="0.25">
      <c r="D672" s="15"/>
    </row>
    <row r="673" spans="4:4" ht="14.25" customHeight="1" x14ac:dyDescent="0.25">
      <c r="D673" s="15"/>
    </row>
    <row r="674" spans="4:4" ht="14.25" customHeight="1" x14ac:dyDescent="0.25">
      <c r="D674" s="15"/>
    </row>
    <row r="675" spans="4:4" ht="14.25" customHeight="1" x14ac:dyDescent="0.25">
      <c r="D675" s="15"/>
    </row>
    <row r="676" spans="4:4" ht="14.25" customHeight="1" x14ac:dyDescent="0.25">
      <c r="D676" s="15"/>
    </row>
    <row r="677" spans="4:4" ht="14.25" customHeight="1" x14ac:dyDescent="0.25">
      <c r="D677" s="15"/>
    </row>
    <row r="678" spans="4:4" ht="14.25" customHeight="1" x14ac:dyDescent="0.25">
      <c r="D678" s="15"/>
    </row>
    <row r="679" spans="4:4" ht="14.25" customHeight="1" x14ac:dyDescent="0.25">
      <c r="D679" s="15"/>
    </row>
    <row r="680" spans="4:4" ht="14.25" customHeight="1" x14ac:dyDescent="0.25">
      <c r="D680" s="15"/>
    </row>
    <row r="681" spans="4:4" ht="14.25" customHeight="1" x14ac:dyDescent="0.25">
      <c r="D681" s="15"/>
    </row>
    <row r="682" spans="4:4" ht="14.25" customHeight="1" x14ac:dyDescent="0.25">
      <c r="D682" s="15"/>
    </row>
    <row r="683" spans="4:4" ht="14.25" customHeight="1" x14ac:dyDescent="0.25">
      <c r="D683" s="15"/>
    </row>
    <row r="684" spans="4:4" ht="14.25" customHeight="1" x14ac:dyDescent="0.25">
      <c r="D684" s="15"/>
    </row>
    <row r="685" spans="4:4" ht="14.25" customHeight="1" x14ac:dyDescent="0.25">
      <c r="D685" s="15"/>
    </row>
    <row r="686" spans="4:4" ht="14.25" customHeight="1" x14ac:dyDescent="0.25">
      <c r="D686" s="15"/>
    </row>
    <row r="687" spans="4:4" ht="14.25" customHeight="1" x14ac:dyDescent="0.25">
      <c r="D687" s="15"/>
    </row>
    <row r="688" spans="4:4" ht="14.25" customHeight="1" x14ac:dyDescent="0.25">
      <c r="D688" s="15"/>
    </row>
    <row r="689" spans="4:4" ht="14.25" customHeight="1" x14ac:dyDescent="0.25">
      <c r="D689" s="15"/>
    </row>
    <row r="690" spans="4:4" ht="14.25" customHeight="1" x14ac:dyDescent="0.25">
      <c r="D690" s="15"/>
    </row>
    <row r="691" spans="4:4" ht="14.25" customHeight="1" x14ac:dyDescent="0.25">
      <c r="D691" s="15"/>
    </row>
    <row r="692" spans="4:4" ht="14.25" customHeight="1" x14ac:dyDescent="0.25">
      <c r="D692" s="15"/>
    </row>
    <row r="693" spans="4:4" ht="14.25" customHeight="1" x14ac:dyDescent="0.25">
      <c r="D693" s="15"/>
    </row>
    <row r="694" spans="4:4" ht="14.25" customHeight="1" x14ac:dyDescent="0.25">
      <c r="D694" s="15"/>
    </row>
    <row r="695" spans="4:4" ht="14.25" customHeight="1" x14ac:dyDescent="0.25">
      <c r="D695" s="15"/>
    </row>
    <row r="696" spans="4:4" ht="14.25" customHeight="1" x14ac:dyDescent="0.25">
      <c r="D696" s="15"/>
    </row>
    <row r="697" spans="4:4" ht="14.25" customHeight="1" x14ac:dyDescent="0.25">
      <c r="D697" s="15"/>
    </row>
    <row r="698" spans="4:4" ht="14.25" customHeight="1" x14ac:dyDescent="0.25">
      <c r="D698" s="15"/>
    </row>
    <row r="699" spans="4:4" ht="14.25" customHeight="1" x14ac:dyDescent="0.25">
      <c r="D699" s="15"/>
    </row>
    <row r="700" spans="4:4" ht="14.25" customHeight="1" x14ac:dyDescent="0.25">
      <c r="D700" s="15"/>
    </row>
    <row r="701" spans="4:4" ht="14.25" customHeight="1" x14ac:dyDescent="0.25">
      <c r="D701" s="15"/>
    </row>
    <row r="702" spans="4:4" ht="14.25" customHeight="1" x14ac:dyDescent="0.25">
      <c r="D702" s="15"/>
    </row>
    <row r="703" spans="4:4" ht="14.25" customHeight="1" x14ac:dyDescent="0.25">
      <c r="D703" s="15"/>
    </row>
    <row r="704" spans="4:4" ht="14.25" customHeight="1" x14ac:dyDescent="0.25">
      <c r="D704" s="15"/>
    </row>
    <row r="705" spans="4:4" ht="14.25" customHeight="1" x14ac:dyDescent="0.25">
      <c r="D705" s="15"/>
    </row>
    <row r="706" spans="4:4" ht="14.25" customHeight="1" x14ac:dyDescent="0.25">
      <c r="D706" s="15"/>
    </row>
    <row r="707" spans="4:4" ht="14.25" customHeight="1" x14ac:dyDescent="0.25">
      <c r="D707" s="15"/>
    </row>
    <row r="708" spans="4:4" ht="14.25" customHeight="1" x14ac:dyDescent="0.25">
      <c r="D708" s="15"/>
    </row>
    <row r="709" spans="4:4" ht="14.25" customHeight="1" x14ac:dyDescent="0.25">
      <c r="D709" s="15"/>
    </row>
    <row r="710" spans="4:4" ht="14.25" customHeight="1" x14ac:dyDescent="0.25">
      <c r="D710" s="15"/>
    </row>
    <row r="711" spans="4:4" ht="14.25" customHeight="1" x14ac:dyDescent="0.25">
      <c r="D711" s="15"/>
    </row>
    <row r="712" spans="4:4" ht="14.25" customHeight="1" x14ac:dyDescent="0.25">
      <c r="D712" s="15"/>
    </row>
    <row r="713" spans="4:4" ht="14.25" customHeight="1" x14ac:dyDescent="0.25">
      <c r="D713" s="15"/>
    </row>
    <row r="714" spans="4:4" ht="14.25" customHeight="1" x14ac:dyDescent="0.25">
      <c r="D714" s="15"/>
    </row>
    <row r="715" spans="4:4" ht="14.25" customHeight="1" x14ac:dyDescent="0.25">
      <c r="D715" s="15"/>
    </row>
    <row r="716" spans="4:4" ht="14.25" customHeight="1" x14ac:dyDescent="0.25">
      <c r="D716" s="15"/>
    </row>
    <row r="717" spans="4:4" ht="14.25" customHeight="1" x14ac:dyDescent="0.25">
      <c r="D717" s="15"/>
    </row>
    <row r="718" spans="4:4" ht="14.25" customHeight="1" x14ac:dyDescent="0.25">
      <c r="D718" s="15"/>
    </row>
    <row r="719" spans="4:4" ht="14.25" customHeight="1" x14ac:dyDescent="0.25">
      <c r="D719" s="15"/>
    </row>
    <row r="720" spans="4:4" ht="14.25" customHeight="1" x14ac:dyDescent="0.25">
      <c r="D720" s="15"/>
    </row>
    <row r="721" spans="4:4" ht="14.25" customHeight="1" x14ac:dyDescent="0.25">
      <c r="D721" s="15"/>
    </row>
    <row r="722" spans="4:4" ht="14.25" customHeight="1" x14ac:dyDescent="0.25">
      <c r="D722" s="15"/>
    </row>
    <row r="723" spans="4:4" ht="14.25" customHeight="1" x14ac:dyDescent="0.25">
      <c r="D723" s="15"/>
    </row>
    <row r="724" spans="4:4" ht="14.25" customHeight="1" x14ac:dyDescent="0.25">
      <c r="D724" s="15"/>
    </row>
    <row r="725" spans="4:4" ht="14.25" customHeight="1" x14ac:dyDescent="0.25">
      <c r="D725" s="15"/>
    </row>
    <row r="726" spans="4:4" ht="14.25" customHeight="1" x14ac:dyDescent="0.25">
      <c r="D726" s="15"/>
    </row>
    <row r="727" spans="4:4" ht="14.25" customHeight="1" x14ac:dyDescent="0.25">
      <c r="D727" s="15"/>
    </row>
    <row r="728" spans="4:4" ht="14.25" customHeight="1" x14ac:dyDescent="0.25">
      <c r="D728" s="15"/>
    </row>
    <row r="729" spans="4:4" ht="14.25" customHeight="1" x14ac:dyDescent="0.25">
      <c r="D729" s="15"/>
    </row>
    <row r="730" spans="4:4" ht="14.25" customHeight="1" x14ac:dyDescent="0.25">
      <c r="D730" s="15"/>
    </row>
    <row r="731" spans="4:4" ht="14.25" customHeight="1" x14ac:dyDescent="0.25">
      <c r="D731" s="15"/>
    </row>
    <row r="732" spans="4:4" ht="14.25" customHeight="1" x14ac:dyDescent="0.25">
      <c r="D732" s="15"/>
    </row>
    <row r="733" spans="4:4" ht="14.25" customHeight="1" x14ac:dyDescent="0.25">
      <c r="D733" s="15"/>
    </row>
    <row r="734" spans="4:4" ht="14.25" customHeight="1" x14ac:dyDescent="0.25">
      <c r="D734" s="15"/>
    </row>
    <row r="735" spans="4:4" ht="14.25" customHeight="1" x14ac:dyDescent="0.25">
      <c r="D735" s="15"/>
    </row>
    <row r="736" spans="4:4" ht="14.25" customHeight="1" x14ac:dyDescent="0.25">
      <c r="D736" s="15"/>
    </row>
    <row r="737" spans="4:4" ht="14.25" customHeight="1" x14ac:dyDescent="0.25">
      <c r="D737" s="15"/>
    </row>
    <row r="738" spans="4:4" ht="14.25" customHeight="1" x14ac:dyDescent="0.25">
      <c r="D738" s="15"/>
    </row>
    <row r="739" spans="4:4" ht="14.25" customHeight="1" x14ac:dyDescent="0.25">
      <c r="D739" s="15"/>
    </row>
    <row r="740" spans="4:4" ht="14.25" customHeight="1" x14ac:dyDescent="0.25">
      <c r="D740" s="15"/>
    </row>
    <row r="741" spans="4:4" ht="14.25" customHeight="1" x14ac:dyDescent="0.25">
      <c r="D741" s="15"/>
    </row>
    <row r="742" spans="4:4" ht="14.25" customHeight="1" x14ac:dyDescent="0.25">
      <c r="D742" s="15"/>
    </row>
    <row r="743" spans="4:4" ht="14.25" customHeight="1" x14ac:dyDescent="0.25">
      <c r="D743" s="15"/>
    </row>
    <row r="744" spans="4:4" ht="14.25" customHeight="1" x14ac:dyDescent="0.25">
      <c r="D744" s="15"/>
    </row>
    <row r="745" spans="4:4" ht="14.25" customHeight="1" x14ac:dyDescent="0.25">
      <c r="D745" s="15"/>
    </row>
    <row r="746" spans="4:4" ht="14.25" customHeight="1" x14ac:dyDescent="0.25">
      <c r="D746" s="15"/>
    </row>
    <row r="747" spans="4:4" ht="14.25" customHeight="1" x14ac:dyDescent="0.25">
      <c r="D747" s="15"/>
    </row>
    <row r="748" spans="4:4" ht="14.25" customHeight="1" x14ac:dyDescent="0.25">
      <c r="D748" s="15"/>
    </row>
    <row r="749" spans="4:4" ht="14.25" customHeight="1" x14ac:dyDescent="0.25">
      <c r="D749" s="15"/>
    </row>
    <row r="750" spans="4:4" ht="14.25" customHeight="1" x14ac:dyDescent="0.25">
      <c r="D750" s="15"/>
    </row>
    <row r="751" spans="4:4" ht="14.25" customHeight="1" x14ac:dyDescent="0.25">
      <c r="D751" s="15"/>
    </row>
    <row r="752" spans="4:4" ht="14.25" customHeight="1" x14ac:dyDescent="0.25">
      <c r="D752" s="15"/>
    </row>
    <row r="753" spans="4:4" ht="14.25" customHeight="1" x14ac:dyDescent="0.25">
      <c r="D753" s="15"/>
    </row>
    <row r="754" spans="4:4" ht="14.25" customHeight="1" x14ac:dyDescent="0.25">
      <c r="D754" s="15"/>
    </row>
    <row r="755" spans="4:4" ht="14.25" customHeight="1" x14ac:dyDescent="0.25">
      <c r="D755" s="15"/>
    </row>
    <row r="756" spans="4:4" ht="14.25" customHeight="1" x14ac:dyDescent="0.25">
      <c r="D756" s="15"/>
    </row>
    <row r="757" spans="4:4" ht="14.25" customHeight="1" x14ac:dyDescent="0.25">
      <c r="D757" s="15"/>
    </row>
    <row r="758" spans="4:4" ht="14.25" customHeight="1" x14ac:dyDescent="0.25">
      <c r="D758" s="15"/>
    </row>
    <row r="759" spans="4:4" ht="14.25" customHeight="1" x14ac:dyDescent="0.25">
      <c r="D759" s="15"/>
    </row>
    <row r="760" spans="4:4" ht="14.25" customHeight="1" x14ac:dyDescent="0.25">
      <c r="D760" s="15"/>
    </row>
    <row r="761" spans="4:4" ht="14.25" customHeight="1" x14ac:dyDescent="0.25">
      <c r="D761" s="15"/>
    </row>
    <row r="762" spans="4:4" ht="14.25" customHeight="1" x14ac:dyDescent="0.25">
      <c r="D762" s="15"/>
    </row>
    <row r="763" spans="4:4" ht="14.25" customHeight="1" x14ac:dyDescent="0.25">
      <c r="D763" s="15"/>
    </row>
    <row r="764" spans="4:4" ht="14.25" customHeight="1" x14ac:dyDescent="0.25">
      <c r="D764" s="15"/>
    </row>
    <row r="765" spans="4:4" ht="14.25" customHeight="1" x14ac:dyDescent="0.25">
      <c r="D765" s="15"/>
    </row>
    <row r="766" spans="4:4" ht="14.25" customHeight="1" x14ac:dyDescent="0.25">
      <c r="D766" s="15"/>
    </row>
    <row r="767" spans="4:4" ht="14.25" customHeight="1" x14ac:dyDescent="0.25">
      <c r="D767" s="15"/>
    </row>
    <row r="768" spans="4:4" ht="14.25" customHeight="1" x14ac:dyDescent="0.25">
      <c r="D768" s="15"/>
    </row>
    <row r="769" spans="4:4" ht="14.25" customHeight="1" x14ac:dyDescent="0.25">
      <c r="D769" s="15"/>
    </row>
    <row r="770" spans="4:4" ht="14.25" customHeight="1" x14ac:dyDescent="0.25">
      <c r="D770" s="15"/>
    </row>
    <row r="771" spans="4:4" ht="14.25" customHeight="1" x14ac:dyDescent="0.25">
      <c r="D771" s="15"/>
    </row>
    <row r="772" spans="4:4" ht="14.25" customHeight="1" x14ac:dyDescent="0.25">
      <c r="D772" s="15"/>
    </row>
    <row r="773" spans="4:4" ht="14.25" customHeight="1" x14ac:dyDescent="0.25">
      <c r="D773" s="15"/>
    </row>
    <row r="774" spans="4:4" ht="14.25" customHeight="1" x14ac:dyDescent="0.25">
      <c r="D774" s="15"/>
    </row>
    <row r="775" spans="4:4" ht="14.25" customHeight="1" x14ac:dyDescent="0.25">
      <c r="D775" s="15"/>
    </row>
    <row r="776" spans="4:4" ht="14.25" customHeight="1" x14ac:dyDescent="0.25">
      <c r="D776" s="15"/>
    </row>
    <row r="777" spans="4:4" ht="14.25" customHeight="1" x14ac:dyDescent="0.25">
      <c r="D777" s="15"/>
    </row>
    <row r="778" spans="4:4" ht="14.25" customHeight="1" x14ac:dyDescent="0.25">
      <c r="D778" s="15"/>
    </row>
    <row r="779" spans="4:4" ht="14.25" customHeight="1" x14ac:dyDescent="0.25">
      <c r="D779" s="15"/>
    </row>
    <row r="780" spans="4:4" ht="14.25" customHeight="1" x14ac:dyDescent="0.25">
      <c r="D780" s="15"/>
    </row>
    <row r="781" spans="4:4" ht="14.25" customHeight="1" x14ac:dyDescent="0.25">
      <c r="D781" s="15"/>
    </row>
    <row r="782" spans="4:4" ht="14.25" customHeight="1" x14ac:dyDescent="0.25">
      <c r="D782" s="15"/>
    </row>
    <row r="783" spans="4:4" ht="14.25" customHeight="1" x14ac:dyDescent="0.25">
      <c r="D783" s="15"/>
    </row>
    <row r="784" spans="4:4" ht="14.25" customHeight="1" x14ac:dyDescent="0.25">
      <c r="D784" s="15"/>
    </row>
    <row r="785" spans="4:4" ht="14.25" customHeight="1" x14ac:dyDescent="0.25">
      <c r="D785" s="15"/>
    </row>
    <row r="786" spans="4:4" ht="14.25" customHeight="1" x14ac:dyDescent="0.25">
      <c r="D786" s="15"/>
    </row>
    <row r="787" spans="4:4" ht="14.25" customHeight="1" x14ac:dyDescent="0.25">
      <c r="D787" s="15"/>
    </row>
    <row r="788" spans="4:4" ht="14.25" customHeight="1" x14ac:dyDescent="0.25">
      <c r="D788" s="15"/>
    </row>
    <row r="789" spans="4:4" ht="14.25" customHeight="1" x14ac:dyDescent="0.25">
      <c r="D789" s="15"/>
    </row>
    <row r="790" spans="4:4" ht="14.25" customHeight="1" x14ac:dyDescent="0.25">
      <c r="D790" s="15"/>
    </row>
    <row r="791" spans="4:4" ht="14.25" customHeight="1" x14ac:dyDescent="0.25">
      <c r="D791" s="15"/>
    </row>
    <row r="792" spans="4:4" ht="14.25" customHeight="1" x14ac:dyDescent="0.25">
      <c r="D792" s="15"/>
    </row>
    <row r="793" spans="4:4" ht="14.25" customHeight="1" x14ac:dyDescent="0.25">
      <c r="D793" s="15"/>
    </row>
    <row r="794" spans="4:4" ht="14.25" customHeight="1" x14ac:dyDescent="0.25">
      <c r="D794" s="15"/>
    </row>
    <row r="795" spans="4:4" ht="14.25" customHeight="1" x14ac:dyDescent="0.25">
      <c r="D795" s="15"/>
    </row>
    <row r="796" spans="4:4" ht="14.25" customHeight="1" x14ac:dyDescent="0.25">
      <c r="D796" s="15"/>
    </row>
    <row r="797" spans="4:4" ht="14.25" customHeight="1" x14ac:dyDescent="0.25">
      <c r="D797" s="15"/>
    </row>
    <row r="798" spans="4:4" ht="14.25" customHeight="1" x14ac:dyDescent="0.25">
      <c r="D798" s="15"/>
    </row>
    <row r="799" spans="4:4" ht="14.25" customHeight="1" x14ac:dyDescent="0.25">
      <c r="D799" s="15"/>
    </row>
    <row r="800" spans="4:4" ht="14.25" customHeight="1" x14ac:dyDescent="0.25">
      <c r="D800" s="15"/>
    </row>
    <row r="801" spans="4:4" ht="14.25" customHeight="1" x14ac:dyDescent="0.25">
      <c r="D801" s="15"/>
    </row>
    <row r="802" spans="4:4" ht="14.25" customHeight="1" x14ac:dyDescent="0.25">
      <c r="D802" s="15"/>
    </row>
    <row r="803" spans="4:4" ht="14.25" customHeight="1" x14ac:dyDescent="0.25">
      <c r="D803" s="15"/>
    </row>
    <row r="804" spans="4:4" ht="14.25" customHeight="1" x14ac:dyDescent="0.25">
      <c r="D804" s="15"/>
    </row>
    <row r="805" spans="4:4" ht="14.25" customHeight="1" x14ac:dyDescent="0.25">
      <c r="D805" s="15"/>
    </row>
    <row r="806" spans="4:4" ht="14.25" customHeight="1" x14ac:dyDescent="0.25">
      <c r="D806" s="15"/>
    </row>
    <row r="807" spans="4:4" ht="14.25" customHeight="1" x14ac:dyDescent="0.25">
      <c r="D807" s="15"/>
    </row>
    <row r="808" spans="4:4" ht="14.25" customHeight="1" x14ac:dyDescent="0.25">
      <c r="D808" s="15"/>
    </row>
    <row r="809" spans="4:4" ht="14.25" customHeight="1" x14ac:dyDescent="0.25">
      <c r="D809" s="15"/>
    </row>
    <row r="810" spans="4:4" ht="14.25" customHeight="1" x14ac:dyDescent="0.25">
      <c r="D810" s="15"/>
    </row>
    <row r="811" spans="4:4" ht="14.25" customHeight="1" x14ac:dyDescent="0.25">
      <c r="D811" s="15"/>
    </row>
    <row r="812" spans="4:4" ht="14.25" customHeight="1" x14ac:dyDescent="0.25">
      <c r="D812" s="15"/>
    </row>
    <row r="813" spans="4:4" ht="14.25" customHeight="1" x14ac:dyDescent="0.25">
      <c r="D813" s="15"/>
    </row>
    <row r="814" spans="4:4" ht="14.25" customHeight="1" x14ac:dyDescent="0.25">
      <c r="D814" s="15"/>
    </row>
    <row r="815" spans="4:4" ht="14.25" customHeight="1" x14ac:dyDescent="0.25">
      <c r="D815" s="15"/>
    </row>
    <row r="816" spans="4:4" ht="14.25" customHeight="1" x14ac:dyDescent="0.25">
      <c r="D816" s="15"/>
    </row>
    <row r="817" spans="4:4" ht="14.25" customHeight="1" x14ac:dyDescent="0.25">
      <c r="D817" s="15"/>
    </row>
    <row r="818" spans="4:4" ht="14.25" customHeight="1" x14ac:dyDescent="0.25">
      <c r="D818" s="15"/>
    </row>
    <row r="819" spans="4:4" ht="14.25" customHeight="1" x14ac:dyDescent="0.25">
      <c r="D819" s="15"/>
    </row>
    <row r="820" spans="4:4" ht="14.25" customHeight="1" x14ac:dyDescent="0.25">
      <c r="D820" s="15"/>
    </row>
    <row r="821" spans="4:4" ht="14.25" customHeight="1" x14ac:dyDescent="0.25">
      <c r="D821" s="15"/>
    </row>
    <row r="822" spans="4:4" ht="14.25" customHeight="1" x14ac:dyDescent="0.25">
      <c r="D822" s="15"/>
    </row>
    <row r="823" spans="4:4" ht="14.25" customHeight="1" x14ac:dyDescent="0.25">
      <c r="D823" s="15"/>
    </row>
    <row r="824" spans="4:4" ht="14.25" customHeight="1" x14ac:dyDescent="0.25">
      <c r="D824" s="15"/>
    </row>
    <row r="825" spans="4:4" ht="14.25" customHeight="1" x14ac:dyDescent="0.25">
      <c r="D825" s="15"/>
    </row>
    <row r="826" spans="4:4" ht="14.25" customHeight="1" x14ac:dyDescent="0.25">
      <c r="D826" s="15"/>
    </row>
    <row r="827" spans="4:4" ht="14.25" customHeight="1" x14ac:dyDescent="0.25">
      <c r="D827" s="15"/>
    </row>
    <row r="828" spans="4:4" ht="14.25" customHeight="1" x14ac:dyDescent="0.25">
      <c r="D828" s="15"/>
    </row>
    <row r="829" spans="4:4" ht="14.25" customHeight="1" x14ac:dyDescent="0.25">
      <c r="D829" s="15"/>
    </row>
    <row r="830" spans="4:4" ht="14.25" customHeight="1" x14ac:dyDescent="0.25">
      <c r="D830" s="15"/>
    </row>
    <row r="831" spans="4:4" ht="14.25" customHeight="1" x14ac:dyDescent="0.25">
      <c r="D831" s="15"/>
    </row>
    <row r="832" spans="4:4" ht="14.25" customHeight="1" x14ac:dyDescent="0.25">
      <c r="D832" s="15"/>
    </row>
    <row r="833" spans="4:4" ht="14.25" customHeight="1" x14ac:dyDescent="0.25">
      <c r="D833" s="15"/>
    </row>
    <row r="834" spans="4:4" ht="14.25" customHeight="1" x14ac:dyDescent="0.25">
      <c r="D834" s="15"/>
    </row>
    <row r="835" spans="4:4" ht="14.25" customHeight="1" x14ac:dyDescent="0.25">
      <c r="D835" s="15"/>
    </row>
    <row r="836" spans="4:4" ht="14.25" customHeight="1" x14ac:dyDescent="0.25">
      <c r="D836" s="15"/>
    </row>
    <row r="837" spans="4:4" ht="14.25" customHeight="1" x14ac:dyDescent="0.25">
      <c r="D837" s="15"/>
    </row>
    <row r="838" spans="4:4" ht="14.25" customHeight="1" x14ac:dyDescent="0.25">
      <c r="D838" s="15"/>
    </row>
    <row r="839" spans="4:4" ht="14.25" customHeight="1" x14ac:dyDescent="0.25">
      <c r="D839" s="15"/>
    </row>
    <row r="840" spans="4:4" ht="14.25" customHeight="1" x14ac:dyDescent="0.25">
      <c r="D840" s="15"/>
    </row>
    <row r="841" spans="4:4" ht="14.25" customHeight="1" x14ac:dyDescent="0.25">
      <c r="D841" s="15"/>
    </row>
    <row r="842" spans="4:4" ht="14.25" customHeight="1" x14ac:dyDescent="0.25">
      <c r="D842" s="15"/>
    </row>
    <row r="843" spans="4:4" ht="14.25" customHeight="1" x14ac:dyDescent="0.25">
      <c r="D843" s="15"/>
    </row>
    <row r="844" spans="4:4" ht="14.25" customHeight="1" x14ac:dyDescent="0.25">
      <c r="D844" s="15"/>
    </row>
    <row r="845" spans="4:4" ht="14.25" customHeight="1" x14ac:dyDescent="0.25">
      <c r="D845" s="15"/>
    </row>
    <row r="846" spans="4:4" ht="14.25" customHeight="1" x14ac:dyDescent="0.25">
      <c r="D846" s="15"/>
    </row>
    <row r="847" spans="4:4" ht="14.25" customHeight="1" x14ac:dyDescent="0.25">
      <c r="D847" s="15"/>
    </row>
    <row r="848" spans="4:4" ht="14.25" customHeight="1" x14ac:dyDescent="0.25">
      <c r="D848" s="15"/>
    </row>
    <row r="849" spans="4:4" ht="14.25" customHeight="1" x14ac:dyDescent="0.25">
      <c r="D849" s="15"/>
    </row>
    <row r="850" spans="4:4" ht="14.25" customHeight="1" x14ac:dyDescent="0.25">
      <c r="D850" s="15"/>
    </row>
    <row r="851" spans="4:4" ht="14.25" customHeight="1" x14ac:dyDescent="0.25">
      <c r="D851" s="15"/>
    </row>
    <row r="852" spans="4:4" ht="14.25" customHeight="1" x14ac:dyDescent="0.25">
      <c r="D852" s="15"/>
    </row>
    <row r="853" spans="4:4" ht="14.25" customHeight="1" x14ac:dyDescent="0.25">
      <c r="D853" s="15"/>
    </row>
    <row r="854" spans="4:4" ht="14.25" customHeight="1" x14ac:dyDescent="0.25">
      <c r="D854" s="15"/>
    </row>
    <row r="855" spans="4:4" ht="14.25" customHeight="1" x14ac:dyDescent="0.25">
      <c r="D855" s="15"/>
    </row>
    <row r="856" spans="4:4" ht="14.25" customHeight="1" x14ac:dyDescent="0.25">
      <c r="D856" s="15"/>
    </row>
    <row r="857" spans="4:4" ht="14.25" customHeight="1" x14ac:dyDescent="0.25">
      <c r="D857" s="15"/>
    </row>
    <row r="858" spans="4:4" ht="14.25" customHeight="1" x14ac:dyDescent="0.25">
      <c r="D858" s="15"/>
    </row>
    <row r="859" spans="4:4" ht="14.25" customHeight="1" x14ac:dyDescent="0.25">
      <c r="D859" s="15"/>
    </row>
    <row r="860" spans="4:4" ht="14.25" customHeight="1" x14ac:dyDescent="0.25">
      <c r="D860" s="15"/>
    </row>
    <row r="861" spans="4:4" ht="14.25" customHeight="1" x14ac:dyDescent="0.25">
      <c r="D861" s="15"/>
    </row>
    <row r="862" spans="4:4" ht="14.25" customHeight="1" x14ac:dyDescent="0.25">
      <c r="D862" s="15"/>
    </row>
    <row r="863" spans="4:4" ht="14.25" customHeight="1" x14ac:dyDescent="0.25">
      <c r="D863" s="15"/>
    </row>
    <row r="864" spans="4:4" ht="14.25" customHeight="1" x14ac:dyDescent="0.25">
      <c r="D864" s="15"/>
    </row>
    <row r="865" spans="4:4" ht="14.25" customHeight="1" x14ac:dyDescent="0.25">
      <c r="D865" s="15"/>
    </row>
    <row r="866" spans="4:4" ht="14.25" customHeight="1" x14ac:dyDescent="0.25">
      <c r="D866" s="15"/>
    </row>
    <row r="867" spans="4:4" ht="14.25" customHeight="1" x14ac:dyDescent="0.25">
      <c r="D867" s="15"/>
    </row>
    <row r="868" spans="4:4" ht="14.25" customHeight="1" x14ac:dyDescent="0.25">
      <c r="D868" s="15"/>
    </row>
    <row r="869" spans="4:4" ht="14.25" customHeight="1" x14ac:dyDescent="0.25">
      <c r="D869" s="15"/>
    </row>
    <row r="870" spans="4:4" ht="14.25" customHeight="1" x14ac:dyDescent="0.25">
      <c r="D870" s="15"/>
    </row>
    <row r="871" spans="4:4" ht="14.25" customHeight="1" x14ac:dyDescent="0.25">
      <c r="D871" s="15"/>
    </row>
    <row r="872" spans="4:4" ht="14.25" customHeight="1" x14ac:dyDescent="0.25">
      <c r="D872" s="15"/>
    </row>
    <row r="873" spans="4:4" ht="14.25" customHeight="1" x14ac:dyDescent="0.25">
      <c r="D873" s="15"/>
    </row>
    <row r="874" spans="4:4" ht="14.25" customHeight="1" x14ac:dyDescent="0.25">
      <c r="D874" s="15"/>
    </row>
    <row r="875" spans="4:4" ht="14.25" customHeight="1" x14ac:dyDescent="0.25">
      <c r="D875" s="15"/>
    </row>
    <row r="876" spans="4:4" ht="14.25" customHeight="1" x14ac:dyDescent="0.25">
      <c r="D876" s="15"/>
    </row>
    <row r="877" spans="4:4" ht="14.25" customHeight="1" x14ac:dyDescent="0.25">
      <c r="D877" s="15"/>
    </row>
    <row r="878" spans="4:4" ht="14.25" customHeight="1" x14ac:dyDescent="0.25">
      <c r="D878" s="15"/>
    </row>
    <row r="879" spans="4:4" ht="14.25" customHeight="1" x14ac:dyDescent="0.25">
      <c r="D879" s="15"/>
    </row>
    <row r="880" spans="4:4" ht="14.25" customHeight="1" x14ac:dyDescent="0.25">
      <c r="D880" s="15"/>
    </row>
    <row r="881" spans="4:4" ht="14.25" customHeight="1" x14ac:dyDescent="0.25">
      <c r="D881" s="15"/>
    </row>
    <row r="882" spans="4:4" ht="14.25" customHeight="1" x14ac:dyDescent="0.25">
      <c r="D882" s="15"/>
    </row>
    <row r="883" spans="4:4" ht="14.25" customHeight="1" x14ac:dyDescent="0.25">
      <c r="D883" s="15"/>
    </row>
    <row r="884" spans="4:4" ht="14.25" customHeight="1" x14ac:dyDescent="0.25">
      <c r="D884" s="15"/>
    </row>
    <row r="885" spans="4:4" ht="14.25" customHeight="1" x14ac:dyDescent="0.25">
      <c r="D885" s="15"/>
    </row>
    <row r="886" spans="4:4" ht="14.25" customHeight="1" x14ac:dyDescent="0.25">
      <c r="D886" s="15"/>
    </row>
    <row r="887" spans="4:4" ht="14.25" customHeight="1" x14ac:dyDescent="0.25">
      <c r="D887" s="15"/>
    </row>
    <row r="888" spans="4:4" ht="14.25" customHeight="1" x14ac:dyDescent="0.25">
      <c r="D888" s="15"/>
    </row>
    <row r="889" spans="4:4" ht="14.25" customHeight="1" x14ac:dyDescent="0.25">
      <c r="D889" s="15"/>
    </row>
    <row r="890" spans="4:4" ht="14.25" customHeight="1" x14ac:dyDescent="0.25">
      <c r="D890" s="15"/>
    </row>
    <row r="891" spans="4:4" ht="14.25" customHeight="1" x14ac:dyDescent="0.25">
      <c r="D891" s="15"/>
    </row>
    <row r="892" spans="4:4" ht="14.25" customHeight="1" x14ac:dyDescent="0.25">
      <c r="D892" s="15"/>
    </row>
    <row r="893" spans="4:4" ht="14.25" customHeight="1" x14ac:dyDescent="0.25">
      <c r="D893" s="15"/>
    </row>
    <row r="894" spans="4:4" ht="14.25" customHeight="1" x14ac:dyDescent="0.25">
      <c r="D894" s="15"/>
    </row>
    <row r="895" spans="4:4" ht="14.25" customHeight="1" x14ac:dyDescent="0.25">
      <c r="D895" s="15"/>
    </row>
    <row r="896" spans="4:4" ht="14.25" customHeight="1" x14ac:dyDescent="0.25">
      <c r="D896" s="15"/>
    </row>
    <row r="897" spans="4:4" ht="14.25" customHeight="1" x14ac:dyDescent="0.25">
      <c r="D897" s="15"/>
    </row>
    <row r="898" spans="4:4" ht="14.25" customHeight="1" x14ac:dyDescent="0.25">
      <c r="D898" s="15"/>
    </row>
    <row r="899" spans="4:4" ht="14.25" customHeight="1" x14ac:dyDescent="0.25">
      <c r="D899" s="15"/>
    </row>
    <row r="900" spans="4:4" ht="14.25" customHeight="1" x14ac:dyDescent="0.25">
      <c r="D900" s="15"/>
    </row>
    <row r="901" spans="4:4" ht="14.25" customHeight="1" x14ac:dyDescent="0.25">
      <c r="D901" s="15"/>
    </row>
    <row r="902" spans="4:4" ht="14.25" customHeight="1" x14ac:dyDescent="0.25">
      <c r="D902" s="15"/>
    </row>
    <row r="903" spans="4:4" ht="14.25" customHeight="1" x14ac:dyDescent="0.25">
      <c r="D903" s="15"/>
    </row>
    <row r="904" spans="4:4" ht="14.25" customHeight="1" x14ac:dyDescent="0.25">
      <c r="D904" s="15"/>
    </row>
    <row r="905" spans="4:4" ht="14.25" customHeight="1" x14ac:dyDescent="0.25">
      <c r="D905" s="15"/>
    </row>
    <row r="906" spans="4:4" ht="14.25" customHeight="1" x14ac:dyDescent="0.25">
      <c r="D906" s="15"/>
    </row>
    <row r="907" spans="4:4" ht="14.25" customHeight="1" x14ac:dyDescent="0.25">
      <c r="D907" s="15"/>
    </row>
    <row r="908" spans="4:4" ht="14.25" customHeight="1" x14ac:dyDescent="0.25">
      <c r="D908" s="15"/>
    </row>
    <row r="909" spans="4:4" ht="14.25" customHeight="1" x14ac:dyDescent="0.25">
      <c r="D909" s="15"/>
    </row>
    <row r="910" spans="4:4" ht="14.25" customHeight="1" x14ac:dyDescent="0.25">
      <c r="D910" s="15"/>
    </row>
    <row r="911" spans="4:4" ht="14.25" customHeight="1" x14ac:dyDescent="0.25">
      <c r="D911" s="15"/>
    </row>
    <row r="912" spans="4:4" ht="14.25" customHeight="1" x14ac:dyDescent="0.25">
      <c r="D912" s="15"/>
    </row>
    <row r="913" spans="4:4" ht="14.25" customHeight="1" x14ac:dyDescent="0.25">
      <c r="D913" s="15"/>
    </row>
    <row r="914" spans="4:4" ht="14.25" customHeight="1" x14ac:dyDescent="0.25">
      <c r="D914" s="15"/>
    </row>
    <row r="915" spans="4:4" ht="14.25" customHeight="1" x14ac:dyDescent="0.25">
      <c r="D915" s="15"/>
    </row>
    <row r="916" spans="4:4" ht="14.25" customHeight="1" x14ac:dyDescent="0.25">
      <c r="D916" s="15"/>
    </row>
    <row r="917" spans="4:4" ht="14.25" customHeight="1" x14ac:dyDescent="0.25">
      <c r="D917" s="15"/>
    </row>
    <row r="918" spans="4:4" ht="14.25" customHeight="1" x14ac:dyDescent="0.25">
      <c r="D918" s="15"/>
    </row>
    <row r="919" spans="4:4" ht="14.25" customHeight="1" x14ac:dyDescent="0.25">
      <c r="D919" s="15"/>
    </row>
    <row r="920" spans="4:4" ht="14.25" customHeight="1" x14ac:dyDescent="0.25">
      <c r="D920" s="15"/>
    </row>
    <row r="921" spans="4:4" ht="14.25" customHeight="1" x14ac:dyDescent="0.25">
      <c r="D921" s="15"/>
    </row>
    <row r="922" spans="4:4" ht="14.25" customHeight="1" x14ac:dyDescent="0.25">
      <c r="D922" s="15"/>
    </row>
    <row r="923" spans="4:4" ht="14.25" customHeight="1" x14ac:dyDescent="0.25">
      <c r="D923" s="15"/>
    </row>
    <row r="924" spans="4:4" ht="14.25" customHeight="1" x14ac:dyDescent="0.25">
      <c r="D924" s="15"/>
    </row>
    <row r="925" spans="4:4" ht="14.25" customHeight="1" x14ac:dyDescent="0.25">
      <c r="D925" s="15"/>
    </row>
    <row r="926" spans="4:4" ht="14.25" customHeight="1" x14ac:dyDescent="0.25">
      <c r="D926" s="15"/>
    </row>
    <row r="927" spans="4:4" ht="14.25" customHeight="1" x14ac:dyDescent="0.25">
      <c r="D927" s="15"/>
    </row>
    <row r="928" spans="4:4" ht="14.25" customHeight="1" x14ac:dyDescent="0.25">
      <c r="D928" s="15"/>
    </row>
    <row r="929" spans="4:4" ht="14.25" customHeight="1" x14ac:dyDescent="0.25">
      <c r="D929" s="15"/>
    </row>
    <row r="930" spans="4:4" ht="14.25" customHeight="1" x14ac:dyDescent="0.25">
      <c r="D930" s="15"/>
    </row>
    <row r="931" spans="4:4" ht="14.25" customHeight="1" x14ac:dyDescent="0.25">
      <c r="D931" s="15"/>
    </row>
    <row r="932" spans="4:4" ht="14.25" customHeight="1" x14ac:dyDescent="0.25">
      <c r="D932" s="15"/>
    </row>
    <row r="933" spans="4:4" ht="14.25" customHeight="1" x14ac:dyDescent="0.25">
      <c r="D933" s="15"/>
    </row>
    <row r="934" spans="4:4" ht="14.25" customHeight="1" x14ac:dyDescent="0.25">
      <c r="D934" s="15"/>
    </row>
    <row r="935" spans="4:4" ht="14.25" customHeight="1" x14ac:dyDescent="0.25">
      <c r="D935" s="15"/>
    </row>
    <row r="936" spans="4:4" ht="14.25" customHeight="1" x14ac:dyDescent="0.25">
      <c r="D936" s="15"/>
    </row>
    <row r="937" spans="4:4" ht="14.25" customHeight="1" x14ac:dyDescent="0.25">
      <c r="D937" s="15"/>
    </row>
    <row r="938" spans="4:4" ht="14.25" customHeight="1" x14ac:dyDescent="0.25">
      <c r="D938" s="15"/>
    </row>
    <row r="939" spans="4:4" ht="14.25" customHeight="1" x14ac:dyDescent="0.25">
      <c r="D939" s="15"/>
    </row>
    <row r="940" spans="4:4" ht="14.25" customHeight="1" x14ac:dyDescent="0.25">
      <c r="D940" s="15"/>
    </row>
    <row r="941" spans="4:4" ht="14.25" customHeight="1" x14ac:dyDescent="0.25">
      <c r="D941" s="15"/>
    </row>
    <row r="942" spans="4:4" ht="14.25" customHeight="1" x14ac:dyDescent="0.25">
      <c r="D942" s="15"/>
    </row>
    <row r="943" spans="4:4" ht="14.25" customHeight="1" x14ac:dyDescent="0.25">
      <c r="D943" s="15"/>
    </row>
    <row r="944" spans="4:4" ht="14.25" customHeight="1" x14ac:dyDescent="0.25">
      <c r="D944" s="15"/>
    </row>
    <row r="945" spans="4:4" ht="14.25" customHeight="1" x14ac:dyDescent="0.25">
      <c r="D945" s="15"/>
    </row>
    <row r="946" spans="4:4" ht="14.25" customHeight="1" x14ac:dyDescent="0.25">
      <c r="D946" s="15"/>
    </row>
    <row r="947" spans="4:4" ht="14.25" customHeight="1" x14ac:dyDescent="0.25">
      <c r="D947" s="15"/>
    </row>
    <row r="948" spans="4:4" ht="14.25" customHeight="1" x14ac:dyDescent="0.25">
      <c r="D948" s="15"/>
    </row>
    <row r="949" spans="4:4" ht="14.25" customHeight="1" x14ac:dyDescent="0.25">
      <c r="D949" s="15"/>
    </row>
    <row r="950" spans="4:4" ht="14.25" customHeight="1" x14ac:dyDescent="0.25">
      <c r="D950" s="15"/>
    </row>
    <row r="951" spans="4:4" ht="14.25" customHeight="1" x14ac:dyDescent="0.25">
      <c r="D951" s="15"/>
    </row>
    <row r="952" spans="4:4" ht="14.25" customHeight="1" x14ac:dyDescent="0.25">
      <c r="D952" s="15"/>
    </row>
    <row r="953" spans="4:4" ht="14.25" customHeight="1" x14ac:dyDescent="0.25">
      <c r="D953" s="15"/>
    </row>
    <row r="954" spans="4:4" ht="14.25" customHeight="1" x14ac:dyDescent="0.25">
      <c r="D954" s="15"/>
    </row>
    <row r="955" spans="4:4" ht="14.25" customHeight="1" x14ac:dyDescent="0.25">
      <c r="D955" s="15"/>
    </row>
    <row r="956" spans="4:4" ht="14.25" customHeight="1" x14ac:dyDescent="0.25">
      <c r="D956" s="15"/>
    </row>
    <row r="957" spans="4:4" ht="14.25" customHeight="1" x14ac:dyDescent="0.25">
      <c r="D957" s="15"/>
    </row>
    <row r="958" spans="4:4" ht="14.25" customHeight="1" x14ac:dyDescent="0.25">
      <c r="D958" s="15"/>
    </row>
    <row r="959" spans="4:4" ht="14.25" customHeight="1" x14ac:dyDescent="0.25">
      <c r="D959" s="15"/>
    </row>
    <row r="960" spans="4:4" ht="14.25" customHeight="1" x14ac:dyDescent="0.25">
      <c r="D960" s="15"/>
    </row>
    <row r="961" spans="4:4" ht="14.25" customHeight="1" x14ac:dyDescent="0.25">
      <c r="D961" s="15"/>
    </row>
    <row r="962" spans="4:4" ht="14.25" customHeight="1" x14ac:dyDescent="0.25">
      <c r="D962" s="15"/>
    </row>
    <row r="963" spans="4:4" ht="14.25" customHeight="1" x14ac:dyDescent="0.25">
      <c r="D963" s="15"/>
    </row>
    <row r="964" spans="4:4" ht="14.25" customHeight="1" x14ac:dyDescent="0.25">
      <c r="D964" s="15"/>
    </row>
    <row r="965" spans="4:4" ht="14.25" customHeight="1" x14ac:dyDescent="0.25">
      <c r="D965" s="15"/>
    </row>
    <row r="966" spans="4:4" ht="14.25" customHeight="1" x14ac:dyDescent="0.25">
      <c r="D966" s="15"/>
    </row>
    <row r="967" spans="4:4" ht="14.25" customHeight="1" x14ac:dyDescent="0.25">
      <c r="D967" s="15"/>
    </row>
    <row r="968" spans="4:4" ht="14.25" customHeight="1" x14ac:dyDescent="0.25">
      <c r="D968" s="15"/>
    </row>
    <row r="969" spans="4:4" ht="14.25" customHeight="1" x14ac:dyDescent="0.25">
      <c r="D969" s="15"/>
    </row>
    <row r="970" spans="4:4" ht="14.25" customHeight="1" x14ac:dyDescent="0.25">
      <c r="D970" s="15"/>
    </row>
    <row r="971" spans="4:4" ht="14.25" customHeight="1" x14ac:dyDescent="0.25">
      <c r="D971" s="15"/>
    </row>
    <row r="972" spans="4:4" ht="14.25" customHeight="1" x14ac:dyDescent="0.25">
      <c r="D972" s="15"/>
    </row>
    <row r="973" spans="4:4" ht="14.25" customHeight="1" x14ac:dyDescent="0.25">
      <c r="D973" s="15"/>
    </row>
    <row r="974" spans="4:4" ht="14.25" customHeight="1" x14ac:dyDescent="0.25">
      <c r="D974" s="15"/>
    </row>
    <row r="975" spans="4:4" ht="14.25" customHeight="1" x14ac:dyDescent="0.25">
      <c r="D975" s="15"/>
    </row>
    <row r="976" spans="4:4" ht="14.25" customHeight="1" x14ac:dyDescent="0.25">
      <c r="D976" s="15"/>
    </row>
    <row r="977" spans="4:4" ht="14.25" customHeight="1" x14ac:dyDescent="0.25">
      <c r="D977" s="15"/>
    </row>
    <row r="978" spans="4:4" ht="14.25" customHeight="1" x14ac:dyDescent="0.25">
      <c r="D978" s="15"/>
    </row>
    <row r="979" spans="4:4" ht="14.25" customHeight="1" x14ac:dyDescent="0.25">
      <c r="D979" s="15"/>
    </row>
    <row r="980" spans="4:4" ht="14.25" customHeight="1" x14ac:dyDescent="0.25">
      <c r="D980" s="15"/>
    </row>
    <row r="981" spans="4:4" ht="14.25" customHeight="1" x14ac:dyDescent="0.25">
      <c r="D981" s="15"/>
    </row>
    <row r="982" spans="4:4" ht="14.25" customHeight="1" x14ac:dyDescent="0.25">
      <c r="D982" s="15"/>
    </row>
    <row r="983" spans="4:4" ht="14.25" customHeight="1" x14ac:dyDescent="0.25">
      <c r="D983" s="15"/>
    </row>
    <row r="984" spans="4:4" ht="14.25" customHeight="1" x14ac:dyDescent="0.25">
      <c r="D984" s="15"/>
    </row>
    <row r="985" spans="4:4" ht="14.25" customHeight="1" x14ac:dyDescent="0.25">
      <c r="D985" s="15"/>
    </row>
    <row r="986" spans="4:4" ht="14.25" customHeight="1" x14ac:dyDescent="0.25">
      <c r="D986" s="15"/>
    </row>
    <row r="987" spans="4:4" ht="14.25" customHeight="1" x14ac:dyDescent="0.25">
      <c r="D987" s="15"/>
    </row>
    <row r="988" spans="4:4" ht="14.25" customHeight="1" x14ac:dyDescent="0.25">
      <c r="D988" s="15"/>
    </row>
    <row r="989" spans="4:4" ht="14.25" customHeight="1" x14ac:dyDescent="0.25">
      <c r="D989" s="15"/>
    </row>
    <row r="990" spans="4:4" ht="14.25" customHeight="1" x14ac:dyDescent="0.25">
      <c r="D990" s="15"/>
    </row>
    <row r="991" spans="4:4" ht="14.25" customHeight="1" x14ac:dyDescent="0.25">
      <c r="D991" s="15"/>
    </row>
    <row r="992" spans="4:4" ht="14.25" customHeight="1" x14ac:dyDescent="0.25">
      <c r="D992" s="15"/>
    </row>
    <row r="993" spans="4:4" ht="14.25" customHeight="1" x14ac:dyDescent="0.25">
      <c r="D993" s="15"/>
    </row>
    <row r="994" spans="4:4" ht="14.25" customHeight="1" x14ac:dyDescent="0.25">
      <c r="D994" s="15"/>
    </row>
    <row r="995" spans="4:4" ht="14.25" customHeight="1" x14ac:dyDescent="0.25">
      <c r="D995" s="15"/>
    </row>
    <row r="996" spans="4:4" ht="14.25" customHeight="1" x14ac:dyDescent="0.25">
      <c r="D996" s="15"/>
    </row>
    <row r="997" spans="4:4" ht="14.25" customHeight="1" x14ac:dyDescent="0.25">
      <c r="D997" s="15"/>
    </row>
    <row r="998" spans="4:4" ht="14.25" customHeight="1" x14ac:dyDescent="0.25">
      <c r="D998" s="15"/>
    </row>
    <row r="999" spans="4:4" ht="14.25" customHeight="1" x14ac:dyDescent="0.25">
      <c r="D999" s="15"/>
    </row>
    <row r="1000" spans="4:4" ht="14.25" customHeight="1" x14ac:dyDescent="0.25">
      <c r="D1000" s="15"/>
    </row>
  </sheetData>
  <pageMargins left="0.7" right="0.7" top="0.75" bottom="0.75" header="0" footer="0"/>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heetViews>
  <sheetFormatPr defaultColWidth="14.42578125" defaultRowHeight="15" customHeight="1" x14ac:dyDescent="0.25"/>
  <cols>
    <col min="1" max="1" width="8.7109375" customWidth="1"/>
    <col min="2" max="2" width="16.140625" customWidth="1"/>
    <col min="3" max="3" width="10.28515625" customWidth="1"/>
    <col min="4" max="4" width="11.140625" customWidth="1"/>
    <col min="5" max="5" width="12.7109375" customWidth="1"/>
    <col min="6" max="6" width="16.5703125" customWidth="1"/>
    <col min="7" max="26" width="8.7109375" customWidth="1"/>
  </cols>
  <sheetData>
    <row r="1" spans="1:6" ht="14.25" customHeight="1" x14ac:dyDescent="0.25">
      <c r="C1" s="11" t="s">
        <v>705</v>
      </c>
      <c r="D1" s="11" t="s">
        <v>706</v>
      </c>
      <c r="E1" s="11" t="s">
        <v>707</v>
      </c>
      <c r="F1" s="11" t="s">
        <v>708</v>
      </c>
    </row>
    <row r="2" spans="1:6" ht="14.25" customHeight="1" x14ac:dyDescent="0.25">
      <c r="A2" s="178" t="s">
        <v>434</v>
      </c>
      <c r="B2" s="11" t="s">
        <v>435</v>
      </c>
      <c r="E2" s="11">
        <f>0.6*2</f>
        <v>1.2</v>
      </c>
      <c r="F2" s="11">
        <f>6+0.27*12</f>
        <v>9.24</v>
      </c>
    </row>
    <row r="3" spans="1:6" ht="14.25" customHeight="1" x14ac:dyDescent="0.25">
      <c r="A3" s="154"/>
      <c r="B3" s="11" t="s">
        <v>436</v>
      </c>
    </row>
    <row r="4" spans="1:6" ht="14.25" customHeight="1" x14ac:dyDescent="0.25">
      <c r="A4" s="154"/>
      <c r="B4" s="11" t="s">
        <v>437</v>
      </c>
      <c r="E4" s="11">
        <f>0.5*1</f>
        <v>0.5</v>
      </c>
      <c r="F4" s="11">
        <f>0.6*12</f>
        <v>7.1999999999999993</v>
      </c>
    </row>
    <row r="5" spans="1:6" ht="14.25" customHeight="1" x14ac:dyDescent="0.25">
      <c r="A5" s="154"/>
      <c r="B5" s="11" t="s">
        <v>438</v>
      </c>
    </row>
    <row r="6" spans="1:6" ht="14.25" customHeight="1" x14ac:dyDescent="0.25">
      <c r="A6" s="178" t="s">
        <v>439</v>
      </c>
      <c r="B6" s="11" t="s">
        <v>435</v>
      </c>
      <c r="D6" s="11">
        <v>4</v>
      </c>
      <c r="E6" s="11">
        <f>0.6*14</f>
        <v>8.4</v>
      </c>
      <c r="F6" s="11">
        <f>0.27*3</f>
        <v>0.81</v>
      </c>
    </row>
    <row r="7" spans="1:6" ht="14.25" customHeight="1" x14ac:dyDescent="0.25">
      <c r="A7" s="154"/>
      <c r="B7" s="11" t="s">
        <v>436</v>
      </c>
    </row>
    <row r="8" spans="1:6" ht="14.25" customHeight="1" x14ac:dyDescent="0.25">
      <c r="A8" s="154"/>
      <c r="B8" s="11" t="s">
        <v>437</v>
      </c>
      <c r="C8" s="11">
        <f>4.8+2.5+5</f>
        <v>12.3</v>
      </c>
      <c r="D8" s="11">
        <f>4*2+3.5+2</f>
        <v>13.5</v>
      </c>
      <c r="E8" s="11">
        <f>4.5+6*2</f>
        <v>16.5</v>
      </c>
    </row>
    <row r="9" spans="1:6" ht="14.25" customHeight="1" x14ac:dyDescent="0.25">
      <c r="A9" s="154"/>
      <c r="B9" s="11" t="s">
        <v>438</v>
      </c>
    </row>
    <row r="10" spans="1:6" ht="14.25" customHeight="1" x14ac:dyDescent="0.25">
      <c r="A10" s="102"/>
      <c r="B10" s="11" t="s">
        <v>772</v>
      </c>
      <c r="C10" s="11">
        <v>20</v>
      </c>
      <c r="D10" s="11">
        <v>20</v>
      </c>
      <c r="E10" s="11">
        <v>20</v>
      </c>
      <c r="F10" s="11">
        <v>15</v>
      </c>
    </row>
    <row r="11" spans="1:6" ht="14.25" customHeight="1" x14ac:dyDescent="0.25">
      <c r="A11" s="102"/>
      <c r="B11" s="11" t="s">
        <v>744</v>
      </c>
      <c r="C11" s="101">
        <f>C2*Data!$D134+C3*Data!$D135+C4*Data!$D136+C6*Data!$D138+C7*Data!$D139+C8*Data!$D140</f>
        <v>7.38</v>
      </c>
      <c r="D11" s="101">
        <f>D2*Data!$D134+D3*Data!$D135+D4*Data!$D136+D6*Data!$D138+D7*Data!$D139+D8*Data!$D140</f>
        <v>15.299999999999999</v>
      </c>
      <c r="E11" s="101">
        <f>E2*Data!$D134+E3*Data!$D135+E4*Data!$D136+E6*Data!$D138+E7*Data!$D139+E8*Data!$D140</f>
        <v>29.119999999999997</v>
      </c>
      <c r="F11" s="101">
        <f>F2*Data!$D134+F3*Data!$D135+F4*Data!$D136+F6*Data!$D138+F7*Data!$D139+F8*Data!$D140</f>
        <v>36.378</v>
      </c>
    </row>
    <row r="12" spans="1:6" ht="14.25" customHeight="1" x14ac:dyDescent="0.25">
      <c r="A12" s="102"/>
      <c r="B12" s="11" t="s">
        <v>773</v>
      </c>
      <c r="C12" s="101">
        <f t="shared" ref="C12:F12" si="0">C11/C10</f>
        <v>0.36899999999999999</v>
      </c>
      <c r="D12" s="101">
        <f t="shared" si="0"/>
        <v>0.7649999999999999</v>
      </c>
      <c r="E12" s="101">
        <f t="shared" si="0"/>
        <v>1.456</v>
      </c>
      <c r="F12" s="101">
        <f t="shared" si="0"/>
        <v>2.4251999999999998</v>
      </c>
    </row>
    <row r="13" spans="1:6" ht="14.25" customHeight="1" x14ac:dyDescent="0.25">
      <c r="C13" s="11" t="s">
        <v>774</v>
      </c>
      <c r="D13" s="11" t="s">
        <v>775</v>
      </c>
      <c r="E13" s="11" t="s">
        <v>776</v>
      </c>
      <c r="F13" s="11" t="s">
        <v>777</v>
      </c>
    </row>
    <row r="14" spans="1:6" ht="14.25" customHeight="1" x14ac:dyDescent="0.25">
      <c r="C14" s="11" t="s">
        <v>269</v>
      </c>
      <c r="D14" s="11" t="s">
        <v>778</v>
      </c>
      <c r="E14" s="11" t="s">
        <v>779</v>
      </c>
      <c r="F14" s="11" t="s">
        <v>780</v>
      </c>
    </row>
    <row r="15" spans="1:6" ht="14.25" customHeight="1" x14ac:dyDescent="0.25">
      <c r="C15" s="11" t="s">
        <v>284</v>
      </c>
      <c r="D15" s="11" t="s">
        <v>781</v>
      </c>
      <c r="E15" s="11" t="s">
        <v>402</v>
      </c>
      <c r="F15" s="11" t="s">
        <v>782</v>
      </c>
    </row>
    <row r="16" spans="1:6" ht="14.25" customHeight="1" x14ac:dyDescent="0.25">
      <c r="C16" s="11" t="s">
        <v>230</v>
      </c>
      <c r="D16" s="11" t="s">
        <v>783</v>
      </c>
      <c r="E16" s="11" t="s">
        <v>784</v>
      </c>
      <c r="F16" s="11" t="s">
        <v>785</v>
      </c>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A2:A5"/>
    <mergeCell ref="A6:A9"/>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sheetViews>
  <sheetFormatPr defaultColWidth="14.42578125" defaultRowHeight="15" customHeight="1" x14ac:dyDescent="0.25"/>
  <cols>
    <col min="1" max="26" width="8.7109375" customWidth="1"/>
  </cols>
  <sheetData>
    <row r="1" spans="1:3" ht="14.25" customHeight="1" x14ac:dyDescent="0.25"/>
    <row r="2" spans="1:3" ht="14.25" customHeight="1" x14ac:dyDescent="0.25">
      <c r="A2" s="11" t="s">
        <v>176</v>
      </c>
      <c r="B2" s="11" t="s">
        <v>786</v>
      </c>
      <c r="C2" s="11" t="s">
        <v>787</v>
      </c>
    </row>
    <row r="3" spans="1:3" ht="14.25" customHeight="1" x14ac:dyDescent="0.25">
      <c r="A3" s="11" t="s">
        <v>193</v>
      </c>
      <c r="B3" s="11" t="s">
        <v>786</v>
      </c>
      <c r="C3" s="11" t="s">
        <v>788</v>
      </c>
    </row>
    <row r="4" spans="1:3" ht="14.25" customHeight="1" x14ac:dyDescent="0.25">
      <c r="A4" s="11" t="s">
        <v>195</v>
      </c>
      <c r="B4" s="11" t="s">
        <v>789</v>
      </c>
      <c r="C4" s="11" t="s">
        <v>790</v>
      </c>
    </row>
    <row r="5" spans="1:3" ht="14.25" customHeight="1" x14ac:dyDescent="0.25">
      <c r="A5" s="11" t="s">
        <v>211</v>
      </c>
      <c r="B5" s="11" t="s">
        <v>791</v>
      </c>
      <c r="C5" s="11" t="s">
        <v>792</v>
      </c>
    </row>
    <row r="6" spans="1:3" ht="14.25" customHeight="1" x14ac:dyDescent="0.25">
      <c r="A6" s="11" t="s">
        <v>230</v>
      </c>
      <c r="B6" s="11" t="s">
        <v>786</v>
      </c>
      <c r="C6" s="11" t="s">
        <v>793</v>
      </c>
    </row>
    <row r="7" spans="1:3" ht="14.25" customHeight="1" x14ac:dyDescent="0.25">
      <c r="A7" s="11" t="s">
        <v>244</v>
      </c>
      <c r="B7" s="11" t="s">
        <v>738</v>
      </c>
      <c r="C7" s="11" t="s">
        <v>794</v>
      </c>
    </row>
    <row r="8" spans="1:3" ht="14.25" customHeight="1" x14ac:dyDescent="0.25">
      <c r="A8" s="11" t="s">
        <v>260</v>
      </c>
      <c r="B8" s="11" t="s">
        <v>786</v>
      </c>
      <c r="C8" s="11" t="s">
        <v>795</v>
      </c>
    </row>
    <row r="9" spans="1:3" ht="14.25" customHeight="1" x14ac:dyDescent="0.25">
      <c r="A9" s="11" t="s">
        <v>284</v>
      </c>
      <c r="B9" s="11" t="s">
        <v>796</v>
      </c>
      <c r="C9" s="11" t="s">
        <v>797</v>
      </c>
    </row>
    <row r="10" spans="1:3" ht="14.25" customHeight="1" x14ac:dyDescent="0.25">
      <c r="A10" s="11" t="s">
        <v>798</v>
      </c>
      <c r="B10" s="11" t="s">
        <v>738</v>
      </c>
      <c r="C10" s="129" t="s">
        <v>799</v>
      </c>
    </row>
    <row r="11" spans="1:3" ht="14.25" customHeight="1" x14ac:dyDescent="0.25">
      <c r="A11" s="11" t="s">
        <v>290</v>
      </c>
      <c r="B11" s="11" t="s">
        <v>791</v>
      </c>
      <c r="C11" s="11" t="s">
        <v>800</v>
      </c>
    </row>
    <row r="12" spans="1:3" ht="14.25" customHeight="1" x14ac:dyDescent="0.25">
      <c r="A12" s="11" t="s">
        <v>291</v>
      </c>
      <c r="B12" s="11" t="s">
        <v>801</v>
      </c>
      <c r="C12" s="11" t="s">
        <v>802</v>
      </c>
    </row>
    <row r="13" spans="1:3" ht="14.25" customHeight="1" x14ac:dyDescent="0.25">
      <c r="A13" s="11" t="s">
        <v>300</v>
      </c>
      <c r="B13" s="11" t="s">
        <v>796</v>
      </c>
      <c r="C13" s="11" t="s">
        <v>803</v>
      </c>
    </row>
    <row r="14" spans="1:3" ht="14.25" customHeight="1" x14ac:dyDescent="0.25">
      <c r="A14" s="11" t="s">
        <v>300</v>
      </c>
      <c r="B14" s="11" t="s">
        <v>738</v>
      </c>
      <c r="C14" s="11" t="s">
        <v>804</v>
      </c>
    </row>
    <row r="15" spans="1:3" ht="14.25" customHeight="1" x14ac:dyDescent="0.25">
      <c r="A15" s="11" t="s">
        <v>314</v>
      </c>
      <c r="B15" s="11" t="s">
        <v>786</v>
      </c>
      <c r="C15" s="11" t="s">
        <v>805</v>
      </c>
    </row>
    <row r="16" spans="1:3" ht="14.25" customHeight="1" x14ac:dyDescent="0.25">
      <c r="A16" s="11" t="s">
        <v>806</v>
      </c>
      <c r="B16" s="11" t="s">
        <v>786</v>
      </c>
      <c r="C16" s="11" t="s">
        <v>807</v>
      </c>
    </row>
    <row r="17" spans="1:3" ht="14.25" customHeight="1" x14ac:dyDescent="0.25">
      <c r="A17" s="11" t="s">
        <v>350</v>
      </c>
      <c r="B17" s="11" t="s">
        <v>791</v>
      </c>
      <c r="C17" s="11" t="s">
        <v>808</v>
      </c>
    </row>
    <row r="18" spans="1:3" ht="14.25" customHeight="1" x14ac:dyDescent="0.25">
      <c r="A18" s="11" t="s">
        <v>402</v>
      </c>
      <c r="B18" s="11" t="s">
        <v>738</v>
      </c>
      <c r="C18" s="11" t="s">
        <v>809</v>
      </c>
    </row>
    <row r="19" spans="1:3" ht="14.25" customHeight="1" x14ac:dyDescent="0.25">
      <c r="A19" s="11" t="s">
        <v>420</v>
      </c>
      <c r="B19" s="11" t="s">
        <v>786</v>
      </c>
      <c r="C19" s="11" t="s">
        <v>810</v>
      </c>
    </row>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25</vt:i4>
      </vt:variant>
    </vt:vector>
  </HeadingPairs>
  <TitlesOfParts>
    <vt:vector size="34" baseType="lpstr">
      <vt:lpstr>Energy Recharge Calculator</vt:lpstr>
      <vt:lpstr>Data</vt:lpstr>
      <vt:lpstr>Enemy Particles</vt:lpstr>
      <vt:lpstr>Changelog</vt:lpstr>
      <vt:lpstr>Summary Table</vt:lpstr>
      <vt:lpstr>Self-Funding</vt:lpstr>
      <vt:lpstr>Calculations</vt:lpstr>
      <vt:lpstr>Team Energy</vt:lpstr>
      <vt:lpstr>Energy Abilities</vt:lpstr>
      <vt:lpstr>Fixed</vt:lpstr>
      <vt:lpstr>Flexible</vt:lpstr>
      <vt:lpstr>HighEPS</vt:lpstr>
      <vt:lpstr>LowEPS</vt:lpstr>
      <vt:lpstr>MedEPS</vt:lpstr>
      <vt:lpstr>NoElement</vt:lpstr>
      <vt:lpstr>OffField</vt:lpstr>
      <vt:lpstr>OffFieldClear</vt:lpstr>
      <vt:lpstr>OffFieldOrb</vt:lpstr>
      <vt:lpstr>OffFieldRight</vt:lpstr>
      <vt:lpstr>OffFieldWrong</vt:lpstr>
      <vt:lpstr>OnField</vt:lpstr>
      <vt:lpstr>OnFieldClear</vt:lpstr>
      <vt:lpstr>OnFieldOrb</vt:lpstr>
      <vt:lpstr>OnFieldRight</vt:lpstr>
      <vt:lpstr>OnFieldWrong</vt:lpstr>
      <vt:lpstr>OrbsPerRun</vt:lpstr>
      <vt:lpstr>RightElement</vt:lpstr>
      <vt:lpstr>RotationLength</vt:lpstr>
      <vt:lpstr>RotationMode</vt:lpstr>
      <vt:lpstr>RunDuration</vt:lpstr>
      <vt:lpstr>VarianceLabels</vt:lpstr>
      <vt:lpstr>VarianceMultipliers</vt:lpstr>
      <vt:lpstr>VHighEPS</vt:lpstr>
      <vt:lpstr>WrongElement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Lokesh Dhade</cp:lastModifiedBy>
  <dcterms:modified xsi:type="dcterms:W3CDTF">2025-07-02T05:37:22Z</dcterms:modified>
</cp:coreProperties>
</file>