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39" documentId="13_ncr:1_{3A7E0C55-5A77-4062-9890-0B268C76D75F}" xr6:coauthVersionLast="47" xr6:coauthVersionMax="47" xr10:uidLastSave="{9C0F84DE-1A48-4916-AD28-3E16D8220ADF}"/>
  <bookViews>
    <workbookView xWindow="510" yWindow="1050" windowWidth="26985" windowHeight="1359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C23" i="128"/>
  <c r="C21" i="128"/>
  <c r="J10" i="1"/>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N11" i="125" s="1"/>
  <c r="AL10" i="125"/>
  <c r="AO10" i="125" s="1"/>
  <c r="AH10" i="75"/>
  <c r="AH72" i="75" s="1"/>
  <c r="AH22" i="125" s="1"/>
  <c r="AH35" i="125" s="1"/>
  <c r="AN14" i="125"/>
  <c r="AL14" i="125"/>
  <c r="AN12" i="125"/>
  <c r="AL12" i="125"/>
  <c r="AN15" i="125"/>
  <c r="AL15" i="125"/>
  <c r="AN29" i="125"/>
  <c r="AL29"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I22" i="70" l="1"/>
  <c r="O18" i="70"/>
  <c r="O12" i="70"/>
  <c r="Q26" i="70"/>
  <c r="O50" i="70"/>
  <c r="I41" i="70"/>
  <c r="I30" i="70"/>
  <c r="C41" i="70" l="1"/>
  <c r="I50" i="70"/>
  <c r="O41" i="70"/>
  <c r="C30" i="70"/>
  <c r="T26" i="70"/>
  <c r="R26" i="70"/>
  <c r="S26" i="70"/>
  <c r="C18" i="70"/>
  <c r="I18" i="70"/>
  <c r="O30" i="70"/>
  <c r="O11" i="70"/>
  <c r="O10" i="70" s="1"/>
  <c r="I12" i="70"/>
  <c r="I11" i="70" s="1"/>
  <c r="I10" i="70" s="1"/>
  <c r="O22" i="70"/>
  <c r="C12" i="70"/>
  <c r="C22" i="70"/>
  <c r="C11" i="70" l="1"/>
  <c r="C10" i="70" s="1"/>
  <c r="C10" i="73" l="1"/>
  <c r="E34" i="73" s="1"/>
  <c r="E35" i="73" s="1"/>
  <c r="D282" i="56" l="1"/>
  <c r="D302" i="56"/>
  <c r="D281" i="56"/>
  <c r="D415" i="56"/>
  <c r="D423" i="56"/>
  <c r="C17" i="124"/>
  <c r="C11" i="124"/>
  <c r="C10" i="124" s="1"/>
  <c r="D411" i="56" l="1"/>
  <c r="D331" i="56"/>
  <c r="D327" i="56" s="1"/>
  <c r="D277" i="56"/>
  <c r="R18" i="50"/>
  <c r="R13" i="50" s="1"/>
  <c r="R10" i="50" s="1"/>
  <c r="Q17" i="52"/>
  <c r="Q11" i="52" s="1"/>
  <c r="Q10" i="52" s="1"/>
  <c r="Q11" i="53"/>
  <c r="P11" i="53"/>
  <c r="R21" i="51"/>
  <c r="R15" i="51" s="1"/>
  <c r="R10" i="51" s="1"/>
  <c r="I35" i="47" l="1"/>
  <c r="Q21" i="51"/>
  <c r="S22" i="51"/>
  <c r="S21" i="51" s="1"/>
  <c r="D12" i="51"/>
  <c r="K12" i="51"/>
  <c r="K18" i="52"/>
  <c r="D18" i="52"/>
  <c r="F18" i="50"/>
  <c r="L19" i="50"/>
  <c r="D22" i="51"/>
  <c r="K22" i="51"/>
  <c r="E21" i="51"/>
  <c r="K21" i="51" s="1"/>
  <c r="F21" i="51"/>
  <c r="L22" i="51"/>
  <c r="N11" i="53"/>
  <c r="D15" i="52"/>
  <c r="E14" i="52"/>
  <c r="K15" i="52"/>
  <c r="D16" i="52"/>
  <c r="K16" i="52"/>
  <c r="Q18" i="50"/>
  <c r="S19" i="50"/>
  <c r="S18" i="50" s="1"/>
  <c r="K19" i="50"/>
  <c r="E18" i="50"/>
  <c r="K18" i="50" s="1"/>
  <c r="D19" i="50"/>
  <c r="P17" i="52"/>
  <c r="P11" i="52" s="1"/>
  <c r="P10" i="52" s="1"/>
  <c r="P11" i="51"/>
  <c r="N11" i="51" l="1"/>
  <c r="O14" i="51"/>
  <c r="S14" i="51" s="1"/>
  <c r="N17" i="52"/>
  <c r="N11" i="52" s="1"/>
  <c r="O19" i="52"/>
  <c r="S19" i="52" s="1"/>
  <c r="J16" i="52"/>
  <c r="G16" i="52"/>
  <c r="H16" i="52"/>
  <c r="I16" i="52"/>
  <c r="F13" i="50"/>
  <c r="L18" i="50"/>
  <c r="P22" i="49"/>
  <c r="U22" i="49" s="1"/>
  <c r="I19" i="50"/>
  <c r="G19" i="50"/>
  <c r="J19" i="50"/>
  <c r="D18" i="50"/>
  <c r="H19" i="50"/>
  <c r="K14" i="52"/>
  <c r="J15" i="52"/>
  <c r="I15" i="52"/>
  <c r="G15" i="52"/>
  <c r="D14" i="52"/>
  <c r="H15" i="52"/>
  <c r="J18" i="52"/>
  <c r="H18" i="52"/>
  <c r="G18" i="52"/>
  <c r="O18" i="52"/>
  <c r="M17" i="52"/>
  <c r="M11" i="52" s="1"/>
  <c r="M11" i="53"/>
  <c r="O12" i="53"/>
  <c r="O12" i="51"/>
  <c r="M11" i="51"/>
  <c r="L21" i="51"/>
  <c r="F15" i="51"/>
  <c r="H12" i="51"/>
  <c r="G12" i="51"/>
  <c r="J12" i="51"/>
  <c r="P14" i="49"/>
  <c r="G22" i="51"/>
  <c r="I22" i="51"/>
  <c r="H22" i="51"/>
  <c r="D21" i="51"/>
  <c r="J22" i="51"/>
  <c r="G45" i="59"/>
  <c r="G22" i="59"/>
  <c r="G16" i="59"/>
  <c r="O18" i="51" l="1"/>
  <c r="S18" i="51" s="1"/>
  <c r="L13" i="50"/>
  <c r="F10" i="50"/>
  <c r="L10" i="50" s="1"/>
  <c r="G51" i="59"/>
  <c r="F50" i="59"/>
  <c r="I18" i="52"/>
  <c r="S18" i="52"/>
  <c r="S17" i="52" s="1"/>
  <c r="S11" i="52" s="1"/>
  <c r="O17" i="52"/>
  <c r="O11" i="52" s="1"/>
  <c r="G39" i="59"/>
  <c r="F38" i="59"/>
  <c r="G24" i="59"/>
  <c r="F23" i="59"/>
  <c r="G23" i="59" s="1"/>
  <c r="G18" i="59"/>
  <c r="F17" i="59"/>
  <c r="G17" i="59" s="1"/>
  <c r="G14" i="59"/>
  <c r="F10" i="51"/>
  <c r="L10" i="51" s="1"/>
  <c r="L15" i="51"/>
  <c r="J18" i="50"/>
  <c r="I18" i="50"/>
  <c r="G18" i="50"/>
  <c r="H18" i="50"/>
  <c r="O11" i="53"/>
  <c r="S12" i="53"/>
  <c r="S11" i="53" s="1"/>
  <c r="G21" i="51"/>
  <c r="I21" i="51"/>
  <c r="J21" i="51"/>
  <c r="H21" i="51"/>
  <c r="I12" i="51"/>
  <c r="S12" i="51"/>
  <c r="O11" i="51"/>
  <c r="I14" i="52"/>
  <c r="G14" i="52"/>
  <c r="H14" i="52"/>
  <c r="J14" i="52"/>
  <c r="P15" i="49"/>
  <c r="U15" i="49" s="1"/>
  <c r="G38" i="59" l="1"/>
  <c r="F37" i="59"/>
  <c r="C21" i="47"/>
  <c r="F49" i="59"/>
  <c r="G50" i="59"/>
  <c r="C24" i="47"/>
  <c r="T23" i="49"/>
  <c r="T16" i="49" s="1"/>
  <c r="T10" i="49" s="1"/>
  <c r="Q16" i="51"/>
  <c r="Q15" i="51" s="1"/>
  <c r="D21" i="49"/>
  <c r="Q14" i="53"/>
  <c r="Q13" i="53" s="1"/>
  <c r="Q10" i="53" s="1"/>
  <c r="R14" i="53"/>
  <c r="R13" i="53" s="1"/>
  <c r="R10" i="53" s="1"/>
  <c r="Q14" i="50"/>
  <c r="Q13" i="50" s="1"/>
  <c r="S25" i="49"/>
  <c r="S17" i="49"/>
  <c r="D26" i="49" l="1"/>
  <c r="L26" i="49"/>
  <c r="E25" i="49"/>
  <c r="L15" i="53"/>
  <c r="F14" i="53"/>
  <c r="D15" i="53"/>
  <c r="D17" i="51"/>
  <c r="E16" i="51"/>
  <c r="K17" i="51"/>
  <c r="G15" i="59"/>
  <c r="F13" i="59"/>
  <c r="S11" i="49"/>
  <c r="D13" i="49"/>
  <c r="L13" i="49"/>
  <c r="M24" i="49"/>
  <c r="D24" i="49"/>
  <c r="F23" i="49"/>
  <c r="G33" i="59"/>
  <c r="F32" i="59"/>
  <c r="F48" i="59"/>
  <c r="G48" i="59" s="1"/>
  <c r="G49" i="59"/>
  <c r="E14" i="53"/>
  <c r="K16" i="53"/>
  <c r="D16" i="53"/>
  <c r="D12" i="49"/>
  <c r="L12" i="49"/>
  <c r="L18" i="49"/>
  <c r="E17" i="49"/>
  <c r="D18" i="49"/>
  <c r="E14" i="50"/>
  <c r="D15" i="50"/>
  <c r="K15" i="50"/>
  <c r="F66" i="59"/>
  <c r="G67" i="59"/>
  <c r="G44" i="59"/>
  <c r="F43" i="59"/>
  <c r="G37" i="59"/>
  <c r="E36" i="52"/>
  <c r="D37" i="52"/>
  <c r="K37" i="52"/>
  <c r="H21" i="59"/>
  <c r="F20" i="59"/>
  <c r="G21" i="59"/>
  <c r="I21" i="59"/>
  <c r="Q17" i="49"/>
  <c r="R25" i="49"/>
  <c r="R17" i="49"/>
  <c r="J16" i="53"/>
  <c r="O25" i="49"/>
  <c r="N14" i="50"/>
  <c r="N13" i="50" s="1"/>
  <c r="N16" i="51"/>
  <c r="N15" i="51" s="1"/>
  <c r="N10" i="51" s="1"/>
  <c r="N36" i="52"/>
  <c r="N35" i="52" s="1"/>
  <c r="N23" i="52" s="1"/>
  <c r="N10" i="52" s="1"/>
  <c r="O17" i="49"/>
  <c r="P14" i="50"/>
  <c r="P13" i="50" s="1"/>
  <c r="P10" i="50" s="1"/>
  <c r="O23" i="49"/>
  <c r="Q23" i="49"/>
  <c r="Q25" i="49"/>
  <c r="Q19" i="49"/>
  <c r="Q16" i="49" s="1"/>
  <c r="J21" i="49"/>
  <c r="R23" i="49"/>
  <c r="R11" i="49"/>
  <c r="K21" i="49"/>
  <c r="L21" i="49"/>
  <c r="O11" i="49"/>
  <c r="C23" i="57" l="1"/>
  <c r="E13" i="50"/>
  <c r="K13" i="50" s="1"/>
  <c r="K14" i="50"/>
  <c r="G43" i="59"/>
  <c r="F42" i="59"/>
  <c r="K18" i="49"/>
  <c r="D17" i="49"/>
  <c r="J18" i="49"/>
  <c r="H18" i="49"/>
  <c r="G18" i="49"/>
  <c r="G13" i="59"/>
  <c r="F12" i="59"/>
  <c r="H21" i="49"/>
  <c r="M14" i="50"/>
  <c r="M13" i="50" s="1"/>
  <c r="O15" i="50"/>
  <c r="F19" i="59"/>
  <c r="G20" i="59"/>
  <c r="L17" i="49"/>
  <c r="C15" i="57"/>
  <c r="L20" i="49"/>
  <c r="E19" i="49"/>
  <c r="D20" i="49"/>
  <c r="S19" i="49"/>
  <c r="S16" i="49" s="1"/>
  <c r="S10" i="49" s="1"/>
  <c r="P26" i="49"/>
  <c r="N25" i="49"/>
  <c r="F31" i="59"/>
  <c r="G32" i="59"/>
  <c r="K16" i="51"/>
  <c r="E15" i="51"/>
  <c r="K15" i="51" s="1"/>
  <c r="C32" i="57"/>
  <c r="J37" i="52"/>
  <c r="G37" i="52"/>
  <c r="H37" i="52"/>
  <c r="D36" i="52"/>
  <c r="D16" i="51"/>
  <c r="G17" i="51"/>
  <c r="H17" i="51"/>
  <c r="P24" i="49"/>
  <c r="N23" i="49"/>
  <c r="R19" i="49"/>
  <c r="R16" i="49" s="1"/>
  <c r="R10" i="49" s="1"/>
  <c r="N14" i="53"/>
  <c r="N13" i="53" s="1"/>
  <c r="N10" i="53" s="1"/>
  <c r="P16" i="51"/>
  <c r="P15" i="51" s="1"/>
  <c r="P10" i="51" s="1"/>
  <c r="E35" i="52"/>
  <c r="K36" i="52"/>
  <c r="G66" i="59"/>
  <c r="F65" i="59"/>
  <c r="I12" i="49"/>
  <c r="J12" i="49"/>
  <c r="K12" i="49"/>
  <c r="H12" i="49"/>
  <c r="G12" i="49"/>
  <c r="M23" i="49"/>
  <c r="F16" i="49"/>
  <c r="H15" i="53"/>
  <c r="G15" i="53"/>
  <c r="I15" i="53"/>
  <c r="D14" i="53"/>
  <c r="O15" i="53"/>
  <c r="M14" i="53"/>
  <c r="M13" i="53" s="1"/>
  <c r="M10" i="53" s="1"/>
  <c r="P18" i="49"/>
  <c r="N17" i="49"/>
  <c r="H16" i="53"/>
  <c r="G16" i="53"/>
  <c r="J24" i="49"/>
  <c r="H24" i="49"/>
  <c r="G24" i="49"/>
  <c r="K24" i="49"/>
  <c r="D23" i="49"/>
  <c r="I24" i="49"/>
  <c r="L14" i="53"/>
  <c r="F13" i="53"/>
  <c r="O16" i="53"/>
  <c r="S16" i="53" s="1"/>
  <c r="P13" i="49"/>
  <c r="U13" i="49" s="1"/>
  <c r="M36" i="52"/>
  <c r="M35" i="52" s="1"/>
  <c r="M23" i="52" s="1"/>
  <c r="M10" i="52" s="1"/>
  <c r="O37" i="52"/>
  <c r="D22" i="52"/>
  <c r="L22" i="52"/>
  <c r="F21" i="52"/>
  <c r="K14" i="53"/>
  <c r="E13" i="53"/>
  <c r="K13" i="53" s="1"/>
  <c r="C50" i="57"/>
  <c r="L25" i="49"/>
  <c r="C18" i="57"/>
  <c r="H13" i="49"/>
  <c r="J13" i="49"/>
  <c r="K13" i="49"/>
  <c r="G13" i="49"/>
  <c r="I13" i="49"/>
  <c r="P12" i="49"/>
  <c r="N11" i="49"/>
  <c r="M16" i="51"/>
  <c r="M15" i="51" s="1"/>
  <c r="M10" i="51" s="1"/>
  <c r="O17" i="51"/>
  <c r="G15" i="50"/>
  <c r="J15" i="50"/>
  <c r="D14" i="50"/>
  <c r="H15" i="50"/>
  <c r="I15" i="50"/>
  <c r="G26" i="49"/>
  <c r="J26" i="49"/>
  <c r="H26" i="49"/>
  <c r="D25" i="49"/>
  <c r="K26" i="49"/>
  <c r="I26" i="49"/>
  <c r="O19" i="49"/>
  <c r="O16" i="49" s="1"/>
  <c r="O10" i="49" s="1"/>
  <c r="L21" i="52" l="1"/>
  <c r="F17" i="52"/>
  <c r="G16" i="51"/>
  <c r="D15" i="51"/>
  <c r="H16" i="51"/>
  <c r="J16" i="51"/>
  <c r="F25" i="59"/>
  <c r="G25" i="59" s="1"/>
  <c r="G31" i="59"/>
  <c r="H25" i="49"/>
  <c r="K25" i="49"/>
  <c r="G25" i="49"/>
  <c r="J25" i="49"/>
  <c r="U12" i="49"/>
  <c r="P11" i="49"/>
  <c r="G65" i="59"/>
  <c r="F59" i="59"/>
  <c r="J17" i="51"/>
  <c r="I17" i="51"/>
  <c r="O16" i="51"/>
  <c r="O15" i="51" s="1"/>
  <c r="O10" i="51" s="1"/>
  <c r="S17" i="51"/>
  <c r="S16" i="51" s="1"/>
  <c r="S15" i="51" s="1"/>
  <c r="C19" i="47" s="1"/>
  <c r="G36" i="52"/>
  <c r="H36" i="52"/>
  <c r="D35" i="52"/>
  <c r="J36" i="52"/>
  <c r="I36" i="52"/>
  <c r="I37" i="52"/>
  <c r="S37" i="52"/>
  <c r="S36" i="52" s="1"/>
  <c r="S35" i="52" s="1"/>
  <c r="S23" i="52" s="1"/>
  <c r="O36" i="52"/>
  <c r="O35" i="52" s="1"/>
  <c r="O23" i="52" s="1"/>
  <c r="O10" i="52" s="1"/>
  <c r="I16" i="53"/>
  <c r="M16" i="49"/>
  <c r="F10" i="49"/>
  <c r="M10" i="49" s="1"/>
  <c r="U26" i="49"/>
  <c r="U25" i="49" s="1"/>
  <c r="P25" i="49"/>
  <c r="I25" i="49" s="1"/>
  <c r="O14" i="50"/>
  <c r="O13" i="50" s="1"/>
  <c r="S15" i="50"/>
  <c r="S14" i="50" s="1"/>
  <c r="S13" i="50" s="1"/>
  <c r="C16" i="47" s="1"/>
  <c r="G17" i="49"/>
  <c r="K17" i="49"/>
  <c r="H17" i="49"/>
  <c r="J17" i="49"/>
  <c r="D16" i="49"/>
  <c r="G22" i="52"/>
  <c r="D21" i="52"/>
  <c r="H22" i="52"/>
  <c r="I22" i="52"/>
  <c r="J22" i="52"/>
  <c r="E23" i="52"/>
  <c r="K23" i="52" s="1"/>
  <c r="K35" i="52"/>
  <c r="D19" i="49"/>
  <c r="H20" i="49"/>
  <c r="G20" i="49"/>
  <c r="K20" i="49"/>
  <c r="J20" i="49"/>
  <c r="I20" i="49"/>
  <c r="C30" i="57"/>
  <c r="L19" i="49"/>
  <c r="C16" i="57"/>
  <c r="C13" i="57" s="1"/>
  <c r="P21" i="49"/>
  <c r="G21" i="49"/>
  <c r="J14" i="50"/>
  <c r="H14" i="50"/>
  <c r="D13" i="50"/>
  <c r="I14" i="50"/>
  <c r="G14" i="50"/>
  <c r="G42" i="59"/>
  <c r="F36" i="59"/>
  <c r="G36" i="59" s="1"/>
  <c r="F10" i="53"/>
  <c r="L10" i="53" s="1"/>
  <c r="L13" i="53"/>
  <c r="P17" i="49"/>
  <c r="I17" i="49" s="1"/>
  <c r="U18" i="49"/>
  <c r="U17" i="49" s="1"/>
  <c r="P20" i="49"/>
  <c r="N19" i="49"/>
  <c r="N16" i="49" s="1"/>
  <c r="N10" i="49" s="1"/>
  <c r="E16" i="49"/>
  <c r="L16" i="49" s="1"/>
  <c r="J15" i="53"/>
  <c r="P14" i="53"/>
  <c r="P13" i="53" s="1"/>
  <c r="P10" i="53" s="1"/>
  <c r="C48" i="57"/>
  <c r="S15" i="53"/>
  <c r="S14" i="53" s="1"/>
  <c r="S13" i="53" s="1"/>
  <c r="O14" i="53"/>
  <c r="O13" i="53" s="1"/>
  <c r="O10" i="53" s="1"/>
  <c r="P23" i="49"/>
  <c r="I23" i="49" s="1"/>
  <c r="U24" i="49"/>
  <c r="U23" i="49" s="1"/>
  <c r="F11" i="59"/>
  <c r="G12" i="59"/>
  <c r="H23" i="49"/>
  <c r="J23" i="49"/>
  <c r="K23" i="49"/>
  <c r="G23" i="49"/>
  <c r="G14" i="53"/>
  <c r="D13" i="53"/>
  <c r="H14" i="53"/>
  <c r="I18" i="49"/>
  <c r="C21" i="57"/>
  <c r="K12" i="53" l="1"/>
  <c r="E11" i="53"/>
  <c r="D12" i="53"/>
  <c r="C20" i="57"/>
  <c r="J16" i="49"/>
  <c r="K16" i="49"/>
  <c r="G16" i="49"/>
  <c r="H16" i="49"/>
  <c r="J14" i="53"/>
  <c r="F10" i="59"/>
  <c r="H13" i="50"/>
  <c r="I13" i="50"/>
  <c r="J13" i="50"/>
  <c r="G13" i="50"/>
  <c r="C22" i="47"/>
  <c r="C20" i="47" s="1"/>
  <c r="S10" i="52"/>
  <c r="C25" i="47"/>
  <c r="S10" i="53"/>
  <c r="U20" i="49"/>
  <c r="P19" i="49"/>
  <c r="I19" i="49" s="1"/>
  <c r="I21" i="52"/>
  <c r="J21" i="52"/>
  <c r="G21" i="52"/>
  <c r="H21" i="52"/>
  <c r="I14" i="53"/>
  <c r="G19" i="49"/>
  <c r="K19" i="49"/>
  <c r="H19" i="49"/>
  <c r="J19" i="49"/>
  <c r="G59" i="59"/>
  <c r="I16" i="51"/>
  <c r="U21" i="49"/>
  <c r="I21" i="49"/>
  <c r="G13" i="53"/>
  <c r="I13" i="53"/>
  <c r="H13" i="53"/>
  <c r="J13" i="53"/>
  <c r="P16" i="49"/>
  <c r="P10" i="49" s="1"/>
  <c r="J35" i="52"/>
  <c r="D23" i="52"/>
  <c r="G35" i="52"/>
  <c r="H35" i="52"/>
  <c r="I35" i="52"/>
  <c r="G15" i="51"/>
  <c r="I15" i="51"/>
  <c r="J15" i="51"/>
  <c r="H15" i="51"/>
  <c r="F11" i="52"/>
  <c r="L17" i="52"/>
  <c r="M15" i="48"/>
  <c r="E20" i="48"/>
  <c r="C23" i="47" l="1"/>
  <c r="L11" i="52"/>
  <c r="F10" i="52"/>
  <c r="L10" i="52" s="1"/>
  <c r="C46" i="109"/>
  <c r="M13" i="48"/>
  <c r="M18" i="48"/>
  <c r="K20" i="48"/>
  <c r="E21" i="48"/>
  <c r="D11" i="54"/>
  <c r="D10" i="54" s="1"/>
  <c r="E10" i="54"/>
  <c r="D13" i="51"/>
  <c r="E11" i="51"/>
  <c r="C20" i="48"/>
  <c r="M10" i="48"/>
  <c r="G12" i="53"/>
  <c r="J12" i="53"/>
  <c r="D11" i="53"/>
  <c r="H12" i="53"/>
  <c r="I12" i="53"/>
  <c r="F20" i="48"/>
  <c r="F21" i="48" s="1"/>
  <c r="H20" i="48"/>
  <c r="H21" i="48" s="1"/>
  <c r="E10" i="53"/>
  <c r="K10" i="53" s="1"/>
  <c r="C47" i="57"/>
  <c r="K11" i="53"/>
  <c r="D20" i="52"/>
  <c r="K20" i="52"/>
  <c r="E17" i="52"/>
  <c r="M12" i="48"/>
  <c r="J23" i="52"/>
  <c r="H23" i="52"/>
  <c r="G23" i="52"/>
  <c r="I23" i="52"/>
  <c r="M17" i="48"/>
  <c r="J20" i="48"/>
  <c r="J21" i="48" s="1"/>
  <c r="U19" i="49"/>
  <c r="U16" i="49" s="1"/>
  <c r="C13" i="47" s="1"/>
  <c r="D32" i="57"/>
  <c r="D30" i="57" s="1"/>
  <c r="F30" i="57" s="1"/>
  <c r="H30" i="57"/>
  <c r="L14" i="49"/>
  <c r="D14" i="49"/>
  <c r="E11" i="49"/>
  <c r="D12" i="50"/>
  <c r="E11" i="50"/>
  <c r="I16" i="49"/>
  <c r="I68" i="34"/>
  <c r="H70" i="34"/>
  <c r="G72" i="34"/>
  <c r="I70" i="34"/>
  <c r="H72" i="34"/>
  <c r="I72" i="34"/>
  <c r="G74" i="34"/>
  <c r="H65" i="34"/>
  <c r="H74" i="34"/>
  <c r="G76" i="34"/>
  <c r="I65" i="34"/>
  <c r="G67" i="34"/>
  <c r="G69" i="34"/>
  <c r="I74" i="34"/>
  <c r="H76" i="34"/>
  <c r="H67" i="34"/>
  <c r="H69" i="34"/>
  <c r="G71" i="34"/>
  <c r="I76" i="34"/>
  <c r="I67" i="34"/>
  <c r="I69" i="34"/>
  <c r="H71" i="34"/>
  <c r="I71" i="34"/>
  <c r="G66" i="34"/>
  <c r="G73" i="34"/>
  <c r="G75" i="34"/>
  <c r="H66" i="34"/>
  <c r="H73" i="34"/>
  <c r="H75" i="34"/>
  <c r="G65" i="34"/>
  <c r="I66" i="34"/>
  <c r="G68" i="34"/>
  <c r="I73" i="34"/>
  <c r="I75" i="34"/>
  <c r="H68" i="34"/>
  <c r="G70" i="34"/>
  <c r="G80" i="34"/>
  <c r="G82" i="34"/>
  <c r="G84" i="34"/>
  <c r="G86" i="34"/>
  <c r="G88" i="34"/>
  <c r="G78" i="34"/>
  <c r="H78" i="34"/>
  <c r="H80" i="34"/>
  <c r="H82" i="34"/>
  <c r="H84" i="34"/>
  <c r="H86" i="34"/>
  <c r="H88" i="34"/>
  <c r="I78" i="34"/>
  <c r="I80" i="34"/>
  <c r="I82" i="34"/>
  <c r="I84" i="34"/>
  <c r="I86" i="34"/>
  <c r="I88" i="34"/>
  <c r="G79" i="34"/>
  <c r="G81" i="34"/>
  <c r="G83" i="34"/>
  <c r="G85" i="34"/>
  <c r="G87" i="34"/>
  <c r="G89" i="34"/>
  <c r="H79" i="34"/>
  <c r="H81" i="34"/>
  <c r="H83" i="34"/>
  <c r="H85" i="34"/>
  <c r="H87" i="34"/>
  <c r="H89" i="34"/>
  <c r="I79" i="34"/>
  <c r="I81" i="34"/>
  <c r="I83" i="34"/>
  <c r="I85" i="34"/>
  <c r="I87" i="34"/>
  <c r="I89" i="34"/>
  <c r="I55" i="34"/>
  <c r="I57" i="34"/>
  <c r="H59" i="34"/>
  <c r="G61" i="34"/>
  <c r="I59" i="34"/>
  <c r="H61" i="34"/>
  <c r="G63" i="34"/>
  <c r="I61" i="34"/>
  <c r="H63" i="34"/>
  <c r="I63" i="34"/>
  <c r="I52" i="34"/>
  <c r="G54" i="34"/>
  <c r="G56" i="34"/>
  <c r="G58" i="34"/>
  <c r="H54" i="34"/>
  <c r="H56" i="34"/>
  <c r="H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07" i="34"/>
  <c r="J111" i="34"/>
  <c r="K107" i="34"/>
  <c r="K109" i="34"/>
  <c r="K111" i="34"/>
  <c r="K113" i="34"/>
  <c r="K115" i="34"/>
  <c r="M107" i="34"/>
  <c r="M109" i="34"/>
  <c r="M111" i="34"/>
  <c r="M113" i="34"/>
  <c r="M115" i="34"/>
  <c r="I93" i="34"/>
  <c r="I95" i="34"/>
  <c r="I97" i="34"/>
  <c r="I99" i="34"/>
  <c r="I101" i="34"/>
  <c r="I103" i="34"/>
  <c r="K106" i="34"/>
  <c r="K108" i="34"/>
  <c r="K110" i="34"/>
  <c r="K112" i="34"/>
  <c r="K114" i="34"/>
  <c r="K116" i="34"/>
  <c r="M106" i="34"/>
  <c r="M108" i="34"/>
  <c r="M110" i="34"/>
  <c r="M112" i="34"/>
  <c r="M114" i="34"/>
  <c r="M116" i="34"/>
  <c r="H118" i="34"/>
  <c r="G123" i="34"/>
  <c r="H121" i="34"/>
  <c r="H123" i="34"/>
  <c r="H125" i="34"/>
  <c r="H127" i="34"/>
  <c r="I121" i="34"/>
  <c r="I123" i="34"/>
  <c r="I125" i="34"/>
  <c r="I127" i="34"/>
  <c r="I129" i="34"/>
  <c r="I29" i="25"/>
  <c r="R29" i="25"/>
  <c r="G129" i="34"/>
  <c r="G119" i="34"/>
  <c r="H119" i="34"/>
  <c r="G125" i="34"/>
  <c r="G127" i="34"/>
  <c r="H129" i="34"/>
  <c r="G120" i="34"/>
  <c r="G122" i="34"/>
  <c r="G124" i="34"/>
  <c r="G126" i="34"/>
  <c r="U29" i="25"/>
  <c r="I119" i="34"/>
  <c r="H120" i="34"/>
  <c r="H122" i="34"/>
  <c r="H124" i="34"/>
  <c r="H126" i="34"/>
  <c r="O29" i="25"/>
  <c r="H128" i="34"/>
  <c r="I120" i="34"/>
  <c r="I122" i="34"/>
  <c r="I124" i="34"/>
  <c r="I126" i="34"/>
  <c r="G128" i="34"/>
  <c r="G118" i="34"/>
  <c r="I128" i="34"/>
  <c r="G121" i="34"/>
  <c r="I118" i="34"/>
  <c r="H132" i="34"/>
  <c r="G137" i="34"/>
  <c r="H137" i="34"/>
  <c r="G134" i="34"/>
  <c r="H142" i="34"/>
  <c r="H134" i="34"/>
  <c r="I30" i="25"/>
  <c r="G139" i="34"/>
  <c r="H139" i="34"/>
  <c r="T30" i="25"/>
  <c r="G132" i="34"/>
  <c r="H136" i="34"/>
  <c r="H141" i="34"/>
  <c r="F30" i="25"/>
  <c r="G136" i="34"/>
  <c r="G141" i="34"/>
  <c r="M30" i="25"/>
  <c r="G133" i="34"/>
  <c r="G138" i="34"/>
  <c r="G140" i="34"/>
  <c r="H133" i="34"/>
  <c r="H30" i="25"/>
  <c r="H138" i="34"/>
  <c r="G143" i="34"/>
  <c r="G135" i="34"/>
  <c r="H143" i="34"/>
  <c r="D30" i="25"/>
  <c r="H135" i="34"/>
  <c r="H140" i="34"/>
  <c r="U30" i="25"/>
  <c r="G142" i="34"/>
  <c r="H147" i="34"/>
  <c r="I154" i="34"/>
  <c r="H156" i="34"/>
  <c r="I147" i="34"/>
  <c r="I156" i="34"/>
  <c r="H149" i="34"/>
  <c r="H158" i="34"/>
  <c r="I149" i="34"/>
  <c r="H151" i="34"/>
  <c r="I158" i="34"/>
  <c r="I151" i="34"/>
  <c r="H153" i="34"/>
  <c r="I153" i="34"/>
  <c r="H155" i="34"/>
  <c r="I155" i="34"/>
  <c r="H148" i="34"/>
  <c r="H157" i="34"/>
  <c r="I148" i="34"/>
  <c r="H150" i="34"/>
  <c r="I157" i="34"/>
  <c r="I150" i="34"/>
  <c r="H152" i="34"/>
  <c r="I152" i="34"/>
  <c r="H154" i="34"/>
  <c r="I16" i="59"/>
  <c r="D18" i="57"/>
  <c r="M48" i="34"/>
  <c r="K50" i="34"/>
  <c r="L41" i="34"/>
  <c r="J43" i="34"/>
  <c r="M50" i="34"/>
  <c r="M41" i="34"/>
  <c r="K43" i="34"/>
  <c r="J45" i="34"/>
  <c r="M43" i="34"/>
  <c r="K45" i="34"/>
  <c r="K47" i="34"/>
  <c r="M47" i="34"/>
  <c r="K42" i="34"/>
  <c r="M45" i="34"/>
  <c r="L47" i="34"/>
  <c r="J49" i="34"/>
  <c r="K49" i="34"/>
  <c r="J40" i="34"/>
  <c r="K40" i="34"/>
  <c r="J42" i="34"/>
  <c r="G27" i="25" s="1"/>
  <c r="M49" i="34"/>
  <c r="M40" i="34"/>
  <c r="K41" i="34"/>
  <c r="L50" i="34"/>
  <c r="M42" i="34"/>
  <c r="K44" i="34"/>
  <c r="J46" i="34"/>
  <c r="M46" i="34"/>
  <c r="L44" i="34"/>
  <c r="K46" i="34"/>
  <c r="J48" i="34"/>
  <c r="M44" i="34"/>
  <c r="K48" i="34"/>
  <c r="L42" i="34"/>
  <c r="L45" i="34"/>
  <c r="L43" i="34"/>
  <c r="L48" i="34"/>
  <c r="L49" i="34"/>
  <c r="L46" i="34"/>
  <c r="L40" i="34"/>
  <c r="I27" i="34"/>
  <c r="I29" i="34"/>
  <c r="H31" i="34"/>
  <c r="G33" i="34"/>
  <c r="G35" i="34"/>
  <c r="I31" i="34"/>
  <c r="H33" i="34"/>
  <c r="H35" i="34"/>
  <c r="G37" i="34"/>
  <c r="I37" i="34"/>
  <c r="H26" i="34"/>
  <c r="G28" i="34"/>
  <c r="I26" i="34"/>
  <c r="H28" i="34"/>
  <c r="G30" i="34"/>
  <c r="G32" i="34"/>
  <c r="I28" i="34"/>
  <c r="H30" i="34"/>
  <c r="H32" i="34"/>
  <c r="G34" i="34"/>
  <c r="I35" i="34"/>
  <c r="I30" i="34"/>
  <c r="I32" i="34"/>
  <c r="H34" i="34"/>
  <c r="G36" i="34"/>
  <c r="G26" i="34"/>
  <c r="I34" i="34"/>
  <c r="H36" i="34"/>
  <c r="H37" i="34"/>
  <c r="I36" i="34"/>
  <c r="G27" i="34"/>
  <c r="G29" i="34"/>
  <c r="I33" i="34"/>
  <c r="H27" i="34"/>
  <c r="H29" i="34"/>
  <c r="G31" i="34"/>
  <c r="D16" i="57"/>
  <c r="I22" i="59"/>
  <c r="I45" i="59"/>
  <c r="K20" i="59"/>
  <c r="I15" i="59"/>
  <c r="H16" i="59"/>
  <c r="H22" i="59"/>
  <c r="H15" i="59"/>
  <c r="H45" i="59"/>
  <c r="D12" i="57"/>
  <c r="L20" i="59"/>
  <c r="K13" i="51"/>
  <c r="Q11" i="50"/>
  <c r="Q10" i="50" s="1"/>
  <c r="D50" i="34" l="1"/>
  <c r="G50" i="34" s="1"/>
  <c r="G24" i="34"/>
  <c r="J116" i="34"/>
  <c r="U28" i="25" s="1"/>
  <c r="E116" i="34"/>
  <c r="H116" i="34" s="1"/>
  <c r="H103" i="34"/>
  <c r="J115" i="34"/>
  <c r="T28" i="25"/>
  <c r="H102" i="34"/>
  <c r="E115" i="34"/>
  <c r="H115" i="34" s="1"/>
  <c r="L77" i="34"/>
  <c r="E39" i="34"/>
  <c r="H39" i="34" s="1"/>
  <c r="H13" i="34"/>
  <c r="H21" i="34"/>
  <c r="E47" i="34"/>
  <c r="H47" i="34" s="1"/>
  <c r="G150" i="34"/>
  <c r="G31" i="25"/>
  <c r="U31" i="25"/>
  <c r="G158" i="34"/>
  <c r="M29" i="25"/>
  <c r="J114" i="34"/>
  <c r="R28" i="25" s="1"/>
  <c r="H101" i="34"/>
  <c r="E114" i="34"/>
  <c r="H114" i="34" s="1"/>
  <c r="J113" i="34"/>
  <c r="O28" i="25"/>
  <c r="H100" i="34"/>
  <c r="E113" i="34"/>
  <c r="H113" i="34" s="1"/>
  <c r="M64" i="34"/>
  <c r="K12" i="50"/>
  <c r="E10" i="50"/>
  <c r="K10" i="50" s="1"/>
  <c r="K11" i="50"/>
  <c r="C30" i="25"/>
  <c r="J131" i="34"/>
  <c r="J130" i="34" s="1"/>
  <c r="J112" i="34"/>
  <c r="M28" i="25"/>
  <c r="L51" i="34"/>
  <c r="U27" i="25"/>
  <c r="J50" i="34"/>
  <c r="F41" i="34"/>
  <c r="I41" i="34" s="1"/>
  <c r="I15" i="34"/>
  <c r="J44" i="34"/>
  <c r="I27" i="25"/>
  <c r="G20" i="34"/>
  <c r="D46" i="34"/>
  <c r="G46" i="34" s="1"/>
  <c r="D39" i="34"/>
  <c r="G39" i="34" s="1"/>
  <c r="G13" i="34"/>
  <c r="D45" i="34"/>
  <c r="G45" i="34" s="1"/>
  <c r="G19" i="34"/>
  <c r="G157" i="34"/>
  <c r="T31" i="25"/>
  <c r="F29" i="25"/>
  <c r="H29" i="25"/>
  <c r="G29" i="25"/>
  <c r="J110" i="34"/>
  <c r="I28" i="25" s="1"/>
  <c r="H97" i="34"/>
  <c r="E110" i="34"/>
  <c r="H110" i="34" s="1"/>
  <c r="J109" i="34"/>
  <c r="H28" i="25"/>
  <c r="E109" i="34"/>
  <c r="H109" i="34" s="1"/>
  <c r="H96" i="34"/>
  <c r="J64" i="34"/>
  <c r="D11" i="50"/>
  <c r="J12" i="50"/>
  <c r="H11" i="53"/>
  <c r="I11" i="53"/>
  <c r="G11" i="53"/>
  <c r="D10" i="53"/>
  <c r="J11" i="53"/>
  <c r="K21" i="48"/>
  <c r="E41" i="34"/>
  <c r="H41" i="34" s="1"/>
  <c r="H15" i="34"/>
  <c r="L13" i="59"/>
  <c r="I14" i="59"/>
  <c r="K146" i="34"/>
  <c r="K28" i="25"/>
  <c r="H98" i="34"/>
  <c r="E111" i="34"/>
  <c r="H111" i="34" s="1"/>
  <c r="D23" i="57"/>
  <c r="D21" i="57" s="1"/>
  <c r="H21" i="57"/>
  <c r="H20" i="57" s="1"/>
  <c r="L23" i="59"/>
  <c r="I23" i="59" s="1"/>
  <c r="I24" i="59"/>
  <c r="K12" i="34"/>
  <c r="K39" i="34"/>
  <c r="K38" i="34" s="1"/>
  <c r="I16" i="34"/>
  <c r="F42" i="34"/>
  <c r="I42" i="34" s="1"/>
  <c r="E43" i="34"/>
  <c r="H43" i="34" s="1"/>
  <c r="H17" i="34"/>
  <c r="R31" i="25"/>
  <c r="G156" i="34"/>
  <c r="D29" i="25"/>
  <c r="J108" i="34"/>
  <c r="G28" i="25" s="1"/>
  <c r="G26" i="25" s="1"/>
  <c r="E108" i="34"/>
  <c r="H108" i="34" s="1"/>
  <c r="H95" i="34"/>
  <c r="F28" i="25"/>
  <c r="H94" i="34"/>
  <c r="E107" i="34"/>
  <c r="H107" i="34" s="1"/>
  <c r="J51" i="34"/>
  <c r="L64" i="34"/>
  <c r="E10" i="49"/>
  <c r="L10" i="49" s="1"/>
  <c r="C12" i="57"/>
  <c r="L11" i="49"/>
  <c r="D11" i="57"/>
  <c r="G153" i="34"/>
  <c r="K31" i="25"/>
  <c r="L117" i="34"/>
  <c r="K29" i="25"/>
  <c r="E112" i="34"/>
  <c r="H112" i="34" s="1"/>
  <c r="H99" i="34"/>
  <c r="I12" i="57"/>
  <c r="E50" i="34"/>
  <c r="H50" i="34" s="1"/>
  <c r="H24" i="34"/>
  <c r="I15" i="57"/>
  <c r="G13" i="57"/>
  <c r="E15" i="57"/>
  <c r="I16" i="57"/>
  <c r="E16" i="57"/>
  <c r="I22" i="34"/>
  <c r="F48" i="34"/>
  <c r="I48" i="34" s="1"/>
  <c r="F46" i="34"/>
  <c r="I46" i="34" s="1"/>
  <c r="I20" i="34"/>
  <c r="E44" i="34"/>
  <c r="H44" i="34" s="1"/>
  <c r="H18" i="34"/>
  <c r="I23" i="34"/>
  <c r="F49" i="34"/>
  <c r="I49" i="34" s="1"/>
  <c r="D49" i="34"/>
  <c r="G49" i="34" s="1"/>
  <c r="G23" i="34"/>
  <c r="J41" i="34"/>
  <c r="F27" i="25" s="1"/>
  <c r="F26" i="25" s="1"/>
  <c r="K131" i="34"/>
  <c r="K130" i="34" s="1"/>
  <c r="K117" i="34"/>
  <c r="L91" i="34"/>
  <c r="L90" i="34" s="1"/>
  <c r="J106" i="34"/>
  <c r="D28" i="25"/>
  <c r="E106" i="34"/>
  <c r="H106" i="34" s="1"/>
  <c r="H93" i="34"/>
  <c r="M91" i="34"/>
  <c r="M90" i="34" s="1"/>
  <c r="M105" i="34"/>
  <c r="M104" i="34" s="1"/>
  <c r="J105" i="34"/>
  <c r="J104" i="34" s="1"/>
  <c r="J90" i="34" s="1"/>
  <c r="J91" i="34"/>
  <c r="H92" i="34"/>
  <c r="E105" i="34"/>
  <c r="H105" i="34" s="1"/>
  <c r="M77" i="34"/>
  <c r="J77" i="34"/>
  <c r="I14" i="49"/>
  <c r="H14" i="49"/>
  <c r="K14" i="49"/>
  <c r="J14" i="49"/>
  <c r="G14" i="49"/>
  <c r="D11" i="49"/>
  <c r="K17" i="52"/>
  <c r="E11" i="52"/>
  <c r="M27" i="25"/>
  <c r="T27" i="25"/>
  <c r="F47" i="34"/>
  <c r="I47" i="34" s="1"/>
  <c r="I21" i="34"/>
  <c r="J39" i="34"/>
  <c r="J12" i="34"/>
  <c r="G155" i="34"/>
  <c r="O31" i="25"/>
  <c r="G149" i="34"/>
  <c r="F31" i="25"/>
  <c r="D116" i="34"/>
  <c r="G116" i="34" s="1"/>
  <c r="G103" i="34"/>
  <c r="G92" i="34"/>
  <c r="D105" i="34"/>
  <c r="G105" i="34" s="1"/>
  <c r="K25" i="34"/>
  <c r="G21" i="57"/>
  <c r="I23" i="57"/>
  <c r="E23" i="57"/>
  <c r="G30" i="57"/>
  <c r="I32" i="57"/>
  <c r="E32" i="57"/>
  <c r="M25" i="34"/>
  <c r="F50" i="34"/>
  <c r="I50" i="34" s="1"/>
  <c r="I24" i="34"/>
  <c r="E48" i="34"/>
  <c r="H48" i="34" s="1"/>
  <c r="H22" i="34"/>
  <c r="I19" i="34"/>
  <c r="F45" i="34"/>
  <c r="I45" i="34" s="1"/>
  <c r="J47" i="34"/>
  <c r="O27" i="25"/>
  <c r="M146" i="34"/>
  <c r="T29" i="25"/>
  <c r="G101" i="34"/>
  <c r="D114" i="34"/>
  <c r="G114" i="34" s="1"/>
  <c r="D115" i="34"/>
  <c r="G115" i="34" s="1"/>
  <c r="G102" i="34"/>
  <c r="M51" i="34"/>
  <c r="H20" i="52"/>
  <c r="I20" i="52"/>
  <c r="G20" i="52"/>
  <c r="J20" i="52"/>
  <c r="D17" i="52"/>
  <c r="C21" i="48"/>
  <c r="M20" i="48"/>
  <c r="M21" i="48"/>
  <c r="C46" i="65"/>
  <c r="L17" i="59"/>
  <c r="I17" i="59" s="1"/>
  <c r="I18" i="59"/>
  <c r="L39" i="34"/>
  <c r="L38" i="34" s="1"/>
  <c r="L12" i="34"/>
  <c r="L11" i="34" s="1"/>
  <c r="L10" i="34" s="1"/>
  <c r="D27" i="25"/>
  <c r="G21" i="34"/>
  <c r="D47" i="34"/>
  <c r="G47" i="34" s="1"/>
  <c r="U14" i="49"/>
  <c r="U11" i="49" s="1"/>
  <c r="Q11" i="49"/>
  <c r="Q10" i="49" s="1"/>
  <c r="G17" i="34"/>
  <c r="D43" i="34"/>
  <c r="G43" i="34" s="1"/>
  <c r="K17" i="59"/>
  <c r="H17" i="59" s="1"/>
  <c r="H18" i="59"/>
  <c r="D15" i="57"/>
  <c r="D13" i="57" s="1"/>
  <c r="H13" i="57"/>
  <c r="H11" i="57" s="1"/>
  <c r="R27" i="25"/>
  <c r="H27" i="25"/>
  <c r="I13" i="34"/>
  <c r="F39" i="34"/>
  <c r="I39" i="34" s="1"/>
  <c r="G148" i="34"/>
  <c r="D31" i="25"/>
  <c r="I31" i="25"/>
  <c r="G152" i="34"/>
  <c r="G99" i="34"/>
  <c r="D112" i="34"/>
  <c r="G112" i="34" s="1"/>
  <c r="D113" i="34"/>
  <c r="G113" i="34" s="1"/>
  <c r="G100" i="34"/>
  <c r="K64" i="34"/>
  <c r="C29" i="57"/>
  <c r="E10" i="51"/>
  <c r="K10" i="51" s="1"/>
  <c r="K11" i="51"/>
  <c r="K13" i="59"/>
  <c r="H14" i="59"/>
  <c r="G15" i="34"/>
  <c r="D41" i="34"/>
  <c r="G41" i="34" s="1"/>
  <c r="D48" i="34"/>
  <c r="G48" i="34" s="1"/>
  <c r="G22" i="34"/>
  <c r="G18" i="34"/>
  <c r="D44" i="34"/>
  <c r="G44" i="34" s="1"/>
  <c r="D42" i="34"/>
  <c r="G42" i="34" s="1"/>
  <c r="G16" i="34"/>
  <c r="J146" i="34"/>
  <c r="C31" i="25"/>
  <c r="G147" i="34"/>
  <c r="O30" i="25"/>
  <c r="K30" i="25"/>
  <c r="M131" i="34"/>
  <c r="M130" i="34" s="1"/>
  <c r="G30" i="25"/>
  <c r="G97" i="34"/>
  <c r="D110" i="34"/>
  <c r="G110" i="34" s="1"/>
  <c r="D111" i="34"/>
  <c r="G111" i="34" s="1"/>
  <c r="G98" i="34"/>
  <c r="K51" i="34"/>
  <c r="C46" i="57"/>
  <c r="L146" i="34"/>
  <c r="I17" i="34"/>
  <c r="F43" i="34"/>
  <c r="I43" i="34" s="1"/>
  <c r="D40" i="34"/>
  <c r="G40" i="34" s="1"/>
  <c r="G14" i="34"/>
  <c r="L19" i="59"/>
  <c r="I19" i="59" s="1"/>
  <c r="I20" i="59"/>
  <c r="K38" i="59"/>
  <c r="H39" i="59"/>
  <c r="K23" i="59"/>
  <c r="H23" i="59" s="1"/>
  <c r="H24" i="59"/>
  <c r="S13" i="51"/>
  <c r="S11" i="51" s="1"/>
  <c r="Q11" i="51"/>
  <c r="Q10" i="51" s="1"/>
  <c r="I18" i="57"/>
  <c r="E18" i="57"/>
  <c r="H20" i="59"/>
  <c r="L25" i="34"/>
  <c r="J25" i="34"/>
  <c r="H23" i="34"/>
  <c r="E49" i="34"/>
  <c r="H49" i="34" s="1"/>
  <c r="H20" i="34"/>
  <c r="E46" i="34"/>
  <c r="H46" i="34" s="1"/>
  <c r="H16" i="34"/>
  <c r="E42" i="34"/>
  <c r="H42" i="34" s="1"/>
  <c r="E40" i="34"/>
  <c r="H40" i="34" s="1"/>
  <c r="H14" i="34"/>
  <c r="M39" i="34"/>
  <c r="M38" i="34" s="1"/>
  <c r="M12" i="34"/>
  <c r="H31" i="25"/>
  <c r="G151" i="34"/>
  <c r="M117" i="34"/>
  <c r="D108" i="34"/>
  <c r="G108" i="34" s="1"/>
  <c r="G95" i="34"/>
  <c r="G96" i="34"/>
  <c r="D109" i="34"/>
  <c r="G109" i="34" s="1"/>
  <c r="I13" i="51"/>
  <c r="J13" i="51"/>
  <c r="H13" i="51"/>
  <c r="G13" i="51"/>
  <c r="D11" i="51"/>
  <c r="C47" i="109"/>
  <c r="L38" i="59"/>
  <c r="I39" i="59"/>
  <c r="L43" i="59"/>
  <c r="I44" i="59"/>
  <c r="F44" i="34"/>
  <c r="I44" i="34" s="1"/>
  <c r="I18" i="34"/>
  <c r="I14" i="34"/>
  <c r="F40" i="34"/>
  <c r="I40" i="34" s="1"/>
  <c r="K27" i="25"/>
  <c r="K26" i="25" s="1"/>
  <c r="H19" i="34"/>
  <c r="E45" i="34"/>
  <c r="H45" i="34" s="1"/>
  <c r="M31" i="25"/>
  <c r="G154" i="34"/>
  <c r="R30" i="25"/>
  <c r="C29" i="25"/>
  <c r="F48" i="22" s="1"/>
  <c r="J117" i="34"/>
  <c r="G93" i="34"/>
  <c r="D106" i="34"/>
  <c r="G106" i="34" s="1"/>
  <c r="K91" i="34"/>
  <c r="K105" i="34"/>
  <c r="K104" i="34" s="1"/>
  <c r="G94" i="34"/>
  <c r="D107" i="34"/>
  <c r="G107" i="34" s="1"/>
  <c r="K77" i="34"/>
  <c r="F14" i="124"/>
  <c r="D14" i="124" s="1"/>
  <c r="G43" i="25" l="1"/>
  <c r="G39" i="25" s="1"/>
  <c r="G10" i="25"/>
  <c r="F10" i="25"/>
  <c r="F43" i="25"/>
  <c r="F39" i="25" s="1"/>
  <c r="H11" i="49"/>
  <c r="J11" i="49"/>
  <c r="G11" i="49"/>
  <c r="I11" i="49"/>
  <c r="K11" i="49"/>
  <c r="D10" i="49"/>
  <c r="F11" i="57"/>
  <c r="G10" i="53"/>
  <c r="I10" i="53"/>
  <c r="H10" i="53"/>
  <c r="J10" i="53"/>
  <c r="I30" i="57"/>
  <c r="E30" i="57"/>
  <c r="G11" i="57"/>
  <c r="I13" i="57"/>
  <c r="E13" i="47" s="1"/>
  <c r="E13" i="57"/>
  <c r="D20" i="57"/>
  <c r="F20" i="57" s="1"/>
  <c r="F21" i="57"/>
  <c r="I31" i="47"/>
  <c r="E30" i="47"/>
  <c r="E50" i="109" s="1"/>
  <c r="E50" i="65" s="1"/>
  <c r="P49" i="70" s="1"/>
  <c r="Q49" i="70" s="1"/>
  <c r="C10" i="127"/>
  <c r="O26" i="25"/>
  <c r="E12" i="57"/>
  <c r="C11" i="57"/>
  <c r="C27" i="25"/>
  <c r="F49" i="22"/>
  <c r="K50" i="59"/>
  <c r="H51" i="59"/>
  <c r="F50" i="22"/>
  <c r="I29" i="57"/>
  <c r="H28" i="57"/>
  <c r="D29" i="57"/>
  <c r="D28" i="57" s="1"/>
  <c r="F28" i="57" s="1"/>
  <c r="I32" i="47"/>
  <c r="C30" i="47"/>
  <c r="L37" i="59"/>
  <c r="I38" i="59"/>
  <c r="K37" i="59"/>
  <c r="H38" i="59"/>
  <c r="C28" i="57"/>
  <c r="E28" i="57" s="1"/>
  <c r="E29" i="57"/>
  <c r="H26" i="25"/>
  <c r="D26" i="25"/>
  <c r="G20" i="57"/>
  <c r="I21" i="57"/>
  <c r="E21" i="57"/>
  <c r="J38" i="34"/>
  <c r="J11" i="34" s="1"/>
  <c r="J10" i="34" s="1"/>
  <c r="I26" i="25"/>
  <c r="S10" i="51"/>
  <c r="C18" i="47"/>
  <c r="C17" i="47" s="1"/>
  <c r="C12" i="47"/>
  <c r="U10" i="49"/>
  <c r="R26" i="25"/>
  <c r="C47" i="65"/>
  <c r="L42" i="59"/>
  <c r="I42" i="59" s="1"/>
  <c r="I43" i="59"/>
  <c r="K43" i="59"/>
  <c r="H44" i="59"/>
  <c r="I11" i="51"/>
  <c r="H11" i="51"/>
  <c r="J11" i="51"/>
  <c r="G11" i="51"/>
  <c r="D10" i="51"/>
  <c r="M11" i="34"/>
  <c r="M10" i="34" s="1"/>
  <c r="F13" i="57"/>
  <c r="L12" i="59"/>
  <c r="E12" i="47" s="1"/>
  <c r="E11" i="47" s="1"/>
  <c r="I13" i="59"/>
  <c r="K32" i="59"/>
  <c r="H33" i="59"/>
  <c r="D23" i="73"/>
  <c r="E23" i="73" s="1"/>
  <c r="O48" i="22"/>
  <c r="J11" i="50"/>
  <c r="D10" i="50"/>
  <c r="J10" i="50" s="1"/>
  <c r="K43" i="25"/>
  <c r="K39" i="25" s="1"/>
  <c r="K10" i="25"/>
  <c r="K19" i="59"/>
  <c r="T26" i="25"/>
  <c r="M26" i="25"/>
  <c r="K11" i="34"/>
  <c r="K12" i="59"/>
  <c r="H13" i="59"/>
  <c r="I17" i="52"/>
  <c r="J17" i="52"/>
  <c r="H17" i="52"/>
  <c r="G17" i="52"/>
  <c r="D11" i="52"/>
  <c r="G28" i="57"/>
  <c r="I28" i="57" s="1"/>
  <c r="J281" i="56"/>
  <c r="J302" i="56"/>
  <c r="G306" i="56"/>
  <c r="G281" i="56" s="1"/>
  <c r="J415" i="56"/>
  <c r="J423" i="56"/>
  <c r="J416" i="56" s="1"/>
  <c r="G427" i="56"/>
  <c r="K90" i="34"/>
  <c r="D45" i="70"/>
  <c r="E45" i="70" s="1"/>
  <c r="K11" i="52"/>
  <c r="E10" i="52"/>
  <c r="K10" i="52" s="1"/>
  <c r="C28" i="25"/>
  <c r="F47" i="22" s="1"/>
  <c r="U26" i="25"/>
  <c r="L50" i="59"/>
  <c r="I51" i="59"/>
  <c r="L32" i="59"/>
  <c r="I33" i="59"/>
  <c r="J282" i="56"/>
  <c r="G307" i="56"/>
  <c r="G282" i="56" s="1"/>
  <c r="G10" i="126"/>
  <c r="H10" i="126"/>
  <c r="C30" i="128"/>
  <c r="C10" i="128"/>
  <c r="C67" i="109"/>
  <c r="C11" i="126"/>
  <c r="F16" i="124"/>
  <c r="D16" i="124" s="1"/>
  <c r="E43" i="109" l="1"/>
  <c r="E43" i="65" s="1"/>
  <c r="P42" i="70" s="1"/>
  <c r="Q42" i="70" s="1"/>
  <c r="D43" i="25"/>
  <c r="D39" i="25" s="1"/>
  <c r="D10" i="25"/>
  <c r="G11" i="124"/>
  <c r="F13" i="124"/>
  <c r="R10" i="25"/>
  <c r="R43" i="25"/>
  <c r="R39" i="25" s="1"/>
  <c r="H43" i="25"/>
  <c r="H39" i="25" s="1"/>
  <c r="H10" i="25"/>
  <c r="D25" i="73"/>
  <c r="E25" i="73" s="1"/>
  <c r="O50" i="22"/>
  <c r="C10" i="126"/>
  <c r="G415" i="56"/>
  <c r="G423" i="56"/>
  <c r="H10" i="51"/>
  <c r="G10" i="51"/>
  <c r="I10" i="51"/>
  <c r="J10" i="51"/>
  <c r="C11" i="47"/>
  <c r="K49" i="59"/>
  <c r="H50" i="59"/>
  <c r="K10" i="49"/>
  <c r="G10" i="49"/>
  <c r="I10" i="49"/>
  <c r="J10" i="49"/>
  <c r="H10" i="49"/>
  <c r="C45" i="109"/>
  <c r="D24" i="73"/>
  <c r="E24" i="73" s="1"/>
  <c r="O49" i="22"/>
  <c r="D18" i="47"/>
  <c r="H37" i="59"/>
  <c r="F46" i="22"/>
  <c r="C26" i="25"/>
  <c r="C43" i="25" s="1"/>
  <c r="L31" i="59"/>
  <c r="I32" i="59"/>
  <c r="N11" i="50"/>
  <c r="H12" i="50"/>
  <c r="M11" i="50"/>
  <c r="O12" i="50"/>
  <c r="G12" i="50"/>
  <c r="K11" i="59"/>
  <c r="D12" i="47"/>
  <c r="D11" i="47" s="1"/>
  <c r="H12" i="59"/>
  <c r="I43" i="25"/>
  <c r="I39" i="25" s="1"/>
  <c r="I10" i="25"/>
  <c r="E11" i="57"/>
  <c r="C10" i="57"/>
  <c r="I11" i="57"/>
  <c r="J411" i="56"/>
  <c r="J404" i="56" s="1"/>
  <c r="J331" i="56"/>
  <c r="J327" i="56" s="1"/>
  <c r="J320" i="56" s="1"/>
  <c r="D22" i="47" s="1"/>
  <c r="I22" i="47" s="1"/>
  <c r="L49" i="59"/>
  <c r="I50" i="59"/>
  <c r="F11" i="126"/>
  <c r="F10" i="126" s="1"/>
  <c r="D12" i="1" s="1"/>
  <c r="U10" i="25"/>
  <c r="U43" i="25"/>
  <c r="U39" i="25" s="1"/>
  <c r="K10" i="34"/>
  <c r="F23" i="73"/>
  <c r="H23" i="73"/>
  <c r="G23" i="73"/>
  <c r="E18" i="47"/>
  <c r="L36" i="59"/>
  <c r="I36" i="59" s="1"/>
  <c r="I37" i="59"/>
  <c r="J295" i="56"/>
  <c r="J277" i="56"/>
  <c r="G302" i="56"/>
  <c r="M10" i="25"/>
  <c r="M43" i="25"/>
  <c r="M39" i="25" s="1"/>
  <c r="K42" i="59"/>
  <c r="K36" i="59" s="1"/>
  <c r="H36" i="59" s="1"/>
  <c r="H43" i="59"/>
  <c r="C50" i="109"/>
  <c r="I30" i="47"/>
  <c r="O10" i="25"/>
  <c r="O43" i="25"/>
  <c r="O39" i="25" s="1"/>
  <c r="E19" i="47"/>
  <c r="E17" i="47" s="1"/>
  <c r="E45" i="109" s="1"/>
  <c r="E45" i="65" s="1"/>
  <c r="P44" i="70" s="1"/>
  <c r="Q44" i="70" s="1"/>
  <c r="T10" i="25"/>
  <c r="T43" i="25"/>
  <c r="T39" i="25" s="1"/>
  <c r="K31" i="59"/>
  <c r="H32" i="59"/>
  <c r="D13" i="47"/>
  <c r="I13" i="47" s="1"/>
  <c r="H19" i="59"/>
  <c r="E16" i="47"/>
  <c r="E14" i="47" s="1"/>
  <c r="E44" i="109" s="1"/>
  <c r="E44" i="65" s="1"/>
  <c r="P43" i="70" s="1"/>
  <c r="Q43" i="70" s="1"/>
  <c r="O47" i="22"/>
  <c r="D22" i="73"/>
  <c r="E22" i="73" s="1"/>
  <c r="C66" i="65"/>
  <c r="O67" i="109"/>
  <c r="D10" i="52"/>
  <c r="H11" i="52"/>
  <c r="J11" i="52"/>
  <c r="I11" i="52"/>
  <c r="G11" i="52"/>
  <c r="L11" i="59"/>
  <c r="I12" i="59"/>
  <c r="I20" i="57"/>
  <c r="E20" i="57"/>
  <c r="F45" i="70"/>
  <c r="D46" i="70"/>
  <c r="E46" i="70" s="1"/>
  <c r="R49" i="70"/>
  <c r="F18" i="124"/>
  <c r="D43" i="109" l="1"/>
  <c r="D43" i="65" s="1"/>
  <c r="J42" i="70" s="1"/>
  <c r="K42" i="70" s="1"/>
  <c r="K48" i="59"/>
  <c r="H48" i="59" s="1"/>
  <c r="H49" i="59"/>
  <c r="K25" i="59"/>
  <c r="H25" i="59" s="1"/>
  <c r="D16" i="47"/>
  <c r="H31" i="59"/>
  <c r="J12" i="1"/>
  <c r="D11" i="1"/>
  <c r="J270" i="56"/>
  <c r="J269" i="56" s="1"/>
  <c r="J10" i="56" s="1"/>
  <c r="G277" i="56"/>
  <c r="H11" i="59"/>
  <c r="I18" i="47"/>
  <c r="I12" i="47"/>
  <c r="H25" i="73"/>
  <c r="G25" i="73"/>
  <c r="F25" i="73"/>
  <c r="L48" i="59"/>
  <c r="I48" i="59" s="1"/>
  <c r="E21" i="47"/>
  <c r="E20" i="47" s="1"/>
  <c r="E46" i="109" s="1"/>
  <c r="E46" i="65" s="1"/>
  <c r="P45" i="70" s="1"/>
  <c r="Q45" i="70" s="1"/>
  <c r="I49" i="59"/>
  <c r="C43" i="109"/>
  <c r="I11" i="47"/>
  <c r="O11" i="50"/>
  <c r="S12" i="50"/>
  <c r="S11" i="50" s="1"/>
  <c r="I12" i="50"/>
  <c r="F24" i="73"/>
  <c r="H24" i="73"/>
  <c r="G24" i="73"/>
  <c r="R44" i="70"/>
  <c r="C45" i="65"/>
  <c r="G22" i="73"/>
  <c r="H22" i="73"/>
  <c r="F22" i="73"/>
  <c r="N10" i="50"/>
  <c r="H10" i="50" s="1"/>
  <c r="H11" i="50"/>
  <c r="F11" i="124"/>
  <c r="F10" i="124" s="1"/>
  <c r="D13" i="124"/>
  <c r="D11" i="124" s="1"/>
  <c r="D65" i="70"/>
  <c r="E65" i="70" s="1"/>
  <c r="K66" i="65"/>
  <c r="O50" i="109"/>
  <c r="C50" i="65"/>
  <c r="G10" i="52"/>
  <c r="H10" i="52"/>
  <c r="I10" i="52"/>
  <c r="J10" i="52"/>
  <c r="M10" i="50"/>
  <c r="G10" i="50" s="1"/>
  <c r="G11" i="50"/>
  <c r="R43" i="70"/>
  <c r="L25" i="59"/>
  <c r="I25" i="59" s="1"/>
  <c r="I31" i="59"/>
  <c r="G331" i="56"/>
  <c r="G327" i="56" s="1"/>
  <c r="G411" i="56"/>
  <c r="F46" i="70"/>
  <c r="F17" i="124"/>
  <c r="G17" i="124" s="1"/>
  <c r="G10" i="124" s="1"/>
  <c r="C29" i="47" s="1"/>
  <c r="D18" i="124"/>
  <c r="D17" i="124" s="1"/>
  <c r="D19" i="47"/>
  <c r="I19" i="47" s="1"/>
  <c r="H42" i="59"/>
  <c r="W43" i="25"/>
  <c r="I11" i="59"/>
  <c r="D21" i="73"/>
  <c r="E21" i="73" s="1"/>
  <c r="F45" i="22"/>
  <c r="O46" i="22"/>
  <c r="R42" i="70"/>
  <c r="G21" i="73" l="1"/>
  <c r="F21" i="73"/>
  <c r="H21" i="73"/>
  <c r="D49" i="70"/>
  <c r="E49" i="70" s="1"/>
  <c r="K50" i="65"/>
  <c r="R45" i="70"/>
  <c r="D52" i="109"/>
  <c r="J11" i="1"/>
  <c r="D44" i="70"/>
  <c r="E44" i="70" s="1"/>
  <c r="C43" i="65"/>
  <c r="O43" i="109"/>
  <c r="F65" i="70"/>
  <c r="D10" i="124"/>
  <c r="D14" i="47"/>
  <c r="I16" i="47"/>
  <c r="O45" i="22"/>
  <c r="F28" i="109"/>
  <c r="S10" i="50"/>
  <c r="C15" i="47"/>
  <c r="D17" i="47"/>
  <c r="D21" i="47"/>
  <c r="C49" i="109"/>
  <c r="I29" i="47"/>
  <c r="O10" i="50"/>
  <c r="I10" i="50" s="1"/>
  <c r="I11" i="50"/>
  <c r="L42" i="70"/>
  <c r="F44" i="70" l="1"/>
  <c r="E22" i="1"/>
  <c r="E21" i="1" s="1"/>
  <c r="E55" i="109" s="1"/>
  <c r="E55" i="65" s="1"/>
  <c r="P54" i="70" s="1"/>
  <c r="Q54" i="70" s="1"/>
  <c r="G10" i="129"/>
  <c r="F28" i="65"/>
  <c r="K28" i="65" s="1"/>
  <c r="O28" i="109"/>
  <c r="F22" i="128"/>
  <c r="I21" i="128"/>
  <c r="D52" i="65"/>
  <c r="O52" i="109"/>
  <c r="D27" i="128"/>
  <c r="D44" i="109"/>
  <c r="D44" i="65" s="1"/>
  <c r="J43" i="70" s="1"/>
  <c r="K43" i="70" s="1"/>
  <c r="H21" i="128"/>
  <c r="E22" i="128"/>
  <c r="F10" i="127"/>
  <c r="D11" i="127"/>
  <c r="D31" i="128"/>
  <c r="G30" i="128"/>
  <c r="D30" i="128" s="1"/>
  <c r="D12" i="43"/>
  <c r="H49" i="70"/>
  <c r="F49" i="70"/>
  <c r="F11" i="129"/>
  <c r="D23" i="1"/>
  <c r="J23" i="1" s="1"/>
  <c r="O49" i="109"/>
  <c r="C49" i="65"/>
  <c r="D20" i="47"/>
  <c r="I21" i="47"/>
  <c r="G10" i="127"/>
  <c r="E11" i="127"/>
  <c r="D45" i="109"/>
  <c r="I17" i="47"/>
  <c r="D42" i="70"/>
  <c r="E42" i="70" s="1"/>
  <c r="K43" i="65"/>
  <c r="D22" i="128"/>
  <c r="F10" i="129"/>
  <c r="D22" i="1"/>
  <c r="I15" i="47"/>
  <c r="C14" i="47"/>
  <c r="E11" i="43"/>
  <c r="F12" i="43"/>
  <c r="E36" i="38" s="1"/>
  <c r="J36" i="38" s="1"/>
  <c r="D11" i="46"/>
  <c r="E14" i="43"/>
  <c r="C46" i="38"/>
  <c r="E38" i="38"/>
  <c r="J38" i="38" s="1"/>
  <c r="E37" i="38"/>
  <c r="J37" i="38" s="1"/>
  <c r="E23" i="43"/>
  <c r="D12" i="46"/>
  <c r="E39" i="38"/>
  <c r="J39" i="38" s="1"/>
  <c r="J51" i="70" l="1"/>
  <c r="K51" i="70" s="1"/>
  <c r="K52" i="65"/>
  <c r="E16" i="1"/>
  <c r="E15" i="1" s="1"/>
  <c r="E10" i="127"/>
  <c r="F21" i="43"/>
  <c r="E42" i="38" s="1"/>
  <c r="J42" i="38" s="1"/>
  <c r="I10" i="128"/>
  <c r="F21" i="128"/>
  <c r="E18" i="43"/>
  <c r="D46" i="109"/>
  <c r="I20" i="47"/>
  <c r="J22" i="1"/>
  <c r="D21" i="1"/>
  <c r="D48" i="70"/>
  <c r="E48" i="70" s="1"/>
  <c r="K49" i="65"/>
  <c r="D16" i="1"/>
  <c r="D10" i="127"/>
  <c r="E10" i="46"/>
  <c r="C45" i="38" s="1"/>
  <c r="H10" i="128"/>
  <c r="E21" i="128"/>
  <c r="E16" i="43"/>
  <c r="J46" i="38"/>
  <c r="C39" i="109"/>
  <c r="E40" i="38"/>
  <c r="J40" i="38" s="1"/>
  <c r="E19" i="43"/>
  <c r="L43" i="70"/>
  <c r="R54" i="70"/>
  <c r="F42" i="70"/>
  <c r="E13" i="43"/>
  <c r="G23" i="128"/>
  <c r="D45" i="65"/>
  <c r="O45" i="109"/>
  <c r="E12" i="43"/>
  <c r="D13" i="46"/>
  <c r="E35" i="38"/>
  <c r="F10" i="43"/>
  <c r="I14" i="47"/>
  <c r="C44" i="109"/>
  <c r="C10" i="47"/>
  <c r="E22" i="43"/>
  <c r="E17" i="43"/>
  <c r="P22" i="12"/>
  <c r="K28" i="12"/>
  <c r="K42" i="12"/>
  <c r="F42" i="15"/>
  <c r="K21" i="12"/>
  <c r="K26" i="12"/>
  <c r="F28" i="15"/>
  <c r="E31" i="15"/>
  <c r="K13" i="12"/>
  <c r="K40" i="12"/>
  <c r="K17" i="12"/>
  <c r="K11" i="12"/>
  <c r="P34" i="12"/>
  <c r="E50" i="15"/>
  <c r="K37" i="12"/>
  <c r="F13" i="33"/>
  <c r="L17" i="12" l="1"/>
  <c r="N17" i="12"/>
  <c r="P17" i="12" s="1"/>
  <c r="R17" i="12" s="1"/>
  <c r="S17" i="12" s="1"/>
  <c r="T17" i="12" s="1"/>
  <c r="N42" i="12"/>
  <c r="P42" i="12" s="1"/>
  <c r="L42" i="12"/>
  <c r="D23" i="128"/>
  <c r="G21" i="128"/>
  <c r="J21" i="1"/>
  <c r="D55" i="109"/>
  <c r="L40" i="12"/>
  <c r="N40" i="12"/>
  <c r="P40" i="12" s="1"/>
  <c r="R40" i="12" s="1"/>
  <c r="S40" i="12" s="1"/>
  <c r="T40" i="12" s="1"/>
  <c r="H64" i="132"/>
  <c r="C31" i="22" s="1"/>
  <c r="E64" i="132"/>
  <c r="H47" i="15"/>
  <c r="G50" i="15"/>
  <c r="H50" i="15" s="1"/>
  <c r="Q47" i="12"/>
  <c r="F41" i="15"/>
  <c r="N13" i="12"/>
  <c r="P13" i="12" s="1"/>
  <c r="R13" i="12" s="1"/>
  <c r="S13" i="12" s="1"/>
  <c r="T13" i="12" s="1"/>
  <c r="L13" i="12"/>
  <c r="K16" i="12"/>
  <c r="O39" i="109"/>
  <c r="C39" i="65"/>
  <c r="H25" i="15"/>
  <c r="Q25" i="12"/>
  <c r="H42" i="15"/>
  <c r="Q42" i="12"/>
  <c r="H35" i="15"/>
  <c r="Q35" i="12"/>
  <c r="C42" i="109"/>
  <c r="D46" i="65"/>
  <c r="O46" i="109"/>
  <c r="L26" i="12"/>
  <c r="N26" i="12"/>
  <c r="P26" i="12" s="1"/>
  <c r="K24" i="12"/>
  <c r="K47" i="12"/>
  <c r="H24" i="15"/>
  <c r="Q24" i="12"/>
  <c r="C44" i="65"/>
  <c r="O44" i="109"/>
  <c r="Q22" i="12"/>
  <c r="H22" i="15"/>
  <c r="G31" i="15"/>
  <c r="H41" i="15"/>
  <c r="Q41" i="12"/>
  <c r="K19" i="12"/>
  <c r="C13" i="25"/>
  <c r="C12" i="25" s="1"/>
  <c r="C11" i="25" s="1"/>
  <c r="G12" i="33"/>
  <c r="G11" i="33" s="1"/>
  <c r="G10" i="33" s="1"/>
  <c r="K52" i="12"/>
  <c r="H26" i="15"/>
  <c r="Q26" i="12"/>
  <c r="Q28" i="12"/>
  <c r="H28" i="15"/>
  <c r="D19" i="1"/>
  <c r="D18" i="1" s="1"/>
  <c r="D54" i="109" s="1"/>
  <c r="D54" i="65" s="1"/>
  <c r="J53" i="70" s="1"/>
  <c r="E10" i="128"/>
  <c r="F10" i="128"/>
  <c r="E19" i="1"/>
  <c r="E18" i="1" s="1"/>
  <c r="E54" i="109" s="1"/>
  <c r="E54" i="65" s="1"/>
  <c r="P53" i="70" s="1"/>
  <c r="N11" i="12"/>
  <c r="L11" i="12"/>
  <c r="N28" i="12"/>
  <c r="P28" i="12" s="1"/>
  <c r="L28" i="12"/>
  <c r="F35" i="15"/>
  <c r="I45" i="15"/>
  <c r="J35" i="38"/>
  <c r="E34" i="38"/>
  <c r="C38" i="109"/>
  <c r="C10" i="38"/>
  <c r="J45" i="38"/>
  <c r="L37" i="12"/>
  <c r="N37" i="12"/>
  <c r="P37" i="12" s="1"/>
  <c r="F47" i="15"/>
  <c r="I50" i="15"/>
  <c r="F50" i="15" s="1"/>
  <c r="K35" i="12"/>
  <c r="H36" i="132"/>
  <c r="H45" i="132"/>
  <c r="H42" i="132" s="1"/>
  <c r="H35" i="132"/>
  <c r="C24" i="22" s="1"/>
  <c r="H39" i="132"/>
  <c r="C25" i="42"/>
  <c r="H34" i="15"/>
  <c r="Q34" i="12"/>
  <c r="G45" i="15"/>
  <c r="H45" i="15" s="1"/>
  <c r="Q37" i="12"/>
  <c r="R37" i="12" s="1"/>
  <c r="S37" i="12" s="1"/>
  <c r="T37" i="12" s="1"/>
  <c r="H37" i="15"/>
  <c r="I31" i="15"/>
  <c r="F26" i="15"/>
  <c r="K15" i="12"/>
  <c r="D15" i="1"/>
  <c r="J16" i="1"/>
  <c r="E53" i="109"/>
  <c r="E53" i="65" s="1"/>
  <c r="P52" i="70" s="1"/>
  <c r="Q52" i="70" s="1"/>
  <c r="E10" i="1"/>
  <c r="E51" i="109" s="1"/>
  <c r="E51" i="65" s="1"/>
  <c r="P50" i="70" s="1"/>
  <c r="Q50" i="70" s="1"/>
  <c r="K20" i="12"/>
  <c r="K25" i="12"/>
  <c r="N21" i="12"/>
  <c r="P21" i="12" s="1"/>
  <c r="R21" i="12" s="1"/>
  <c r="S21" i="12" s="1"/>
  <c r="T21" i="12" s="1"/>
  <c r="L21" i="12"/>
  <c r="K41" i="12"/>
  <c r="E45" i="15"/>
  <c r="E55" i="15" s="1"/>
  <c r="C53" i="11"/>
  <c r="J44" i="70"/>
  <c r="K44" i="70" s="1"/>
  <c r="K45" i="65"/>
  <c r="F48" i="70"/>
  <c r="L51" i="70"/>
  <c r="E33" i="132"/>
  <c r="K22" i="132"/>
  <c r="L22" i="132"/>
  <c r="G164" i="34"/>
  <c r="I164" i="34"/>
  <c r="F28" i="33"/>
  <c r="J163" i="34"/>
  <c r="K163" i="34"/>
  <c r="K173" i="34"/>
  <c r="K170" i="34" s="1"/>
  <c r="K165" i="34" s="1"/>
  <c r="M163" i="34"/>
  <c r="M162" i="34" s="1"/>
  <c r="L163" i="34"/>
  <c r="L162" i="34" s="1"/>
  <c r="R34" i="41"/>
  <c r="H20" i="41"/>
  <c r="H15" i="41" s="1"/>
  <c r="H10" i="41" s="1"/>
  <c r="H48" i="41" s="1"/>
  <c r="N20" i="41"/>
  <c r="N15" i="41" s="1"/>
  <c r="N10" i="41" s="1"/>
  <c r="R35" i="41"/>
  <c r="I20" i="41"/>
  <c r="I15" i="41" s="1"/>
  <c r="I10" i="41" s="1"/>
  <c r="R36" i="41"/>
  <c r="J20" i="41"/>
  <c r="J15" i="41" s="1"/>
  <c r="J10" i="41" s="1"/>
  <c r="R37" i="41"/>
  <c r="K20" i="41"/>
  <c r="K15" i="41" s="1"/>
  <c r="K10" i="41" s="1"/>
  <c r="K48" i="41" s="1"/>
  <c r="I28" i="41"/>
  <c r="I27" i="41" s="1"/>
  <c r="L20" i="41"/>
  <c r="L15" i="41" s="1"/>
  <c r="L10" i="41" s="1"/>
  <c r="J28" i="41"/>
  <c r="J27" i="41" s="1"/>
  <c r="J30" i="41"/>
  <c r="K28" i="41"/>
  <c r="K27" i="41" s="1"/>
  <c r="K30" i="41"/>
  <c r="R22" i="41"/>
  <c r="L28" i="41"/>
  <c r="L27" i="41" s="1"/>
  <c r="L30" i="41"/>
  <c r="R23" i="41"/>
  <c r="O28" i="41"/>
  <c r="O27" i="41" s="1"/>
  <c r="Q28" i="41"/>
  <c r="Q27" i="41" s="1"/>
  <c r="N30" i="41"/>
  <c r="N48" i="41" s="1"/>
  <c r="O30" i="41"/>
  <c r="R33" i="41"/>
  <c r="Q30" i="41"/>
  <c r="Q48" i="41" s="1"/>
  <c r="G22" i="40"/>
  <c r="E22" i="41" s="1"/>
  <c r="G29" i="40"/>
  <c r="E29" i="41" s="1"/>
  <c r="G23" i="40"/>
  <c r="E23" i="41" s="1"/>
  <c r="G26" i="40"/>
  <c r="E26" i="41" s="1"/>
  <c r="G21" i="40"/>
  <c r="E21" i="41" s="1"/>
  <c r="J49" i="41"/>
  <c r="K49" i="41"/>
  <c r="L49" i="41"/>
  <c r="C40" i="10"/>
  <c r="C23" i="10"/>
  <c r="C104" i="10"/>
  <c r="H98" i="132"/>
  <c r="C58" i="22" s="1"/>
  <c r="E31" i="38"/>
  <c r="J31" i="38" s="1"/>
  <c r="G28" i="39"/>
  <c r="G27" i="39" s="1"/>
  <c r="D19" i="38" s="1"/>
  <c r="J19" i="38" s="1"/>
  <c r="G45" i="39"/>
  <c r="K28" i="40"/>
  <c r="K27" i="40" s="1"/>
  <c r="D29" i="38" s="1"/>
  <c r="C22" i="22"/>
  <c r="O22" i="22" s="1"/>
  <c r="G25" i="39"/>
  <c r="G24" i="39" s="1"/>
  <c r="D18" i="38" s="1"/>
  <c r="J18" i="38" s="1"/>
  <c r="K25" i="40"/>
  <c r="K24" i="40" s="1"/>
  <c r="D28" i="38" s="1"/>
  <c r="J28" i="38" s="1"/>
  <c r="K45" i="40"/>
  <c r="G39" i="39"/>
  <c r="X30" i="41"/>
  <c r="E30" i="38" s="1"/>
  <c r="Y17" i="25"/>
  <c r="Y16" i="25" s="1"/>
  <c r="X28" i="41" l="1"/>
  <c r="G30" i="39"/>
  <c r="D20" i="38" s="1"/>
  <c r="J20" i="38" s="1"/>
  <c r="C96" i="10"/>
  <c r="C88" i="10" s="1"/>
  <c r="C12" i="10"/>
  <c r="C33" i="41"/>
  <c r="C33" i="40"/>
  <c r="J33" i="40" s="1"/>
  <c r="F33" i="39"/>
  <c r="Q49" i="41"/>
  <c r="L41" i="12"/>
  <c r="N41" i="12"/>
  <c r="P41" i="12" s="1"/>
  <c r="R41" i="12" s="1"/>
  <c r="S41" i="12" s="1"/>
  <c r="T41" i="12" s="1"/>
  <c r="I55" i="15"/>
  <c r="F55" i="15" s="1"/>
  <c r="F31" i="15"/>
  <c r="L35" i="12"/>
  <c r="N35" i="12"/>
  <c r="L52" i="12"/>
  <c r="N52" i="12"/>
  <c r="C17" i="22"/>
  <c r="R43" i="41"/>
  <c r="C50" i="10"/>
  <c r="F29" i="39"/>
  <c r="C29" i="40"/>
  <c r="C28" i="39"/>
  <c r="C29" i="41"/>
  <c r="C28" i="41" s="1"/>
  <c r="C27" i="41" s="1"/>
  <c r="F28" i="41"/>
  <c r="R29" i="41"/>
  <c r="N47" i="12"/>
  <c r="L47" i="12"/>
  <c r="I31" i="22"/>
  <c r="AJ18" i="25"/>
  <c r="AJ16" i="25" s="1"/>
  <c r="C30" i="10"/>
  <c r="C21" i="10"/>
  <c r="C81" i="10"/>
  <c r="J48" i="41"/>
  <c r="C10" i="25"/>
  <c r="C40" i="25"/>
  <c r="L24" i="12"/>
  <c r="N24" i="12"/>
  <c r="P24" i="12" s="1"/>
  <c r="R24" i="12" s="1"/>
  <c r="S24" i="12" s="1"/>
  <c r="T24" i="12" s="1"/>
  <c r="C32" i="40"/>
  <c r="C32" i="41"/>
  <c r="F32" i="39"/>
  <c r="K20" i="40"/>
  <c r="K15" i="40" s="1"/>
  <c r="G98" i="10"/>
  <c r="F98" i="10"/>
  <c r="C26" i="41"/>
  <c r="C25" i="41" s="1"/>
  <c r="C24" i="41" s="1"/>
  <c r="C25" i="39"/>
  <c r="F26" i="39"/>
  <c r="C26" i="40"/>
  <c r="O48" i="41"/>
  <c r="R21" i="41"/>
  <c r="F20" i="41"/>
  <c r="L25" i="12"/>
  <c r="N25" i="12"/>
  <c r="P25" i="12" s="1"/>
  <c r="R25" i="12" s="1"/>
  <c r="S25" i="12" s="1"/>
  <c r="T25" i="12" s="1"/>
  <c r="P11" i="12"/>
  <c r="L19" i="12"/>
  <c r="N19" i="12"/>
  <c r="P19" i="12" s="1"/>
  <c r="R19" i="12" s="1"/>
  <c r="S19" i="12" s="1"/>
  <c r="T19" i="12" s="1"/>
  <c r="D38" i="70"/>
  <c r="E38" i="70" s="1"/>
  <c r="K39" i="65"/>
  <c r="X17" i="25"/>
  <c r="X16" i="25" s="1"/>
  <c r="G24" i="33"/>
  <c r="G23" i="33" s="1"/>
  <c r="G22" i="33" s="1"/>
  <c r="C103" i="10"/>
  <c r="F120" i="10"/>
  <c r="G120" i="10"/>
  <c r="C21" i="41"/>
  <c r="C15" i="39"/>
  <c r="F21" i="39"/>
  <c r="C21" i="40"/>
  <c r="N20" i="12"/>
  <c r="P20" i="12" s="1"/>
  <c r="R20" i="12" s="1"/>
  <c r="S20" i="12" s="1"/>
  <c r="T20" i="12" s="1"/>
  <c r="L20" i="12"/>
  <c r="R34" i="12"/>
  <c r="Q45" i="12"/>
  <c r="O55" i="109"/>
  <c r="D55" i="65"/>
  <c r="R32" i="41"/>
  <c r="F14" i="45"/>
  <c r="F10" i="45" s="1"/>
  <c r="C22" i="10"/>
  <c r="G84" i="10"/>
  <c r="F84" i="10"/>
  <c r="C23" i="41"/>
  <c r="U23" i="41" s="1"/>
  <c r="C23" i="40"/>
  <c r="J23" i="40" s="1"/>
  <c r="F23" i="39"/>
  <c r="M20" i="41"/>
  <c r="M15" i="41" s="1"/>
  <c r="M10" i="41" s="1"/>
  <c r="M25" i="41"/>
  <c r="R26" i="41"/>
  <c r="K162" i="34"/>
  <c r="E73" i="132"/>
  <c r="N16" i="12"/>
  <c r="P16" i="12" s="1"/>
  <c r="R16" i="12" s="1"/>
  <c r="S16" i="12" s="1"/>
  <c r="T16" i="12" s="1"/>
  <c r="L16" i="12"/>
  <c r="E18" i="22"/>
  <c r="J22" i="132"/>
  <c r="R50" i="70"/>
  <c r="C31" i="109"/>
  <c r="H31" i="15"/>
  <c r="G55" i="15"/>
  <c r="H55" i="15" s="1"/>
  <c r="J45" i="70"/>
  <c r="K45" i="70" s="1"/>
  <c r="K46" i="65"/>
  <c r="D21" i="128"/>
  <c r="G10" i="128"/>
  <c r="C105" i="10"/>
  <c r="C102" i="10"/>
  <c r="C13" i="10" s="1"/>
  <c r="AJ35" i="25"/>
  <c r="I54" i="22"/>
  <c r="C112" i="10"/>
  <c r="C111" i="10" s="1"/>
  <c r="C100" i="10"/>
  <c r="C99" i="10" s="1"/>
  <c r="N49" i="41"/>
  <c r="AJ34" i="25"/>
  <c r="AJ33" i="25" s="1"/>
  <c r="AJ44" i="25" s="1"/>
  <c r="I53" i="22"/>
  <c r="J162" i="34"/>
  <c r="X20" i="41"/>
  <c r="U21" i="41"/>
  <c r="C16" i="10"/>
  <c r="V47" i="41"/>
  <c r="C22" i="40"/>
  <c r="J22" i="40" s="1"/>
  <c r="F22" i="39"/>
  <c r="C22" i="41"/>
  <c r="M45" i="41"/>
  <c r="R45" i="41" s="1"/>
  <c r="R46" i="41"/>
  <c r="E63" i="132"/>
  <c r="R52" i="70"/>
  <c r="C38" i="65"/>
  <c r="O38" i="109"/>
  <c r="Y10" i="25"/>
  <c r="Y41" i="25"/>
  <c r="Y39" i="25" s="1"/>
  <c r="G20" i="39"/>
  <c r="G15" i="39" s="1"/>
  <c r="D50" i="57"/>
  <c r="D48" i="57" s="1"/>
  <c r="F48" i="57" s="1"/>
  <c r="H48" i="57"/>
  <c r="K39" i="40"/>
  <c r="K30" i="40" s="1"/>
  <c r="D30" i="38" s="1"/>
  <c r="J30" i="38" s="1"/>
  <c r="C57" i="22"/>
  <c r="O58" i="22"/>
  <c r="C27" i="10"/>
  <c r="C15" i="10" s="1"/>
  <c r="C26" i="10"/>
  <c r="W47" i="41"/>
  <c r="C43" i="41"/>
  <c r="C39" i="41" s="1"/>
  <c r="F43" i="39"/>
  <c r="C43" i="40"/>
  <c r="L48" i="41"/>
  <c r="F26" i="33"/>
  <c r="F25" i="33"/>
  <c r="H164" i="34"/>
  <c r="E46" i="132"/>
  <c r="F46" i="132"/>
  <c r="E33" i="38"/>
  <c r="J34" i="38"/>
  <c r="R22" i="12"/>
  <c r="S22" i="12" s="1"/>
  <c r="T22" i="12" s="1"/>
  <c r="Q31" i="12"/>
  <c r="C42" i="65"/>
  <c r="C35" i="40"/>
  <c r="J35" i="40" s="1"/>
  <c r="C35" i="41"/>
  <c r="F35" i="39"/>
  <c r="I35" i="132"/>
  <c r="I45" i="132"/>
  <c r="I42" i="132" s="1"/>
  <c r="C46" i="41"/>
  <c r="C45" i="41" s="1"/>
  <c r="F46" i="39"/>
  <c r="C45" i="39"/>
  <c r="F45" i="39" s="1"/>
  <c r="C46" i="40"/>
  <c r="L66" i="59"/>
  <c r="I67" i="59"/>
  <c r="C38" i="40"/>
  <c r="J38" i="40" s="1"/>
  <c r="C38" i="41"/>
  <c r="U38" i="41" s="1"/>
  <c r="R38" i="41"/>
  <c r="I30" i="41"/>
  <c r="I48" i="41" s="1"/>
  <c r="I49" i="41" s="1"/>
  <c r="F27" i="45"/>
  <c r="L44" i="70"/>
  <c r="J15" i="1"/>
  <c r="D53" i="109"/>
  <c r="D10" i="1"/>
  <c r="R28" i="12"/>
  <c r="S28" i="12" s="1"/>
  <c r="T28" i="12" s="1"/>
  <c r="Q50" i="12"/>
  <c r="C30" i="22"/>
  <c r="H72" i="132"/>
  <c r="C36" i="22"/>
  <c r="F69" i="10"/>
  <c r="C68" i="10"/>
  <c r="C60" i="10" s="1"/>
  <c r="C29" i="10"/>
  <c r="G69" i="10"/>
  <c r="C36" i="41"/>
  <c r="F36" i="39"/>
  <c r="C36" i="40"/>
  <c r="J36" i="40" s="1"/>
  <c r="C37" i="40"/>
  <c r="J37" i="40" s="1"/>
  <c r="F37" i="39"/>
  <c r="C37" i="41"/>
  <c r="F23" i="132"/>
  <c r="G23" i="132"/>
  <c r="E23" i="132"/>
  <c r="L15" i="12"/>
  <c r="N15" i="12"/>
  <c r="P15" i="12" s="1"/>
  <c r="R15" i="12" s="1"/>
  <c r="S15" i="12" s="1"/>
  <c r="T15" i="12" s="1"/>
  <c r="F45" i="15"/>
  <c r="R26" i="12"/>
  <c r="S26" i="12" s="1"/>
  <c r="T26" i="12" s="1"/>
  <c r="K44" i="65"/>
  <c r="D43" i="70"/>
  <c r="E43" i="70" s="1"/>
  <c r="C34" i="40"/>
  <c r="J34" i="40" s="1"/>
  <c r="F34" i="39"/>
  <c r="C34" i="41"/>
  <c r="F21" i="45"/>
  <c r="G24" i="132"/>
  <c r="R42" i="12"/>
  <c r="S42" i="12" s="1"/>
  <c r="T42" i="12" s="1"/>
  <c r="C99" i="11"/>
  <c r="D16" i="20"/>
  <c r="C10" i="20"/>
  <c r="M9" i="20" s="1"/>
  <c r="L9" i="20" s="1"/>
  <c r="G24" i="114"/>
  <c r="E38" i="7"/>
  <c r="F23" i="114"/>
  <c r="G26" i="114"/>
  <c r="G23" i="114"/>
  <c r="F26" i="114"/>
  <c r="H14" i="114"/>
  <c r="G22" i="114"/>
  <c r="F25" i="114"/>
  <c r="D14" i="16"/>
  <c r="G30" i="114"/>
  <c r="D13" i="16"/>
  <c r="I27" i="114"/>
  <c r="J27" i="114"/>
  <c r="H38" i="114"/>
  <c r="F24" i="114"/>
  <c r="C10" i="16"/>
  <c r="E35" i="114"/>
  <c r="I70" i="132"/>
  <c r="I67" i="132" s="1"/>
  <c r="H70" i="132"/>
  <c r="H67" i="132" s="1"/>
  <c r="C34" i="22" s="1"/>
  <c r="J70" i="132"/>
  <c r="J67" i="132" s="1"/>
  <c r="H50" i="132"/>
  <c r="H47" i="132" s="1"/>
  <c r="C26" i="22" s="1"/>
  <c r="O26" i="22" s="1"/>
  <c r="F91" i="10"/>
  <c r="G94" i="10"/>
  <c r="E61" i="10"/>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J24" i="9" l="1"/>
  <c r="E18" i="7" s="1"/>
  <c r="J27" i="10"/>
  <c r="G37" i="10"/>
  <c r="J112" i="10"/>
  <c r="J111" i="10" s="1"/>
  <c r="G113" i="10"/>
  <c r="J100" i="10"/>
  <c r="F32" i="10"/>
  <c r="I22" i="10"/>
  <c r="F22" i="10" s="1"/>
  <c r="I50" i="10"/>
  <c r="F51" i="10"/>
  <c r="H24" i="9"/>
  <c r="C18" i="7" s="1"/>
  <c r="I61" i="9"/>
  <c r="G38" i="114"/>
  <c r="E19" i="109"/>
  <c r="E19" i="65" s="1"/>
  <c r="P19" i="70" s="1"/>
  <c r="Q19" i="70" s="1"/>
  <c r="C39" i="39"/>
  <c r="G10" i="39"/>
  <c r="D17" i="38"/>
  <c r="V27" i="73"/>
  <c r="W27" i="73" s="1"/>
  <c r="O53" i="22"/>
  <c r="I52" i="22"/>
  <c r="L45" i="70"/>
  <c r="C10" i="39"/>
  <c r="F15" i="39"/>
  <c r="P31" i="12"/>
  <c r="R11" i="12"/>
  <c r="S11" i="12" s="1"/>
  <c r="T11" i="12" s="1"/>
  <c r="T31" i="12" s="1"/>
  <c r="K10" i="40"/>
  <c r="D27" i="38"/>
  <c r="AJ10" i="25"/>
  <c r="AJ41" i="25"/>
  <c r="AJ39" i="25" s="1"/>
  <c r="I27" i="10"/>
  <c r="F37" i="10"/>
  <c r="I67" i="9"/>
  <c r="I60" i="9"/>
  <c r="I119" i="9"/>
  <c r="I118" i="9" s="1"/>
  <c r="H102" i="9"/>
  <c r="I95" i="9"/>
  <c r="J102" i="9"/>
  <c r="K32" i="114"/>
  <c r="K31" i="114" s="1"/>
  <c r="E45" i="7" s="1"/>
  <c r="K36" i="114"/>
  <c r="H37" i="114"/>
  <c r="G29" i="10"/>
  <c r="C28" i="10"/>
  <c r="C14" i="10" s="1"/>
  <c r="C10" i="10" s="1"/>
  <c r="F29" i="10"/>
  <c r="D51" i="109"/>
  <c r="D51" i="65" s="1"/>
  <c r="J50" i="70" s="1"/>
  <c r="K50" i="70" s="1"/>
  <c r="C15" i="68"/>
  <c r="D41" i="70"/>
  <c r="E41" i="70" s="1"/>
  <c r="J43" i="40"/>
  <c r="C39" i="40"/>
  <c r="J39" i="40" s="1"/>
  <c r="C20" i="41"/>
  <c r="C15" i="41" s="1"/>
  <c r="C10" i="41" s="1"/>
  <c r="I27" i="22"/>
  <c r="V14" i="73"/>
  <c r="H22" i="10"/>
  <c r="E22" i="10" s="1"/>
  <c r="E32" i="10"/>
  <c r="I81" i="9"/>
  <c r="G37" i="114"/>
  <c r="J36" i="114"/>
  <c r="F38" i="114"/>
  <c r="G14" i="114"/>
  <c r="H11" i="114"/>
  <c r="K10" i="114"/>
  <c r="E43" i="7" s="1"/>
  <c r="D53" i="65"/>
  <c r="O53" i="109"/>
  <c r="L65" i="59"/>
  <c r="I66" i="59"/>
  <c r="Q55" i="12"/>
  <c r="R31" i="12"/>
  <c r="C30" i="41"/>
  <c r="U30" i="41" s="1"/>
  <c r="O31" i="22"/>
  <c r="M39" i="41"/>
  <c r="H99" i="11"/>
  <c r="E99" i="11" s="1"/>
  <c r="E114" i="11"/>
  <c r="I112" i="10"/>
  <c r="I111" i="10" s="1"/>
  <c r="I100" i="10"/>
  <c r="F113" i="10"/>
  <c r="J105" i="10"/>
  <c r="J102" i="10"/>
  <c r="G102" i="10" s="1"/>
  <c r="G108" i="10"/>
  <c r="I105" i="10"/>
  <c r="I102" i="10"/>
  <c r="F102" i="10" s="1"/>
  <c r="F108" i="10"/>
  <c r="J26" i="10"/>
  <c r="G36" i="10"/>
  <c r="E51" i="10"/>
  <c r="H50" i="10"/>
  <c r="N62" i="109"/>
  <c r="I26" i="10"/>
  <c r="F36" i="10"/>
  <c r="I23" i="10"/>
  <c r="F23" i="10" s="1"/>
  <c r="F33" i="10"/>
  <c r="E36" i="10"/>
  <c r="H26" i="10"/>
  <c r="J119" i="9"/>
  <c r="J118" i="9" s="1"/>
  <c r="J52" i="9"/>
  <c r="E22" i="7" s="1"/>
  <c r="I36" i="114"/>
  <c r="F37" i="114"/>
  <c r="H22" i="114"/>
  <c r="K21" i="114"/>
  <c r="E44" i="7" s="1"/>
  <c r="J46" i="40"/>
  <c r="C45" i="40"/>
  <c r="J45" i="40" s="1"/>
  <c r="R25" i="41"/>
  <c r="M24" i="41"/>
  <c r="R24" i="41" s="1"/>
  <c r="F15" i="41"/>
  <c r="F10" i="41" s="1"/>
  <c r="R20" i="41"/>
  <c r="R15" i="41" s="1"/>
  <c r="R10" i="41" s="1"/>
  <c r="J32" i="40"/>
  <c r="C30" i="40"/>
  <c r="J30" i="40" s="1"/>
  <c r="J104" i="10"/>
  <c r="G104" i="10" s="1"/>
  <c r="G121" i="10"/>
  <c r="H60" i="9"/>
  <c r="H67" i="9"/>
  <c r="E41" i="10"/>
  <c r="H40" i="10"/>
  <c r="E15" i="19"/>
  <c r="C49" i="7" s="1"/>
  <c r="E27" i="19"/>
  <c r="E28" i="19" s="1"/>
  <c r="O36" i="22"/>
  <c r="C35" i="22"/>
  <c r="C31" i="65"/>
  <c r="K55" i="65"/>
  <c r="J54" i="70"/>
  <c r="K54" i="70" s="1"/>
  <c r="F103" i="10"/>
  <c r="G103" i="10"/>
  <c r="P47" i="12"/>
  <c r="N50" i="12"/>
  <c r="C12" i="13" s="1"/>
  <c r="D12" i="13" s="1"/>
  <c r="H22" i="132"/>
  <c r="I102" i="9"/>
  <c r="F11" i="16"/>
  <c r="J32" i="114"/>
  <c r="J31" i="114" s="1"/>
  <c r="D45" i="7" s="1"/>
  <c r="G35" i="114"/>
  <c r="F20" i="45"/>
  <c r="E35" i="109"/>
  <c r="J33" i="38"/>
  <c r="D37" i="70"/>
  <c r="E37" i="70" s="1"/>
  <c r="K38" i="65"/>
  <c r="V28" i="73"/>
  <c r="W28" i="73" s="1"/>
  <c r="O54" i="22"/>
  <c r="O17" i="22"/>
  <c r="C16" i="22"/>
  <c r="G31" i="10"/>
  <c r="J21" i="10"/>
  <c r="E69" i="10"/>
  <c r="H68" i="10"/>
  <c r="H60" i="10" s="1"/>
  <c r="H29" i="10"/>
  <c r="I104" i="10"/>
  <c r="F104" i="10" s="1"/>
  <c r="F121" i="10"/>
  <c r="I30" i="10"/>
  <c r="I21" i="10"/>
  <c r="F31" i="10"/>
  <c r="H31" i="9"/>
  <c r="C19" i="7" s="1"/>
  <c r="H45" i="9"/>
  <c r="C21" i="7" s="1"/>
  <c r="H81" i="9"/>
  <c r="J25" i="8"/>
  <c r="I26" i="8"/>
  <c r="H46" i="57"/>
  <c r="H10" i="57" s="1"/>
  <c r="D47" i="57"/>
  <c r="D46" i="57" s="1"/>
  <c r="J52" i="132"/>
  <c r="E34" i="22"/>
  <c r="E27" i="22" s="1"/>
  <c r="E25" i="109" s="1"/>
  <c r="E25" i="65" s="1"/>
  <c r="P25" i="70" s="1"/>
  <c r="Q25" i="70" s="1"/>
  <c r="E15" i="16"/>
  <c r="G12" i="114"/>
  <c r="F14" i="114"/>
  <c r="H52" i="132"/>
  <c r="X41" i="25"/>
  <c r="X10" i="25"/>
  <c r="C25" i="40"/>
  <c r="J26" i="40"/>
  <c r="W40" i="25"/>
  <c r="C39" i="25"/>
  <c r="N54" i="12"/>
  <c r="C13" i="13" s="1"/>
  <c r="D13" i="13" s="1"/>
  <c r="P52" i="12"/>
  <c r="H112" i="10"/>
  <c r="H111" i="10" s="1"/>
  <c r="H100" i="10"/>
  <c r="E113" i="10"/>
  <c r="J60" i="9"/>
  <c r="J67" i="9"/>
  <c r="K66" i="59"/>
  <c r="H67" i="59"/>
  <c r="J40" i="10"/>
  <c r="G41" i="10"/>
  <c r="I40" i="10"/>
  <c r="F41" i="10"/>
  <c r="J60" i="10"/>
  <c r="G61" i="10"/>
  <c r="J96" i="10"/>
  <c r="J14" i="10" s="1"/>
  <c r="G97" i="10"/>
  <c r="I81" i="10"/>
  <c r="D27" i="7" s="1"/>
  <c r="F82" i="10"/>
  <c r="J62" i="9"/>
  <c r="I38" i="9"/>
  <c r="D20" i="7" s="1"/>
  <c r="I62" i="9"/>
  <c r="J81" i="9"/>
  <c r="I82" i="8"/>
  <c r="I50" i="57"/>
  <c r="G48" i="57"/>
  <c r="E50" i="57"/>
  <c r="J38" i="9"/>
  <c r="E20" i="7" s="1"/>
  <c r="O34" i="22"/>
  <c r="G11" i="16"/>
  <c r="E12" i="16"/>
  <c r="D19" i="16"/>
  <c r="F18" i="16"/>
  <c r="D18" i="16" s="1"/>
  <c r="L24" i="114"/>
  <c r="L21" i="114" s="1"/>
  <c r="C58" i="7"/>
  <c r="C16" i="19"/>
  <c r="C17" i="19"/>
  <c r="C11" i="19"/>
  <c r="E23" i="19"/>
  <c r="E29" i="19" s="1"/>
  <c r="C27" i="22"/>
  <c r="C11" i="10"/>
  <c r="S34" i="12"/>
  <c r="T34" i="12" s="1"/>
  <c r="E12" i="10"/>
  <c r="G12" i="10"/>
  <c r="F12" i="10"/>
  <c r="H61" i="9"/>
  <c r="G82" i="10"/>
  <c r="J81" i="10"/>
  <c r="E27" i="7" s="1"/>
  <c r="J61" i="9"/>
  <c r="I60" i="10"/>
  <c r="F61" i="10"/>
  <c r="H30" i="10"/>
  <c r="E31" i="10"/>
  <c r="H21" i="10"/>
  <c r="H119" i="9"/>
  <c r="H118" i="9" s="1"/>
  <c r="J65" i="9"/>
  <c r="J12" i="9"/>
  <c r="H38" i="9"/>
  <c r="C20" i="7" s="1"/>
  <c r="I47" i="57"/>
  <c r="E24" i="47" s="1"/>
  <c r="I24" i="47" s="1"/>
  <c r="E47" i="57"/>
  <c r="I65" i="9"/>
  <c r="I52" i="132"/>
  <c r="D34" i="22"/>
  <c r="D27" i="22" s="1"/>
  <c r="D25" i="109" s="1"/>
  <c r="D25" i="65" s="1"/>
  <c r="J25" i="70" s="1"/>
  <c r="K25" i="70" s="1"/>
  <c r="G25" i="114"/>
  <c r="I21" i="114"/>
  <c r="C44" i="7" s="1"/>
  <c r="F22" i="114"/>
  <c r="I22" i="132"/>
  <c r="D24" i="22"/>
  <c r="C30" i="109"/>
  <c r="O57" i="22"/>
  <c r="F38" i="70"/>
  <c r="F25" i="39"/>
  <c r="C24" i="39"/>
  <c r="F24" i="39" s="1"/>
  <c r="F27" i="41"/>
  <c r="R28" i="41"/>
  <c r="P35" i="12"/>
  <c r="N45" i="12"/>
  <c r="C11" i="13" s="1"/>
  <c r="D11" i="13" s="1"/>
  <c r="J16" i="10"/>
  <c r="E25" i="7" s="1"/>
  <c r="G17" i="10"/>
  <c r="G11" i="114"/>
  <c r="F35" i="114"/>
  <c r="I32" i="114"/>
  <c r="I31" i="114" s="1"/>
  <c r="C45" i="7" s="1"/>
  <c r="J45" i="7" s="1"/>
  <c r="F43" i="70"/>
  <c r="D10" i="128"/>
  <c r="C19" i="1"/>
  <c r="E16" i="22"/>
  <c r="O18" i="22"/>
  <c r="H30" i="8"/>
  <c r="G89" i="10"/>
  <c r="I96" i="10"/>
  <c r="I14" i="10" s="1"/>
  <c r="F97" i="10"/>
  <c r="H95" i="9"/>
  <c r="I27" i="8"/>
  <c r="I10" i="20"/>
  <c r="E53" i="7" s="1"/>
  <c r="F11" i="20"/>
  <c r="I16" i="10"/>
  <c r="D25" i="7" s="1"/>
  <c r="F17" i="10"/>
  <c r="I11" i="10"/>
  <c r="F89" i="10"/>
  <c r="I88" i="10"/>
  <c r="D28" i="7" s="1"/>
  <c r="H96" i="10"/>
  <c r="H88" i="10" s="1"/>
  <c r="C28" i="7" s="1"/>
  <c r="E97" i="10"/>
  <c r="G32" i="10"/>
  <c r="J22" i="10"/>
  <c r="G22" i="10" s="1"/>
  <c r="G51" i="10"/>
  <c r="J50" i="10"/>
  <c r="E108" i="10"/>
  <c r="H102" i="10"/>
  <c r="E102" i="10" s="1"/>
  <c r="H105" i="10"/>
  <c r="J26" i="8"/>
  <c r="I30" i="8"/>
  <c r="J13" i="9"/>
  <c r="J45" i="9"/>
  <c r="E21" i="7" s="1"/>
  <c r="D15" i="16"/>
  <c r="F11" i="114"/>
  <c r="I10" i="114"/>
  <c r="C43" i="7" s="1"/>
  <c r="C42" i="7" s="1"/>
  <c r="E19" i="16"/>
  <c r="G18" i="16"/>
  <c r="E18" i="16" s="1"/>
  <c r="G18" i="114"/>
  <c r="J16" i="114"/>
  <c r="J10" i="114" s="1"/>
  <c r="D43" i="7" s="1"/>
  <c r="C14" i="20"/>
  <c r="M10" i="20" s="1"/>
  <c r="L10" i="20" s="1"/>
  <c r="X15" i="41"/>
  <c r="U20" i="41"/>
  <c r="C20" i="40"/>
  <c r="J21" i="40"/>
  <c r="C27" i="39"/>
  <c r="F27" i="39" s="1"/>
  <c r="F28" i="39"/>
  <c r="U29" i="41"/>
  <c r="E33" i="10"/>
  <c r="H23" i="10"/>
  <c r="E23" i="10" s="1"/>
  <c r="J11" i="9"/>
  <c r="J17" i="9"/>
  <c r="E17" i="7" s="1"/>
  <c r="J66" i="8"/>
  <c r="H104" i="10"/>
  <c r="E104" i="10" s="1"/>
  <c r="E121" i="10"/>
  <c r="E120" i="10"/>
  <c r="H103" i="10"/>
  <c r="E103" i="10" s="1"/>
  <c r="E17" i="10"/>
  <c r="H16" i="10"/>
  <c r="C25" i="7" s="1"/>
  <c r="H11" i="10"/>
  <c r="J95" i="9"/>
  <c r="H25" i="8"/>
  <c r="E19" i="132"/>
  <c r="H18" i="132"/>
  <c r="H14" i="132" s="1"/>
  <c r="C15" i="22" s="1"/>
  <c r="O15" i="22" s="1"/>
  <c r="I52" i="9"/>
  <c r="D22" i="7" s="1"/>
  <c r="G13" i="114"/>
  <c r="C94" i="11"/>
  <c r="C93" i="11" s="1"/>
  <c r="C109" i="11"/>
  <c r="C108" i="11" s="1"/>
  <c r="N31" i="12"/>
  <c r="C28" i="40"/>
  <c r="J29" i="40"/>
  <c r="U28" i="41"/>
  <c r="X27" i="41"/>
  <c r="E20" i="132"/>
  <c r="E21" i="132"/>
  <c r="J30" i="10"/>
  <c r="H11" i="9"/>
  <c r="H62" i="9"/>
  <c r="I24" i="9"/>
  <c r="D18" i="7" s="1"/>
  <c r="J18" i="7" s="1"/>
  <c r="H32" i="8"/>
  <c r="J32" i="8"/>
  <c r="E47" i="10"/>
  <c r="N63" i="109"/>
  <c r="E95" i="10"/>
  <c r="M63" i="109"/>
  <c r="K63" i="109"/>
  <c r="L63" i="109"/>
  <c r="J43" i="7" l="1"/>
  <c r="I52" i="7"/>
  <c r="N61" i="109" s="1"/>
  <c r="L50" i="70"/>
  <c r="F27" i="10"/>
  <c r="I15" i="10"/>
  <c r="F15" i="10" s="1"/>
  <c r="D12" i="16"/>
  <c r="H11" i="16"/>
  <c r="H27" i="8"/>
  <c r="H75" i="8"/>
  <c r="U27" i="41"/>
  <c r="E29" i="38"/>
  <c r="J29" i="38" s="1"/>
  <c r="E62" i="109"/>
  <c r="E61" i="65" s="1"/>
  <c r="P60" i="70" s="1"/>
  <c r="Q60" i="70" s="1"/>
  <c r="J16" i="9"/>
  <c r="C25" i="109"/>
  <c r="G14" i="10"/>
  <c r="J59" i="9"/>
  <c r="E23" i="7" s="1"/>
  <c r="W39" i="25"/>
  <c r="F25" i="22"/>
  <c r="E29" i="10"/>
  <c r="H28" i="10"/>
  <c r="H14" i="10" s="1"/>
  <c r="E14" i="10" s="1"/>
  <c r="X28" i="73"/>
  <c r="D30" i="70"/>
  <c r="E30" i="70" s="1"/>
  <c r="X27" i="73"/>
  <c r="J99" i="10"/>
  <c r="E29" i="7" s="1"/>
  <c r="G100" i="10"/>
  <c r="V10" i="73"/>
  <c r="W10" i="73" s="1"/>
  <c r="W14" i="73"/>
  <c r="D11" i="38"/>
  <c r="J17" i="38"/>
  <c r="I63" i="8"/>
  <c r="D11" i="20"/>
  <c r="G10" i="20"/>
  <c r="C53" i="7" s="1"/>
  <c r="F46" i="57"/>
  <c r="D10" i="57"/>
  <c r="F10" i="57" s="1"/>
  <c r="J62" i="8"/>
  <c r="E11" i="10"/>
  <c r="E10" i="22"/>
  <c r="E22" i="109" s="1"/>
  <c r="E22" i="65" s="1"/>
  <c r="P22" i="70" s="1"/>
  <c r="Q22" i="70" s="1"/>
  <c r="E24" i="109"/>
  <c r="E24" i="65" s="1"/>
  <c r="P24" i="70" s="1"/>
  <c r="Q24" i="70" s="1"/>
  <c r="D16" i="22"/>
  <c r="O24" i="22"/>
  <c r="J25" i="40"/>
  <c r="C24" i="40"/>
  <c r="J24" i="40" s="1"/>
  <c r="F37" i="70"/>
  <c r="L59" i="59"/>
  <c r="I65" i="59"/>
  <c r="I25" i="109"/>
  <c r="I25" i="65" s="1"/>
  <c r="I10" i="22"/>
  <c r="I22" i="109" s="1"/>
  <c r="D21" i="38"/>
  <c r="D22" i="38"/>
  <c r="J27" i="38"/>
  <c r="F15" i="20"/>
  <c r="I14" i="20"/>
  <c r="E54" i="7" s="1"/>
  <c r="E63" i="109" s="1"/>
  <c r="E62" i="65" s="1"/>
  <c r="P61" i="70" s="1"/>
  <c r="Q61" i="70" s="1"/>
  <c r="H62" i="8"/>
  <c r="J28" i="40"/>
  <c r="C27" i="40"/>
  <c r="J27" i="40" s="1"/>
  <c r="E21" i="10"/>
  <c r="H20" i="10"/>
  <c r="C26" i="7" s="1"/>
  <c r="G46" i="57"/>
  <c r="I48" i="57"/>
  <c r="E25" i="47" s="1"/>
  <c r="E23" i="47" s="1"/>
  <c r="E48" i="57"/>
  <c r="C30" i="39"/>
  <c r="F30" i="39" s="1"/>
  <c r="F39" i="39"/>
  <c r="J61" i="8"/>
  <c r="J82" i="8"/>
  <c r="C15" i="40"/>
  <c r="J20" i="40"/>
  <c r="I66" i="8"/>
  <c r="J25" i="7"/>
  <c r="I20" i="8"/>
  <c r="J19" i="1"/>
  <c r="C18" i="1"/>
  <c r="F52" i="7"/>
  <c r="K61" i="109" s="1"/>
  <c r="K62" i="109"/>
  <c r="H44" i="11"/>
  <c r="I53" i="8"/>
  <c r="D14" i="7" s="1"/>
  <c r="I13" i="9"/>
  <c r="C13" i="22"/>
  <c r="O13" i="22" s="1"/>
  <c r="E12" i="132"/>
  <c r="N55" i="12"/>
  <c r="C10" i="13"/>
  <c r="P45" i="12"/>
  <c r="R35" i="12"/>
  <c r="X39" i="25"/>
  <c r="AH41" i="25"/>
  <c r="G30" i="22"/>
  <c r="O35" i="109"/>
  <c r="E35" i="65"/>
  <c r="J49" i="7"/>
  <c r="C47" i="7"/>
  <c r="H13" i="10"/>
  <c r="E13" i="10" s="1"/>
  <c r="E26" i="10"/>
  <c r="I99" i="10"/>
  <c r="D29" i="7" s="1"/>
  <c r="F100" i="10"/>
  <c r="J52" i="70"/>
  <c r="K52" i="70" s="1"/>
  <c r="K53" i="65"/>
  <c r="J31" i="9"/>
  <c r="E19" i="7" s="1"/>
  <c r="E16" i="7" s="1"/>
  <c r="E14" i="109" s="1"/>
  <c r="E14" i="65" s="1"/>
  <c r="P14" i="70" s="1"/>
  <c r="Q14" i="70" s="1"/>
  <c r="E10" i="13"/>
  <c r="C26" i="109"/>
  <c r="O35" i="22"/>
  <c r="G52" i="7"/>
  <c r="L61" i="109" s="1"/>
  <c r="L62" i="109"/>
  <c r="I25" i="8"/>
  <c r="I32" i="8"/>
  <c r="H14" i="20"/>
  <c r="D54" i="7" s="1"/>
  <c r="D63" i="109" s="1"/>
  <c r="D62" i="65" s="1"/>
  <c r="J61" i="70" s="1"/>
  <c r="K61" i="70" s="1"/>
  <c r="E15" i="20"/>
  <c r="H21" i="8"/>
  <c r="I68" i="8"/>
  <c r="I61" i="8"/>
  <c r="H24" i="8"/>
  <c r="C13" i="7" s="1"/>
  <c r="J19" i="8"/>
  <c r="J20" i="7"/>
  <c r="J58" i="7"/>
  <c r="C57" i="7"/>
  <c r="H99" i="10"/>
  <c r="C29" i="7" s="1"/>
  <c r="J29" i="7" s="1"/>
  <c r="E100" i="10"/>
  <c r="J68" i="8"/>
  <c r="J75" i="8"/>
  <c r="E42" i="7"/>
  <c r="R19" i="70"/>
  <c r="H52" i="9"/>
  <c r="C22" i="7" s="1"/>
  <c r="J22" i="7" s="1"/>
  <c r="O30" i="109"/>
  <c r="C30" i="65"/>
  <c r="H26" i="8"/>
  <c r="R27" i="41"/>
  <c r="F48" i="41"/>
  <c r="P50" i="12"/>
  <c r="R47" i="12"/>
  <c r="J15" i="10"/>
  <c r="G15" i="10" s="1"/>
  <c r="G27" i="10"/>
  <c r="J27" i="8"/>
  <c r="I12" i="9"/>
  <c r="H61" i="8"/>
  <c r="H68" i="8"/>
  <c r="I31" i="9"/>
  <c r="D19" i="7" s="1"/>
  <c r="J19" i="7" s="1"/>
  <c r="H16" i="9"/>
  <c r="J23" i="10"/>
  <c r="G23" i="10" s="1"/>
  <c r="G33" i="10"/>
  <c r="E27" i="38"/>
  <c r="X10" i="41"/>
  <c r="U15" i="41"/>
  <c r="H65" i="9"/>
  <c r="J30" i="8"/>
  <c r="J24" i="8" s="1"/>
  <c r="E13" i="7" s="1"/>
  <c r="H10" i="132"/>
  <c r="C12" i="22"/>
  <c r="E11" i="132"/>
  <c r="C20" i="109"/>
  <c r="L25" i="70"/>
  <c r="J18" i="8"/>
  <c r="G21" i="10"/>
  <c r="J20" i="10"/>
  <c r="E26" i="7" s="1"/>
  <c r="H53" i="8"/>
  <c r="C14" i="7" s="1"/>
  <c r="G26" i="10"/>
  <c r="J13" i="10"/>
  <c r="G13" i="10" s="1"/>
  <c r="F10" i="39"/>
  <c r="E82" i="10"/>
  <c r="H81" i="10"/>
  <c r="C27" i="7" s="1"/>
  <c r="J27" i="7" s="1"/>
  <c r="H10" i="20"/>
  <c r="D53" i="7" s="1"/>
  <c r="E11" i="20"/>
  <c r="I21" i="8"/>
  <c r="I45" i="9"/>
  <c r="D21" i="7" s="1"/>
  <c r="J21" i="7" s="1"/>
  <c r="H82" i="8"/>
  <c r="H17" i="9"/>
  <c r="C17" i="7" s="1"/>
  <c r="H12" i="9"/>
  <c r="C14" i="22"/>
  <c r="O14" i="22" s="1"/>
  <c r="E13" i="132"/>
  <c r="J21" i="114"/>
  <c r="D44" i="7" s="1"/>
  <c r="D42" i="7" s="1"/>
  <c r="F11" i="10"/>
  <c r="F14" i="10"/>
  <c r="I62" i="8"/>
  <c r="I19" i="8" s="1"/>
  <c r="I20" i="10"/>
  <c r="D26" i="7" s="1"/>
  <c r="D24" i="7" s="1"/>
  <c r="D15" i="109" s="1"/>
  <c r="D15" i="65" s="1"/>
  <c r="J15" i="70" s="1"/>
  <c r="K15" i="70" s="1"/>
  <c r="F21" i="10"/>
  <c r="R39" i="41"/>
  <c r="M30" i="41"/>
  <c r="R30" i="41" s="1"/>
  <c r="I59" i="9"/>
  <c r="D23" i="7" s="1"/>
  <c r="I11" i="9"/>
  <c r="I17" i="9"/>
  <c r="D17" i="7" s="1"/>
  <c r="H66" i="8"/>
  <c r="H23" i="8" s="1"/>
  <c r="G14" i="20"/>
  <c r="C54" i="7" s="1"/>
  <c r="D15" i="20"/>
  <c r="H27" i="10"/>
  <c r="E37" i="10"/>
  <c r="J21" i="8"/>
  <c r="I16" i="9"/>
  <c r="J53" i="8"/>
  <c r="E14" i="7" s="1"/>
  <c r="M62" i="109"/>
  <c r="H52" i="7"/>
  <c r="M61" i="109" s="1"/>
  <c r="I75" i="8"/>
  <c r="H13" i="9"/>
  <c r="C20" i="10"/>
  <c r="J88" i="10"/>
  <c r="E28" i="7" s="1"/>
  <c r="J28" i="7" s="1"/>
  <c r="K65" i="59"/>
  <c r="H66" i="59"/>
  <c r="P54" i="12"/>
  <c r="R52" i="12"/>
  <c r="R25" i="70"/>
  <c r="C24" i="109"/>
  <c r="L54" i="70"/>
  <c r="H59" i="9"/>
  <c r="C23" i="7" s="1"/>
  <c r="F41" i="70"/>
  <c r="E11" i="16"/>
  <c r="G10" i="16"/>
  <c r="C39" i="7" s="1"/>
  <c r="F10" i="16"/>
  <c r="D39" i="7" s="1"/>
  <c r="D38" i="7" s="1"/>
  <c r="J63" i="8"/>
  <c r="F26" i="10"/>
  <c r="I13" i="10"/>
  <c r="F13" i="10" s="1"/>
  <c r="O52" i="22"/>
  <c r="I29" i="109"/>
  <c r="R14" i="70" l="1"/>
  <c r="D20" i="109"/>
  <c r="D20" i="65" s="1"/>
  <c r="J20" i="70" s="1"/>
  <c r="K20" i="70" s="1"/>
  <c r="J42" i="7"/>
  <c r="L15" i="70"/>
  <c r="R61" i="70"/>
  <c r="J39" i="7"/>
  <c r="C38" i="7"/>
  <c r="R50" i="12"/>
  <c r="S47" i="12"/>
  <c r="T47" i="12" s="1"/>
  <c r="T50" i="12" s="1"/>
  <c r="E12" i="13" s="1"/>
  <c r="C21" i="109"/>
  <c r="J47" i="7"/>
  <c r="D10" i="13"/>
  <c r="C15" i="13"/>
  <c r="I46" i="57"/>
  <c r="E46" i="57"/>
  <c r="G10" i="57"/>
  <c r="C52" i="7"/>
  <c r="J53" i="7"/>
  <c r="C62" i="109"/>
  <c r="I60" i="8"/>
  <c r="D15" i="7" s="1"/>
  <c r="K35" i="65"/>
  <c r="P34" i="70"/>
  <c r="Q34" i="70" s="1"/>
  <c r="C10" i="1"/>
  <c r="J18" i="1"/>
  <c r="C54" i="109"/>
  <c r="F30" i="70"/>
  <c r="C25" i="65"/>
  <c r="D25" i="70" s="1"/>
  <c r="E25" i="70" s="1"/>
  <c r="H14" i="8"/>
  <c r="C10" i="40"/>
  <c r="J10" i="40" s="1"/>
  <c r="J15" i="40"/>
  <c r="D24" i="109"/>
  <c r="D24" i="65" s="1"/>
  <c r="J24" i="70" s="1"/>
  <c r="K24" i="70" s="1"/>
  <c r="D10" i="22"/>
  <c r="J14" i="8"/>
  <c r="J23" i="8"/>
  <c r="J26" i="7"/>
  <c r="J44" i="7"/>
  <c r="C26" i="65"/>
  <c r="O26" i="109"/>
  <c r="E27" i="10"/>
  <c r="H15" i="10"/>
  <c r="E15" i="10" s="1"/>
  <c r="D62" i="109"/>
  <c r="D61" i="65" s="1"/>
  <c r="J60" i="70" s="1"/>
  <c r="K60" i="70" s="1"/>
  <c r="D52" i="7"/>
  <c r="D61" i="109" s="1"/>
  <c r="D60" i="65" s="1"/>
  <c r="J59" i="70" s="1"/>
  <c r="K59" i="70" s="1"/>
  <c r="J17" i="7"/>
  <c r="C16" i="7"/>
  <c r="E20" i="109"/>
  <c r="E20" i="65" s="1"/>
  <c r="P20" i="70" s="1"/>
  <c r="Q20" i="70" s="1"/>
  <c r="E37" i="7"/>
  <c r="E18" i="109" s="1"/>
  <c r="E18" i="65" s="1"/>
  <c r="P18" i="70" s="1"/>
  <c r="Q18" i="70" s="1"/>
  <c r="L61" i="70"/>
  <c r="D33" i="109"/>
  <c r="R24" i="70"/>
  <c r="J11" i="10"/>
  <c r="I10" i="109"/>
  <c r="I10" i="65" s="1"/>
  <c r="I22" i="65"/>
  <c r="R22" i="70"/>
  <c r="J11" i="38"/>
  <c r="D32" i="109"/>
  <c r="D11" i="16"/>
  <c r="H10" i="16"/>
  <c r="O29" i="109"/>
  <c r="I29" i="65"/>
  <c r="K29" i="65" s="1"/>
  <c r="S52" i="12"/>
  <c r="T52" i="12" s="1"/>
  <c r="T54" i="12" s="1"/>
  <c r="E13" i="13" s="1"/>
  <c r="R54" i="12"/>
  <c r="U10" i="41"/>
  <c r="X50" i="41"/>
  <c r="U50" i="41" s="1"/>
  <c r="H19" i="8"/>
  <c r="G27" i="22"/>
  <c r="O30" i="22"/>
  <c r="H10" i="10"/>
  <c r="Z14" i="73"/>
  <c r="X14" i="73"/>
  <c r="Y14" i="73"/>
  <c r="X10" i="73"/>
  <c r="E52" i="7"/>
  <c r="E61" i="109" s="1"/>
  <c r="E60" i="65" s="1"/>
  <c r="P59" i="70" s="1"/>
  <c r="Q59" i="70" s="1"/>
  <c r="L52" i="70"/>
  <c r="K30" i="65"/>
  <c r="D29" i="70"/>
  <c r="E29" i="70" s="1"/>
  <c r="J13" i="7"/>
  <c r="I59" i="59"/>
  <c r="L10" i="59"/>
  <c r="I10" i="59" s="1"/>
  <c r="D11" i="73"/>
  <c r="F16" i="22"/>
  <c r="O25" i="22"/>
  <c r="R60" i="70"/>
  <c r="H10" i="9"/>
  <c r="D19" i="109"/>
  <c r="D19" i="65" s="1"/>
  <c r="J19" i="70" s="1"/>
  <c r="K19" i="70" s="1"/>
  <c r="D37" i="7"/>
  <c r="D18" i="109" s="1"/>
  <c r="D18" i="65" s="1"/>
  <c r="J18" i="70" s="1"/>
  <c r="K18" i="70" s="1"/>
  <c r="J57" i="7"/>
  <c r="C66" i="109"/>
  <c r="E47" i="109"/>
  <c r="E47" i="65" s="1"/>
  <c r="P46" i="70" s="1"/>
  <c r="Q46" i="70" s="1"/>
  <c r="E10" i="47"/>
  <c r="E42" i="109" s="1"/>
  <c r="E42" i="65" s="1"/>
  <c r="P41" i="70" s="1"/>
  <c r="Q41" i="70" s="1"/>
  <c r="I14" i="8"/>
  <c r="C24" i="65"/>
  <c r="D24" i="70" s="1"/>
  <c r="E24" i="70" s="1"/>
  <c r="H63" i="8"/>
  <c r="O20" i="109"/>
  <c r="C20" i="65"/>
  <c r="E22" i="38"/>
  <c r="J22" i="38" s="1"/>
  <c r="E21" i="38"/>
  <c r="H18" i="8"/>
  <c r="J13" i="73"/>
  <c r="AH39" i="25"/>
  <c r="I23" i="8"/>
  <c r="J23" i="7"/>
  <c r="K59" i="59"/>
  <c r="D25" i="47"/>
  <c r="H65" i="59"/>
  <c r="D16" i="7"/>
  <c r="D14" i="109" s="1"/>
  <c r="D14" i="65" s="1"/>
  <c r="J14" i="70" s="1"/>
  <c r="K14" i="70" s="1"/>
  <c r="I10" i="10"/>
  <c r="J14" i="7"/>
  <c r="J20" i="8"/>
  <c r="I24" i="8"/>
  <c r="D13" i="7" s="1"/>
  <c r="D12" i="7" s="1"/>
  <c r="I18" i="8"/>
  <c r="J10" i="9"/>
  <c r="J60" i="8"/>
  <c r="E15" i="7" s="1"/>
  <c r="E12" i="7" s="1"/>
  <c r="P55" i="12"/>
  <c r="J54" i="7"/>
  <c r="C63" i="109"/>
  <c r="I10" i="9"/>
  <c r="E24" i="7"/>
  <c r="E15" i="109" s="1"/>
  <c r="E15" i="65" s="1"/>
  <c r="P15" i="70" s="1"/>
  <c r="Q15" i="70" s="1"/>
  <c r="O12" i="22"/>
  <c r="C11" i="22"/>
  <c r="H23" i="11"/>
  <c r="S35" i="12"/>
  <c r="T35" i="12" s="1"/>
  <c r="T45" i="12" s="1"/>
  <c r="R45" i="12"/>
  <c r="R55" i="12" s="1"/>
  <c r="C24" i="7"/>
  <c r="E13" i="109" l="1"/>
  <c r="E13" i="65" s="1"/>
  <c r="P13" i="70" s="1"/>
  <c r="Q13" i="70" s="1"/>
  <c r="R59" i="70"/>
  <c r="D32" i="65"/>
  <c r="O32" i="109"/>
  <c r="G11" i="10"/>
  <c r="J10" i="10"/>
  <c r="G13" i="13"/>
  <c r="I13" i="13" s="1"/>
  <c r="C51" i="109"/>
  <c r="E33" i="109"/>
  <c r="E33" i="65" s="1"/>
  <c r="P32" i="70" s="1"/>
  <c r="Q32" i="70" s="1"/>
  <c r="L14" i="70"/>
  <c r="C65" i="65"/>
  <c r="O66" i="109"/>
  <c r="C14" i="109"/>
  <c r="J16" i="7"/>
  <c r="R34" i="70"/>
  <c r="D15" i="13"/>
  <c r="R46" i="70"/>
  <c r="D23" i="47"/>
  <c r="I25" i="47"/>
  <c r="L18" i="70"/>
  <c r="L59" i="70"/>
  <c r="J17" i="8"/>
  <c r="O21" i="109"/>
  <c r="C21" i="65"/>
  <c r="K20" i="65"/>
  <c r="D20" i="70"/>
  <c r="E20" i="70" s="1"/>
  <c r="D33" i="65"/>
  <c r="L60" i="70"/>
  <c r="H59" i="59"/>
  <c r="K10" i="59"/>
  <c r="H10" i="59" s="1"/>
  <c r="J21" i="38"/>
  <c r="O11" i="22"/>
  <c r="C10" i="22"/>
  <c r="C23" i="109"/>
  <c r="D22" i="109"/>
  <c r="D22" i="65" s="1"/>
  <c r="J22" i="70" s="1"/>
  <c r="K22" i="70" s="1"/>
  <c r="C12" i="68"/>
  <c r="F25" i="70"/>
  <c r="C61" i="65"/>
  <c r="O62" i="109"/>
  <c r="L19" i="70"/>
  <c r="F29" i="70"/>
  <c r="L24" i="70"/>
  <c r="C19" i="109"/>
  <c r="J38" i="7"/>
  <c r="C37" i="7"/>
  <c r="O63" i="109"/>
  <c r="C62" i="65"/>
  <c r="C15" i="109"/>
  <c r="J24" i="7"/>
  <c r="E11" i="13"/>
  <c r="E15" i="13" s="1"/>
  <c r="T55" i="12"/>
  <c r="D13" i="109"/>
  <c r="D13" i="65" s="1"/>
  <c r="J13" i="70" s="1"/>
  <c r="K13" i="70" s="1"/>
  <c r="C61" i="109"/>
  <c r="J52" i="7"/>
  <c r="L20" i="70"/>
  <c r="H16" i="11"/>
  <c r="H16" i="8" s="1"/>
  <c r="C56" i="7" s="1"/>
  <c r="I17" i="8"/>
  <c r="R15" i="70"/>
  <c r="J10" i="73"/>
  <c r="K10" i="73" s="1"/>
  <c r="K13" i="73"/>
  <c r="F24" i="70"/>
  <c r="H60" i="8"/>
  <c r="C15" i="7" s="1"/>
  <c r="K26" i="65"/>
  <c r="D26" i="70"/>
  <c r="E26" i="70" s="1"/>
  <c r="I10" i="57"/>
  <c r="E10" i="57"/>
  <c r="F24" i="109"/>
  <c r="F10" i="22"/>
  <c r="F22" i="109" s="1"/>
  <c r="O16" i="22"/>
  <c r="G10" i="22"/>
  <c r="G22" i="109" s="1"/>
  <c r="G25" i="109"/>
  <c r="O27" i="22"/>
  <c r="R18" i="70"/>
  <c r="O54" i="109"/>
  <c r="C54" i="65"/>
  <c r="R41" i="70"/>
  <c r="D10" i="73"/>
  <c r="E10" i="73" s="1"/>
  <c r="E11" i="73"/>
  <c r="H20" i="8"/>
  <c r="H17" i="8" s="1"/>
  <c r="R20" i="70"/>
  <c r="F10" i="73" l="1"/>
  <c r="O19" i="109"/>
  <c r="C19" i="65"/>
  <c r="C60" i="65"/>
  <c r="O61" i="109"/>
  <c r="K65" i="65"/>
  <c r="D64" i="70"/>
  <c r="C64" i="70" s="1"/>
  <c r="E64" i="70" s="1"/>
  <c r="L13" i="70"/>
  <c r="F22" i="65"/>
  <c r="F10" i="109"/>
  <c r="F10" i="65" s="1"/>
  <c r="F24" i="65"/>
  <c r="K24" i="65" s="1"/>
  <c r="O24" i="109"/>
  <c r="J37" i="7"/>
  <c r="C18" i="109"/>
  <c r="L13" i="73"/>
  <c r="D60" i="70"/>
  <c r="E60" i="70" s="1"/>
  <c r="K61" i="65"/>
  <c r="K32" i="65"/>
  <c r="J31" i="70"/>
  <c r="K31" i="70" s="1"/>
  <c r="D53" i="70"/>
  <c r="E53" i="70" s="1"/>
  <c r="K54" i="65"/>
  <c r="R32" i="70"/>
  <c r="L22" i="70"/>
  <c r="O33" i="109"/>
  <c r="J32" i="70"/>
  <c r="K32" i="70" s="1"/>
  <c r="K33" i="65"/>
  <c r="C51" i="65"/>
  <c r="O51" i="109"/>
  <c r="L10" i="73"/>
  <c r="G25" i="65"/>
  <c r="K25" i="65" s="1"/>
  <c r="O25" i="109"/>
  <c r="F20" i="70"/>
  <c r="F26" i="70"/>
  <c r="G22" i="65"/>
  <c r="G10" i="109"/>
  <c r="G10" i="65" s="1"/>
  <c r="C15" i="65"/>
  <c r="O15" i="109"/>
  <c r="O23" i="109"/>
  <c r="C23" i="65"/>
  <c r="J15" i="7"/>
  <c r="C12" i="7"/>
  <c r="F11" i="73"/>
  <c r="J56" i="7"/>
  <c r="C65" i="109"/>
  <c r="K62" i="65"/>
  <c r="D61" i="70"/>
  <c r="E61" i="70" s="1"/>
  <c r="O10" i="22"/>
  <c r="C22" i="109"/>
  <c r="K21" i="65"/>
  <c r="D21" i="70"/>
  <c r="E21" i="70" s="1"/>
  <c r="D47" i="109"/>
  <c r="I23" i="47"/>
  <c r="D10" i="47"/>
  <c r="C14" i="65"/>
  <c r="O14" i="109"/>
  <c r="R13" i="70"/>
  <c r="D47" i="65" l="1"/>
  <c r="O47" i="109"/>
  <c r="C13" i="109"/>
  <c r="J12" i="7"/>
  <c r="F60" i="70"/>
  <c r="O22" i="109"/>
  <c r="C22" i="65"/>
  <c r="D23" i="70"/>
  <c r="E23" i="70" s="1"/>
  <c r="K23" i="65"/>
  <c r="F61" i="70"/>
  <c r="O18" i="109"/>
  <c r="C18" i="65"/>
  <c r="K60" i="65"/>
  <c r="D59" i="70"/>
  <c r="E59" i="70" s="1"/>
  <c r="K19" i="65"/>
  <c r="D19" i="70"/>
  <c r="E19" i="70" s="1"/>
  <c r="C64" i="65"/>
  <c r="O65" i="109"/>
  <c r="F21" i="70"/>
  <c r="H21" i="70"/>
  <c r="G21" i="70"/>
  <c r="F64" i="70"/>
  <c r="G64" i="70"/>
  <c r="H64" i="70"/>
  <c r="D15" i="70"/>
  <c r="E15" i="70" s="1"/>
  <c r="K15" i="65"/>
  <c r="F53" i="70"/>
  <c r="L32" i="70"/>
  <c r="K14" i="65"/>
  <c r="D14" i="70"/>
  <c r="E14" i="70" s="1"/>
  <c r="C14" i="68"/>
  <c r="D42" i="109"/>
  <c r="I10" i="47"/>
  <c r="D50" i="70"/>
  <c r="E50" i="70" s="1"/>
  <c r="K51" i="65"/>
  <c r="L31" i="70"/>
  <c r="F23" i="70" l="1"/>
  <c r="K64" i="65"/>
  <c r="D63" i="70"/>
  <c r="E63" i="70" s="1"/>
  <c r="K22" i="65"/>
  <c r="D22" i="70"/>
  <c r="E22" i="70" s="1"/>
  <c r="F19" i="70"/>
  <c r="F50" i="70"/>
  <c r="F59" i="70"/>
  <c r="F15" i="70"/>
  <c r="K18" i="65"/>
  <c r="D18" i="70"/>
  <c r="E18" i="70" s="1"/>
  <c r="F14" i="70"/>
  <c r="C13" i="65"/>
  <c r="O13" i="109"/>
  <c r="D42" i="65"/>
  <c r="O42" i="109"/>
  <c r="J46" i="70"/>
  <c r="K46" i="70" s="1"/>
  <c r="K47" i="65"/>
  <c r="F18" i="70" l="1"/>
  <c r="F22" i="70"/>
  <c r="F63" i="70"/>
  <c r="L46" i="70"/>
  <c r="J41" i="70"/>
  <c r="K41" i="70" s="1"/>
  <c r="K42" i="65"/>
  <c r="K13" i="65"/>
  <c r="D13" i="70"/>
  <c r="E13" i="70" s="1"/>
  <c r="G16" i="45"/>
  <c r="G17" i="45"/>
  <c r="H12" i="45"/>
  <c r="G12" i="45"/>
  <c r="G19" i="45"/>
  <c r="H29" i="45"/>
  <c r="G13" i="45"/>
  <c r="H26" i="45"/>
  <c r="H19" i="45"/>
  <c r="H17" i="45"/>
  <c r="H18" i="45"/>
  <c r="H16" i="45"/>
  <c r="G18" i="45"/>
  <c r="G26" i="45"/>
  <c r="G29" i="45"/>
  <c r="H13" i="45"/>
  <c r="J27" i="45" l="1"/>
  <c r="H27" i="45" s="1"/>
  <c r="H28" i="45"/>
  <c r="I14" i="45"/>
  <c r="G14" i="45" s="1"/>
  <c r="G15" i="45"/>
  <c r="J14" i="45"/>
  <c r="H14" i="45" s="1"/>
  <c r="H15" i="45"/>
  <c r="J21" i="45"/>
  <c r="H22" i="45"/>
  <c r="I27" i="45"/>
  <c r="G27" i="45" s="1"/>
  <c r="G28" i="45"/>
  <c r="L41" i="70"/>
  <c r="I21" i="45"/>
  <c r="G22" i="45"/>
  <c r="D32" i="38"/>
  <c r="G10" i="42"/>
  <c r="F11" i="42"/>
  <c r="F13" i="70"/>
  <c r="I10" i="45"/>
  <c r="G11" i="45"/>
  <c r="J10" i="45"/>
  <c r="H11" i="45"/>
  <c r="C41" i="11"/>
  <c r="C66" i="8" l="1"/>
  <c r="G88" i="8"/>
  <c r="E88" i="8"/>
  <c r="F88" i="8"/>
  <c r="H10" i="45"/>
  <c r="E84" i="8"/>
  <c r="F84" i="8"/>
  <c r="G84" i="8"/>
  <c r="C25" i="8"/>
  <c r="C32" i="8"/>
  <c r="G33" i="8"/>
  <c r="E33" i="8"/>
  <c r="F33" i="8"/>
  <c r="C27" i="8"/>
  <c r="F35" i="8"/>
  <c r="G35" i="8"/>
  <c r="E35" i="8"/>
  <c r="G10" i="45"/>
  <c r="F83" i="8"/>
  <c r="E83" i="8"/>
  <c r="G83" i="8"/>
  <c r="J20" i="45"/>
  <c r="H20" i="45" s="1"/>
  <c r="H21" i="45"/>
  <c r="C61" i="8"/>
  <c r="C68" i="8"/>
  <c r="G69" i="8"/>
  <c r="F69" i="8"/>
  <c r="E69" i="8"/>
  <c r="G56" i="8"/>
  <c r="E56" i="8"/>
  <c r="F56" i="8"/>
  <c r="C75" i="8"/>
  <c r="G76" i="8"/>
  <c r="E76" i="8"/>
  <c r="F76" i="8"/>
  <c r="C21" i="8"/>
  <c r="E57" i="8"/>
  <c r="F57" i="8"/>
  <c r="G57" i="8"/>
  <c r="C53" i="8"/>
  <c r="E54" i="8"/>
  <c r="G54" i="8"/>
  <c r="F54" i="8"/>
  <c r="C30" i="8"/>
  <c r="F38" i="8"/>
  <c r="E38" i="8"/>
  <c r="G38" i="8"/>
  <c r="E77" i="8"/>
  <c r="G77" i="8"/>
  <c r="F77" i="8"/>
  <c r="J32" i="38"/>
  <c r="D34" i="109"/>
  <c r="C62" i="8"/>
  <c r="F70" i="8"/>
  <c r="E70" i="8"/>
  <c r="G70" i="8"/>
  <c r="G78" i="8"/>
  <c r="E78" i="8"/>
  <c r="F78" i="8"/>
  <c r="C63" i="8"/>
  <c r="G71" i="8"/>
  <c r="E71" i="8"/>
  <c r="F71" i="8"/>
  <c r="C26" i="8"/>
  <c r="G34" i="8"/>
  <c r="F34" i="8"/>
  <c r="E34" i="8"/>
  <c r="I20" i="45"/>
  <c r="G20" i="45" s="1"/>
  <c r="G21" i="45"/>
  <c r="C19" i="11"/>
  <c r="C20" i="11"/>
  <c r="C13" i="11" s="1"/>
  <c r="C62" i="11"/>
  <c r="C40" i="11"/>
  <c r="G58" i="11"/>
  <c r="F58" i="11"/>
  <c r="J25" i="11" l="1"/>
  <c r="G26" i="11"/>
  <c r="J18" i="11"/>
  <c r="C44" i="11"/>
  <c r="E44" i="11" s="1"/>
  <c r="E52" i="11"/>
  <c r="F26" i="11"/>
  <c r="I18" i="11"/>
  <c r="I25" i="11"/>
  <c r="H62" i="11"/>
  <c r="E62" i="11" s="1"/>
  <c r="E69" i="11"/>
  <c r="E28" i="11"/>
  <c r="H20" i="11"/>
  <c r="E48" i="11"/>
  <c r="H40" i="11"/>
  <c r="E40" i="11" s="1"/>
  <c r="C18" i="11"/>
  <c r="C25" i="11"/>
  <c r="C82" i="8"/>
  <c r="F85" i="8"/>
  <c r="G85" i="8"/>
  <c r="E85" i="8"/>
  <c r="I23" i="11"/>
  <c r="F31" i="11"/>
  <c r="G48" i="11"/>
  <c r="J40" i="11"/>
  <c r="G40" i="11" s="1"/>
  <c r="G69" i="11"/>
  <c r="J62" i="11"/>
  <c r="G62" i="11" s="1"/>
  <c r="C23" i="8"/>
  <c r="F30" i="8"/>
  <c r="E30" i="8"/>
  <c r="G30" i="8"/>
  <c r="C18" i="8"/>
  <c r="C24" i="8"/>
  <c r="E25" i="8"/>
  <c r="G25" i="8"/>
  <c r="F25" i="8"/>
  <c r="I19" i="11"/>
  <c r="F27" i="11"/>
  <c r="F52" i="11"/>
  <c r="I44" i="11"/>
  <c r="F44" i="11" s="1"/>
  <c r="H41" i="11"/>
  <c r="E41" i="11" s="1"/>
  <c r="E49" i="11"/>
  <c r="I99" i="11"/>
  <c r="F99" i="11" s="1"/>
  <c r="F114" i="11"/>
  <c r="E54" i="11"/>
  <c r="H53" i="11"/>
  <c r="I60" i="11"/>
  <c r="I66" i="11"/>
  <c r="F67" i="11"/>
  <c r="C19" i="8"/>
  <c r="F26" i="8"/>
  <c r="G26" i="8"/>
  <c r="E26" i="8"/>
  <c r="D44" i="38"/>
  <c r="H46" i="11"/>
  <c r="E47" i="11"/>
  <c r="H39" i="11"/>
  <c r="F49" i="11"/>
  <c r="I41" i="11"/>
  <c r="F41" i="11" s="1"/>
  <c r="G27" i="11"/>
  <c r="J19" i="11"/>
  <c r="J20" i="11"/>
  <c r="G28" i="11"/>
  <c r="O34" i="109"/>
  <c r="D34" i="65"/>
  <c r="J60" i="11"/>
  <c r="J66" i="11"/>
  <c r="G67" i="11"/>
  <c r="J41" i="11"/>
  <c r="G41" i="11" s="1"/>
  <c r="G49" i="11"/>
  <c r="I20" i="11"/>
  <c r="F28" i="11"/>
  <c r="E44" i="38"/>
  <c r="J109" i="11"/>
  <c r="J108" i="11" s="1"/>
  <c r="E36" i="7" s="1"/>
  <c r="E34" i="7" s="1"/>
  <c r="E17" i="109" s="1"/>
  <c r="E17" i="65" s="1"/>
  <c r="P17" i="70" s="1"/>
  <c r="Q17" i="70" s="1"/>
  <c r="G110" i="11"/>
  <c r="J94" i="11"/>
  <c r="F54" i="11"/>
  <c r="I53" i="11"/>
  <c r="G47" i="11"/>
  <c r="J39" i="11"/>
  <c r="J46" i="11"/>
  <c r="I62" i="11"/>
  <c r="F62" i="11" s="1"/>
  <c r="F69" i="11"/>
  <c r="C12" i="11"/>
  <c r="G31" i="11"/>
  <c r="J23" i="11"/>
  <c r="C23" i="11"/>
  <c r="E31" i="11"/>
  <c r="F62" i="8"/>
  <c r="G62" i="8"/>
  <c r="E62" i="8"/>
  <c r="F48" i="11"/>
  <c r="I40" i="11"/>
  <c r="F40" i="11" s="1"/>
  <c r="H94" i="11"/>
  <c r="E110" i="11"/>
  <c r="H109" i="11"/>
  <c r="H108" i="11" s="1"/>
  <c r="C36" i="7" s="1"/>
  <c r="H25" i="11"/>
  <c r="H18" i="11"/>
  <c r="E26" i="11"/>
  <c r="J99" i="11"/>
  <c r="G99" i="11" s="1"/>
  <c r="G114" i="11"/>
  <c r="C39" i="11"/>
  <c r="C38" i="11" s="1"/>
  <c r="C46" i="11"/>
  <c r="G63" i="8"/>
  <c r="F63" i="8"/>
  <c r="E63" i="8"/>
  <c r="C20" i="8"/>
  <c r="F27" i="8"/>
  <c r="E27" i="8"/>
  <c r="G27" i="8"/>
  <c r="C14" i="8"/>
  <c r="E21" i="8"/>
  <c r="F21" i="8"/>
  <c r="G21" i="8"/>
  <c r="C60" i="8"/>
  <c r="G61" i="8"/>
  <c r="E61" i="8"/>
  <c r="F61" i="8"/>
  <c r="H19" i="11"/>
  <c r="E27" i="11"/>
  <c r="F47" i="11"/>
  <c r="I46" i="11"/>
  <c r="I39" i="11"/>
  <c r="J44" i="11"/>
  <c r="G44" i="11" s="1"/>
  <c r="G52" i="11"/>
  <c r="G54" i="11"/>
  <c r="J53" i="11"/>
  <c r="F110" i="11"/>
  <c r="I94" i="11"/>
  <c r="I109" i="11"/>
  <c r="I108" i="11" s="1"/>
  <c r="D36" i="7" s="1"/>
  <c r="D34" i="7" s="1"/>
  <c r="D17" i="109" s="1"/>
  <c r="D17" i="65" s="1"/>
  <c r="J17" i="70" s="1"/>
  <c r="K17" i="70" s="1"/>
  <c r="H66" i="11"/>
  <c r="H60" i="11"/>
  <c r="E67" i="11"/>
  <c r="C60" i="11"/>
  <c r="C59" i="11" s="1"/>
  <c r="C66" i="11"/>
  <c r="G66" i="8"/>
  <c r="E66" i="8"/>
  <c r="F66" i="8"/>
  <c r="H20" i="47"/>
  <c r="M46" i="109" s="1"/>
  <c r="F20" i="47"/>
  <c r="K46" i="109" s="1"/>
  <c r="G11" i="47"/>
  <c r="G17" i="47"/>
  <c r="L45" i="109" s="1"/>
  <c r="G20" i="47"/>
  <c r="L46" i="109" s="1"/>
  <c r="H14" i="47"/>
  <c r="M44" i="109" s="1"/>
  <c r="M16" i="22"/>
  <c r="F14" i="47"/>
  <c r="K44" i="109" s="1"/>
  <c r="F24" i="7"/>
  <c r="K15" i="109" s="1"/>
  <c r="F34" i="7"/>
  <c r="K17" i="109" s="1"/>
  <c r="M35" i="22"/>
  <c r="M26" i="109" s="1"/>
  <c r="G34" i="7"/>
  <c r="L17" i="109" s="1"/>
  <c r="H23" i="47"/>
  <c r="M47" i="109" s="1"/>
  <c r="H42" i="7"/>
  <c r="F30" i="7"/>
  <c r="K16" i="109" s="1"/>
  <c r="H11" i="1"/>
  <c r="F42" i="7"/>
  <c r="G30" i="7"/>
  <c r="L16" i="109" s="1"/>
  <c r="F23" i="47"/>
  <c r="K47" i="109" s="1"/>
  <c r="G14" i="47"/>
  <c r="L44" i="109" s="1"/>
  <c r="I30" i="7"/>
  <c r="N16" i="109" s="1"/>
  <c r="I34" i="7"/>
  <c r="N17" i="109" s="1"/>
  <c r="I12" i="7"/>
  <c r="G23" i="47"/>
  <c r="L47" i="109" s="1"/>
  <c r="M57" i="22"/>
  <c r="M30" i="109" s="1"/>
  <c r="L27" i="22"/>
  <c r="H24" i="7"/>
  <c r="M15" i="109" s="1"/>
  <c r="H30" i="7"/>
  <c r="M16" i="109" s="1"/>
  <c r="H34" i="7"/>
  <c r="M17" i="109" s="1"/>
  <c r="M20" i="109" l="1"/>
  <c r="H37" i="7"/>
  <c r="M18" i="109" s="1"/>
  <c r="K37" i="109"/>
  <c r="F10" i="38"/>
  <c r="E37" i="109"/>
  <c r="E37" i="65" s="1"/>
  <c r="P36" i="70" s="1"/>
  <c r="Q36" i="70" s="1"/>
  <c r="E10" i="38"/>
  <c r="E31" i="109" s="1"/>
  <c r="E31" i="65" s="1"/>
  <c r="P30" i="70" s="1"/>
  <c r="Q30" i="70" s="1"/>
  <c r="J12" i="11"/>
  <c r="G19" i="11"/>
  <c r="F19" i="11"/>
  <c r="I12" i="11"/>
  <c r="E20" i="11"/>
  <c r="H13" i="11"/>
  <c r="J36" i="7"/>
  <c r="C34" i="7"/>
  <c r="I24" i="7"/>
  <c r="N15" i="109" s="1"/>
  <c r="E19" i="11"/>
  <c r="H12" i="11"/>
  <c r="F20" i="8"/>
  <c r="G20" i="8"/>
  <c r="E20" i="8"/>
  <c r="F20" i="11"/>
  <c r="I13" i="11"/>
  <c r="I59" i="11"/>
  <c r="D33" i="7" s="1"/>
  <c r="F60" i="11"/>
  <c r="E60" i="11"/>
  <c r="H59" i="11"/>
  <c r="C33" i="7" s="1"/>
  <c r="H17" i="47"/>
  <c r="M45" i="109" s="1"/>
  <c r="F11" i="47"/>
  <c r="L17" i="70"/>
  <c r="E94" i="11"/>
  <c r="H93" i="11"/>
  <c r="I16" i="11"/>
  <c r="F23" i="11"/>
  <c r="H16" i="7"/>
  <c r="M14" i="109" s="1"/>
  <c r="I16" i="7"/>
  <c r="N14" i="109" s="1"/>
  <c r="F94" i="11"/>
  <c r="I93" i="11"/>
  <c r="H38" i="11"/>
  <c r="C32" i="7" s="1"/>
  <c r="J32" i="7" s="1"/>
  <c r="E39" i="11"/>
  <c r="M37" i="109"/>
  <c r="H10" i="38"/>
  <c r="G12" i="7"/>
  <c r="H12" i="7"/>
  <c r="G39" i="11"/>
  <c r="J38" i="11"/>
  <c r="E32" i="7" s="1"/>
  <c r="C17" i="8"/>
  <c r="G18" i="8"/>
  <c r="F18" i="8"/>
  <c r="E18" i="8"/>
  <c r="F18" i="11"/>
  <c r="I17" i="11"/>
  <c r="D31" i="7" s="1"/>
  <c r="D30" i="7" s="1"/>
  <c r="I11" i="11"/>
  <c r="L25" i="109"/>
  <c r="L10" i="22"/>
  <c r="G10" i="47"/>
  <c r="L43" i="109"/>
  <c r="F37" i="7"/>
  <c r="K18" i="109" s="1"/>
  <c r="K20" i="109"/>
  <c r="K27" i="22"/>
  <c r="H11" i="47"/>
  <c r="H21" i="1"/>
  <c r="M55" i="109" s="1"/>
  <c r="G16" i="7"/>
  <c r="L14" i="109" s="1"/>
  <c r="N13" i="109"/>
  <c r="M52" i="109"/>
  <c r="G24" i="7"/>
  <c r="L15" i="109" s="1"/>
  <c r="M24" i="109"/>
  <c r="J59" i="11"/>
  <c r="E33" i="7" s="1"/>
  <c r="G60" i="11"/>
  <c r="D37" i="109"/>
  <c r="J44" i="38"/>
  <c r="D10" i="38"/>
  <c r="F12" i="7"/>
  <c r="G10" i="38"/>
  <c r="L37" i="109"/>
  <c r="N27" i="22"/>
  <c r="K34" i="65"/>
  <c r="J33" i="70"/>
  <c r="K33" i="70" s="1"/>
  <c r="G94" i="11"/>
  <c r="J93" i="11"/>
  <c r="E23" i="8"/>
  <c r="G23" i="8"/>
  <c r="F23" i="8"/>
  <c r="C11" i="11"/>
  <c r="C17" i="11"/>
  <c r="G18" i="11"/>
  <c r="J17" i="11"/>
  <c r="E31" i="7" s="1"/>
  <c r="J11" i="11"/>
  <c r="F39" i="11"/>
  <c r="I38" i="11"/>
  <c r="D32" i="7" s="1"/>
  <c r="F13" i="13"/>
  <c r="H13" i="13" s="1"/>
  <c r="E14" i="8"/>
  <c r="G14" i="8"/>
  <c r="F14" i="8"/>
  <c r="C16" i="11"/>
  <c r="E16" i="11" s="1"/>
  <c r="E23" i="11"/>
  <c r="F16" i="7"/>
  <c r="K14" i="109" s="1"/>
  <c r="F17" i="47"/>
  <c r="K45" i="109" s="1"/>
  <c r="M27" i="22"/>
  <c r="M25" i="109" s="1"/>
  <c r="G42" i="7"/>
  <c r="H17" i="11"/>
  <c r="C31" i="7" s="1"/>
  <c r="E18" i="11"/>
  <c r="H11" i="11"/>
  <c r="J16" i="11"/>
  <c r="G23" i="11"/>
  <c r="R17" i="70"/>
  <c r="J13" i="11"/>
  <c r="G20" i="11"/>
  <c r="G19" i="8"/>
  <c r="F19" i="8"/>
  <c r="E19" i="8"/>
  <c r="J31" i="7" l="1"/>
  <c r="C30" i="7"/>
  <c r="L33" i="70"/>
  <c r="E13" i="11"/>
  <c r="H13" i="8"/>
  <c r="E11" i="11"/>
  <c r="H10" i="11"/>
  <c r="H11" i="8"/>
  <c r="G48" i="9"/>
  <c r="E48" i="9"/>
  <c r="F48" i="9"/>
  <c r="L20" i="109"/>
  <c r="G37" i="7"/>
  <c r="L18" i="109" s="1"/>
  <c r="L42" i="109"/>
  <c r="D14" i="68"/>
  <c r="F16" i="11"/>
  <c r="I16" i="8"/>
  <c r="F13" i="11"/>
  <c r="I13" i="8"/>
  <c r="C24" i="9"/>
  <c r="G25" i="9"/>
  <c r="E25" i="9"/>
  <c r="F25" i="9"/>
  <c r="F84" i="9"/>
  <c r="G84" i="9"/>
  <c r="E84" i="9"/>
  <c r="C31" i="9"/>
  <c r="E32" i="9"/>
  <c r="G32" i="9"/>
  <c r="F32" i="9"/>
  <c r="E30" i="7"/>
  <c r="N10" i="22"/>
  <c r="N22" i="109" s="1"/>
  <c r="N25" i="109"/>
  <c r="H10" i="1"/>
  <c r="L22" i="109"/>
  <c r="D12" i="68"/>
  <c r="M13" i="109"/>
  <c r="H11" i="7"/>
  <c r="F12" i="11"/>
  <c r="I12" i="8"/>
  <c r="C102" i="9"/>
  <c r="G103" i="9"/>
  <c r="F103" i="9"/>
  <c r="E103" i="9"/>
  <c r="E27" i="9"/>
  <c r="G27" i="9"/>
  <c r="F27" i="9"/>
  <c r="C81" i="9"/>
  <c r="G82" i="9"/>
  <c r="E82" i="9"/>
  <c r="F82" i="9"/>
  <c r="J10" i="11"/>
  <c r="G11" i="11"/>
  <c r="J11" i="8"/>
  <c r="C65" i="9"/>
  <c r="G73" i="9"/>
  <c r="F73" i="9"/>
  <c r="E73" i="9"/>
  <c r="F44" i="9"/>
  <c r="E44" i="9"/>
  <c r="G44" i="9"/>
  <c r="L13" i="109"/>
  <c r="G11" i="7"/>
  <c r="G30" i="9"/>
  <c r="E30" i="9"/>
  <c r="F30" i="9"/>
  <c r="G83" i="9"/>
  <c r="E83" i="9"/>
  <c r="F83" i="9"/>
  <c r="G40" i="9"/>
  <c r="E40" i="9"/>
  <c r="F40" i="9"/>
  <c r="G98" i="9"/>
  <c r="F98" i="9"/>
  <c r="E98" i="9"/>
  <c r="F41" i="9"/>
  <c r="E41" i="9"/>
  <c r="G41" i="9"/>
  <c r="F87" i="9"/>
  <c r="G87" i="9"/>
  <c r="E87" i="9"/>
  <c r="C62" i="9"/>
  <c r="G70" i="9"/>
  <c r="E70" i="9"/>
  <c r="F70" i="9"/>
  <c r="G34" i="9"/>
  <c r="E34" i="9"/>
  <c r="F34" i="9"/>
  <c r="E47" i="9"/>
  <c r="G47" i="9"/>
  <c r="F47" i="9"/>
  <c r="G13" i="11"/>
  <c r="J13" i="8"/>
  <c r="D13" i="68"/>
  <c r="L31" i="109"/>
  <c r="I11" i="7"/>
  <c r="F11" i="11"/>
  <c r="I10" i="11"/>
  <c r="I11" i="8"/>
  <c r="E13" i="68"/>
  <c r="M31" i="109"/>
  <c r="C13" i="9"/>
  <c r="E20" i="9"/>
  <c r="G20" i="9"/>
  <c r="F20" i="9"/>
  <c r="G125" i="9"/>
  <c r="F125" i="9"/>
  <c r="E125" i="9"/>
  <c r="C12" i="9"/>
  <c r="G19" i="9"/>
  <c r="F19" i="9"/>
  <c r="E19" i="9"/>
  <c r="C119" i="9"/>
  <c r="C118" i="9" s="1"/>
  <c r="F120" i="9"/>
  <c r="G120" i="9"/>
  <c r="E120" i="9"/>
  <c r="G55" i="9"/>
  <c r="F55" i="9"/>
  <c r="E55" i="9"/>
  <c r="F101" i="9"/>
  <c r="G101" i="9"/>
  <c r="E101" i="9"/>
  <c r="F26" i="9"/>
  <c r="E26" i="9"/>
  <c r="G26" i="9"/>
  <c r="G51" i="9"/>
  <c r="F51" i="9"/>
  <c r="E51" i="9"/>
  <c r="C10" i="11"/>
  <c r="K13" i="109"/>
  <c r="F11" i="7"/>
  <c r="D16" i="109"/>
  <c r="D16" i="65" s="1"/>
  <c r="J16" i="70" s="1"/>
  <c r="K16" i="70" s="1"/>
  <c r="D11" i="7"/>
  <c r="G12" i="11"/>
  <c r="J12" i="8"/>
  <c r="C13" i="68"/>
  <c r="D31" i="109"/>
  <c r="J10" i="38"/>
  <c r="R30" i="70"/>
  <c r="E104" i="9"/>
  <c r="G104" i="9"/>
  <c r="F104" i="9"/>
  <c r="C67" i="9"/>
  <c r="C60" i="9"/>
  <c r="G68" i="9"/>
  <c r="F68" i="9"/>
  <c r="E68" i="9"/>
  <c r="E33" i="9"/>
  <c r="G33" i="9"/>
  <c r="F33" i="9"/>
  <c r="C16" i="9"/>
  <c r="G23" i="9"/>
  <c r="F23" i="9"/>
  <c r="E23" i="9"/>
  <c r="G58" i="9"/>
  <c r="F58" i="9"/>
  <c r="E58" i="9"/>
  <c r="F10" i="47"/>
  <c r="K43" i="109"/>
  <c r="E12" i="11"/>
  <c r="H12" i="8"/>
  <c r="R36" i="70"/>
  <c r="G105" i="9"/>
  <c r="F105" i="9"/>
  <c r="E105" i="9"/>
  <c r="G54" i="9"/>
  <c r="F54" i="9"/>
  <c r="E54" i="9"/>
  <c r="O37" i="109"/>
  <c r="D37" i="65"/>
  <c r="M43" i="109"/>
  <c r="H10" i="47"/>
  <c r="K31" i="109"/>
  <c r="F13" i="68"/>
  <c r="G122" i="9"/>
  <c r="E122" i="9"/>
  <c r="F122" i="9"/>
  <c r="C61" i="9"/>
  <c r="G69" i="9"/>
  <c r="F69" i="9"/>
  <c r="E69" i="9"/>
  <c r="C38" i="9"/>
  <c r="F39" i="9"/>
  <c r="E39" i="9"/>
  <c r="G39" i="9"/>
  <c r="C95" i="9"/>
  <c r="E96" i="9"/>
  <c r="G96" i="9"/>
  <c r="F96" i="9"/>
  <c r="C17" i="9"/>
  <c r="C11" i="9"/>
  <c r="E18" i="9"/>
  <c r="G18" i="9"/>
  <c r="F18" i="9"/>
  <c r="C45" i="9"/>
  <c r="G46" i="9"/>
  <c r="E46" i="9"/>
  <c r="F46" i="9"/>
  <c r="F37" i="9"/>
  <c r="E37" i="9"/>
  <c r="G37" i="9"/>
  <c r="G16" i="11"/>
  <c r="J16" i="8"/>
  <c r="K10" i="22"/>
  <c r="K25" i="109"/>
  <c r="J33" i="7"/>
  <c r="G121" i="9"/>
  <c r="E121" i="9"/>
  <c r="F121" i="9"/>
  <c r="J34" i="7"/>
  <c r="C17" i="109"/>
  <c r="C52" i="9"/>
  <c r="F53" i="9"/>
  <c r="G53" i="9"/>
  <c r="E53" i="9"/>
  <c r="M10" i="22"/>
  <c r="F62" i="9" l="1"/>
  <c r="G62" i="9"/>
  <c r="E62" i="9"/>
  <c r="M51" i="109"/>
  <c r="E15" i="68"/>
  <c r="E16" i="9"/>
  <c r="F16" i="9"/>
  <c r="G16" i="9"/>
  <c r="C16" i="8"/>
  <c r="E16" i="8" s="1"/>
  <c r="G13" i="8"/>
  <c r="M42" i="109"/>
  <c r="E14" i="68"/>
  <c r="G10" i="13"/>
  <c r="H10" i="8"/>
  <c r="E11" i="8"/>
  <c r="G11" i="13"/>
  <c r="I11" i="13" s="1"/>
  <c r="G65" i="9"/>
  <c r="F65" i="9"/>
  <c r="E65" i="9"/>
  <c r="E16" i="109"/>
  <c r="E16" i="65" s="1"/>
  <c r="P16" i="70" s="1"/>
  <c r="Q16" i="70" s="1"/>
  <c r="E11" i="7"/>
  <c r="F13" i="8"/>
  <c r="K37" i="65"/>
  <c r="J36" i="70"/>
  <c r="K36" i="70" s="1"/>
  <c r="G13" i="9"/>
  <c r="E13" i="9"/>
  <c r="F13" i="9"/>
  <c r="C13" i="8"/>
  <c r="F12" i="13" s="1"/>
  <c r="H12" i="13" s="1"/>
  <c r="J10" i="8"/>
  <c r="G11" i="8"/>
  <c r="F16" i="8"/>
  <c r="E13" i="8"/>
  <c r="G12" i="13"/>
  <c r="I12" i="13" s="1"/>
  <c r="D31" i="65"/>
  <c r="O31" i="109"/>
  <c r="E12" i="68"/>
  <c r="M22" i="109"/>
  <c r="F12" i="68"/>
  <c r="K22" i="109"/>
  <c r="F14" i="68"/>
  <c r="K42" i="109"/>
  <c r="G16" i="8"/>
  <c r="C10" i="9"/>
  <c r="G11" i="9"/>
  <c r="E11" i="9"/>
  <c r="F11" i="9"/>
  <c r="C11" i="8"/>
  <c r="I10" i="8"/>
  <c r="F11" i="8"/>
  <c r="L12" i="109"/>
  <c r="G10" i="7"/>
  <c r="E61" i="9"/>
  <c r="F61" i="9"/>
  <c r="G61" i="9"/>
  <c r="M12" i="109"/>
  <c r="H10" i="7"/>
  <c r="D10" i="7"/>
  <c r="D12" i="109"/>
  <c r="D12" i="65" s="1"/>
  <c r="J12" i="70" s="1"/>
  <c r="K12" i="70" s="1"/>
  <c r="G12" i="9"/>
  <c r="E12" i="9"/>
  <c r="F12" i="9"/>
  <c r="C12" i="8"/>
  <c r="F11" i="13" s="1"/>
  <c r="H11" i="13" s="1"/>
  <c r="L16" i="70"/>
  <c r="N12" i="109"/>
  <c r="I10" i="7"/>
  <c r="N11" i="109" s="1"/>
  <c r="N10" i="109" s="1"/>
  <c r="J30" i="7"/>
  <c r="C16" i="109"/>
  <c r="C11" i="7"/>
  <c r="C59" i="9"/>
  <c r="G60" i="9"/>
  <c r="E60" i="9"/>
  <c r="F60" i="9"/>
  <c r="O17" i="109"/>
  <c r="C17" i="65"/>
  <c r="F10" i="7"/>
  <c r="K12" i="109"/>
  <c r="J30" i="70" l="1"/>
  <c r="K30" i="70" s="1"/>
  <c r="K31" i="65"/>
  <c r="E10" i="7"/>
  <c r="E11" i="109" s="1"/>
  <c r="E12" i="109"/>
  <c r="E12" i="65" s="1"/>
  <c r="P12" i="70" s="1"/>
  <c r="Q12" i="70" s="1"/>
  <c r="R16" i="70"/>
  <c r="F11" i="68"/>
  <c r="F10" i="68" s="1"/>
  <c r="K11" i="109"/>
  <c r="K10" i="109" s="1"/>
  <c r="D17" i="70"/>
  <c r="E17" i="70" s="1"/>
  <c r="K17" i="65"/>
  <c r="F12" i="8"/>
  <c r="E11" i="68"/>
  <c r="E10" i="68" s="1"/>
  <c r="M11" i="109"/>
  <c r="M10" i="109" s="1"/>
  <c r="O16" i="109"/>
  <c r="C16" i="65"/>
  <c r="E12" i="8"/>
  <c r="D11" i="109"/>
  <c r="C11" i="68"/>
  <c r="C10" i="68" s="1"/>
  <c r="L11" i="109"/>
  <c r="L10" i="109" s="1"/>
  <c r="D11" i="68"/>
  <c r="D10" i="68" s="1"/>
  <c r="G12" i="8"/>
  <c r="J11" i="7"/>
  <c r="C12" i="109"/>
  <c r="C10" i="7"/>
  <c r="L12" i="70"/>
  <c r="C10" i="8"/>
  <c r="F10" i="13"/>
  <c r="L36" i="70"/>
  <c r="G15" i="13"/>
  <c r="I15" i="13" s="1"/>
  <c r="I10" i="13"/>
  <c r="O12" i="109" l="1"/>
  <c r="C12" i="65"/>
  <c r="F17" i="70"/>
  <c r="D11" i="65"/>
  <c r="J11" i="70" s="1"/>
  <c r="D10" i="109"/>
  <c r="D10" i="65" s="1"/>
  <c r="F15" i="13"/>
  <c r="H15" i="13" s="1"/>
  <c r="H10" i="13"/>
  <c r="R12" i="70"/>
  <c r="E11" i="65"/>
  <c r="P11" i="70" s="1"/>
  <c r="E10" i="109"/>
  <c r="E10" i="65" s="1"/>
  <c r="D16" i="70"/>
  <c r="E16" i="70" s="1"/>
  <c r="K16" i="65"/>
  <c r="C11" i="109"/>
  <c r="J10" i="7"/>
  <c r="L30" i="70"/>
  <c r="K11" i="70" l="1"/>
  <c r="J10" i="70"/>
  <c r="K10" i="70" s="1"/>
  <c r="O11" i="109"/>
  <c r="C11" i="65"/>
  <c r="C10" i="109"/>
  <c r="F16" i="70"/>
  <c r="K12" i="65"/>
  <c r="D12" i="70"/>
  <c r="E12" i="70" s="1"/>
  <c r="P10" i="70"/>
  <c r="Q10" i="70" s="1"/>
  <c r="Q11" i="70"/>
  <c r="F12" i="70" l="1"/>
  <c r="R10" i="70"/>
  <c r="R11" i="70"/>
  <c r="D11" i="70"/>
  <c r="K11" i="65"/>
  <c r="O10" i="109"/>
  <c r="C10" i="65"/>
  <c r="K10" i="65" s="1"/>
  <c r="L10" i="70"/>
  <c r="L11" i="70"/>
  <c r="E11" i="70" l="1"/>
  <c r="D10" i="70"/>
  <c r="K71" i="65"/>
  <c r="K72" i="65"/>
  <c r="E10" i="70" l="1"/>
  <c r="G34" i="73"/>
  <c r="F11" i="70"/>
  <c r="H11" i="70"/>
  <c r="G35" i="73" l="1"/>
  <c r="I34" i="73"/>
  <c r="J34" i="73" s="1"/>
  <c r="H45" i="70"/>
  <c r="T49" i="70"/>
  <c r="T42" i="70"/>
  <c r="H46" i="70"/>
  <c r="T43" i="70"/>
  <c r="T44" i="70"/>
  <c r="H65" i="70"/>
  <c r="N42" i="70"/>
  <c r="T45" i="70"/>
  <c r="H44" i="70"/>
  <c r="N43" i="70"/>
  <c r="T54" i="70"/>
  <c r="H42" i="70"/>
  <c r="H48" i="70"/>
  <c r="N51" i="70"/>
  <c r="T52" i="70"/>
  <c r="T50" i="70"/>
  <c r="N44" i="70"/>
  <c r="H38" i="70"/>
  <c r="N45" i="70"/>
  <c r="H43" i="70"/>
  <c r="N50" i="70"/>
  <c r="H37" i="70"/>
  <c r="N54" i="70"/>
  <c r="N25" i="70"/>
  <c r="H41" i="70"/>
  <c r="Z28" i="73"/>
  <c r="T25" i="70"/>
  <c r="T19" i="70"/>
  <c r="Z27" i="73"/>
  <c r="T14" i="70"/>
  <c r="T61" i="70"/>
  <c r="N52" i="70"/>
  <c r="H30" i="70"/>
  <c r="N61" i="70"/>
  <c r="T60" i="70"/>
  <c r="Z10" i="73"/>
  <c r="N15" i="70"/>
  <c r="T24" i="70"/>
  <c r="T22" i="70"/>
  <c r="N19" i="70"/>
  <c r="H29" i="70"/>
  <c r="T18" i="70"/>
  <c r="H25" i="70"/>
  <c r="T20" i="70"/>
  <c r="N59" i="70"/>
  <c r="N18" i="70"/>
  <c r="T59" i="70"/>
  <c r="T34" i="70"/>
  <c r="N60" i="70"/>
  <c r="N24" i="70"/>
  <c r="T15" i="70"/>
  <c r="N20" i="70"/>
  <c r="T41" i="70"/>
  <c r="T46" i="70"/>
  <c r="H24" i="70"/>
  <c r="N14" i="70"/>
  <c r="H11" i="73"/>
  <c r="H10" i="73"/>
  <c r="N10" i="73"/>
  <c r="T32" i="70"/>
  <c r="H20" i="70"/>
  <c r="N22" i="70"/>
  <c r="N13" i="73"/>
  <c r="N13" i="70"/>
  <c r="H26" i="70"/>
  <c r="T13" i="70"/>
  <c r="H61" i="70"/>
  <c r="H60" i="70"/>
  <c r="H53" i="70"/>
  <c r="N31" i="70"/>
  <c r="N32" i="70"/>
  <c r="H50" i="70"/>
  <c r="H23" i="70"/>
  <c r="H59" i="70"/>
  <c r="H14" i="70"/>
  <c r="H15" i="70"/>
  <c r="H19" i="70"/>
  <c r="H18" i="70"/>
  <c r="H22" i="70"/>
  <c r="H63" i="70"/>
  <c r="N46" i="70"/>
  <c r="H13" i="70"/>
  <c r="N41" i="70"/>
  <c r="T17" i="70"/>
  <c r="N17" i="70"/>
  <c r="N33" i="70"/>
  <c r="T30" i="70"/>
  <c r="T36" i="70"/>
  <c r="N16" i="70"/>
  <c r="N12" i="70"/>
  <c r="N36" i="70"/>
  <c r="T16" i="70"/>
  <c r="H17" i="70"/>
  <c r="N30" i="70"/>
  <c r="T12" i="70"/>
  <c r="H16" i="70"/>
  <c r="H12" i="70"/>
  <c r="N10" i="70"/>
  <c r="N11" i="70"/>
  <c r="T11" i="70"/>
  <c r="T10" i="70"/>
  <c r="F10" i="70"/>
  <c r="G10" i="70"/>
  <c r="H10" i="70"/>
  <c r="I35" i="73" l="1"/>
  <c r="J35" i="73" s="1"/>
  <c r="G65" i="70"/>
  <c r="S54" i="70"/>
  <c r="M51" i="70"/>
  <c r="S52" i="70"/>
  <c r="S50" i="70"/>
  <c r="G38" i="70"/>
  <c r="Y27" i="73"/>
  <c r="M54" i="70"/>
  <c r="M50" i="70"/>
  <c r="G37" i="70"/>
  <c r="S19" i="70"/>
  <c r="M25" i="70"/>
  <c r="Y28" i="73"/>
  <c r="S25" i="70"/>
  <c r="S14" i="70"/>
  <c r="S61" i="70"/>
  <c r="G30" i="70"/>
  <c r="M61" i="70"/>
  <c r="M52" i="70"/>
  <c r="S22" i="70"/>
  <c r="S60" i="70"/>
  <c r="M15" i="70"/>
  <c r="S24" i="70"/>
  <c r="Y10" i="73"/>
  <c r="G24" i="70"/>
  <c r="M19" i="70"/>
  <c r="M24" i="70"/>
  <c r="M59" i="70"/>
  <c r="S18" i="70"/>
  <c r="S34" i="70"/>
  <c r="G29" i="70"/>
  <c r="S20" i="70"/>
  <c r="S59" i="70"/>
  <c r="G25" i="70"/>
  <c r="M14" i="70"/>
  <c r="M60" i="70"/>
  <c r="M20" i="70"/>
  <c r="M18" i="70"/>
  <c r="S15" i="70"/>
  <c r="G26" i="70"/>
  <c r="G11" i="73"/>
  <c r="S13" i="70"/>
  <c r="G20" i="70"/>
  <c r="G10" i="73"/>
  <c r="M22" i="70"/>
  <c r="M10" i="73"/>
  <c r="S32" i="70"/>
  <c r="M13" i="70"/>
  <c r="M13" i="73"/>
  <c r="M32" i="70"/>
  <c r="G61" i="70"/>
  <c r="G60" i="70"/>
  <c r="M31" i="70"/>
  <c r="G53" i="70"/>
  <c r="G50" i="70"/>
  <c r="G15" i="70"/>
  <c r="G59" i="70"/>
  <c r="G23" i="70"/>
  <c r="G19" i="70"/>
  <c r="G14" i="70"/>
  <c r="G18" i="70"/>
  <c r="G22" i="70"/>
  <c r="G63" i="70"/>
  <c r="G13" i="70"/>
  <c r="S17" i="70"/>
  <c r="M17" i="70"/>
  <c r="M33" i="70"/>
  <c r="S36" i="70"/>
  <c r="S30" i="70"/>
  <c r="M16" i="70"/>
  <c r="M12" i="70"/>
  <c r="S16" i="70"/>
  <c r="M36" i="70"/>
  <c r="G17" i="70"/>
  <c r="M30" i="70"/>
  <c r="S12" i="70"/>
  <c r="G16" i="70"/>
  <c r="G12" i="70"/>
  <c r="S10" i="70"/>
  <c r="S11" i="70"/>
  <c r="M10" i="70"/>
  <c r="M11" i="70"/>
  <c r="G11" i="70"/>
</calcChain>
</file>

<file path=xl/sharedStrings.xml><?xml version="1.0" encoding="utf-8"?>
<sst xmlns="http://schemas.openxmlformats.org/spreadsheetml/2006/main" count="19793" uniqueCount="2462">
  <si>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</si>
  <si>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</si>
  <si>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</si>
  <si>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</si>
  <si>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</si>
  <si>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</si>
  <si>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</si>
  <si>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</si>
  <si>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</si>
  <si>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</si>
  <si>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</si>
  <si>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</si>
  <si>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</si>
  <si>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</si>
  <si>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</si>
  <si>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</si>
  <si>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</si>
  <si>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</si>
  <si>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</si>
  <si>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</si>
  <si>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</si>
  <si>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</si>
  <si>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</si>
  <si>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</si>
  <si>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</si>
  <si>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</si>
  <si>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</si>
  <si>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</si>
  <si>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</si>
  <si>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</si>
  <si>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</si>
  <si>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</si>
  <si>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</si>
  <si>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</si>
  <si>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</si>
  <si>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</si>
  <si>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</si>
  <si>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</si>
  <si>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</si>
  <si>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</si>
  <si>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</si>
  <si>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</si>
  <si>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</si>
  <si>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</si>
  <si>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</si>
  <si>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</si>
  <si>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</si>
  <si>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</si>
  <si>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</si>
  <si>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</si>
  <si>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</si>
  <si>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</si>
  <si>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</si>
  <si>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</si>
  <si>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</si>
  <si>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</si>
  <si>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</si>
  <si>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</si>
  <si>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</si>
  <si>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</si>
  <si>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</si>
  <si>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</si>
  <si>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</si>
  <si>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</si>
  <si>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</si>
  <si>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</si>
  <si>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</si>
  <si>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</si>
  <si>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</si>
  <si>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</si>
  <si>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</si>
  <si>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</si>
  <si>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</si>
  <si>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</si>
  <si>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</si>
  <si>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</si>
  <si>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</si>
  <si>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</si>
  <si>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</si>
  <si>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</si>
  <si>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</si>
  <si>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</si>
  <si>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</si>
  <si>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</si>
  <si>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</si>
  <si>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</si>
  <si>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</si>
  <si>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</si>
  <si>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</si>
  <si>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</si>
  <si>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</si>
  <si>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</si>
  <si>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</si>
  <si>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</si>
  <si>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</si>
  <si>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</si>
  <si>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</si>
  <si>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</si>
  <si>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</si>
  <si>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</si>
  <si>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</si>
  <si>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</si>
  <si>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</si>
  <si>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</si>
  <si>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</si>
  <si>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</si>
  <si>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</si>
  <si>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</si>
  <si>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</si>
  <si>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</si>
  <si>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</si>
  <si>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</si>
  <si>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</si>
  <si>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</si>
  <si>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</si>
  <si>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</si>
  <si>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</si>
  <si>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</si>
  <si>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</si>
  <si>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</si>
  <si>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</si>
  <si>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</si>
  <si>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</si>
  <si>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</si>
  <si>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</si>
  <si>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</si>
  <si>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</si>
  <si>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</si>
  <si>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</si>
  <si>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</si>
  <si>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</si>
  <si>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</si>
  <si>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</si>
  <si>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</si>
  <si>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</si>
  <si>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</si>
  <si>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</si>
  <si>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</si>
  <si>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</si>
  <si>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</si>
  <si>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</si>
  <si>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</si>
  <si>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</si>
  <si>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</si>
  <si>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</si>
  <si>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</si>
  <si>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</si>
  <si>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</si>
  <si>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</si>
  <si>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</si>
  <si>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</si>
  <si>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</si>
  <si>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</si>
  <si>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</si>
  <si>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</si>
  <si>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</si>
  <si>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</si>
  <si>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</si>
  <si>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</si>
  <si>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</si>
  <si>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</si>
  <si>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</si>
  <si>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</si>
  <si>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</si>
  <si>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</si>
  <si>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</si>
  <si>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</si>
  <si>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</si>
  <si>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</si>
  <si>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</si>
  <si>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</si>
  <si>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</si>
  <si>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</si>
  <si>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</si>
  <si>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</si>
  <si>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</si>
  <si>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</si>
  <si>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</si>
  <si>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</si>
  <si>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</si>
  <si>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</si>
  <si>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</si>
  <si>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</si>
  <si>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</si>
  <si>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</si>
  <si>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</si>
  <si>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</si>
  <si>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</si>
  <si>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</si>
  <si>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</si>
  <si>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</si>
  <si>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</si>
  <si>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</si>
  <si>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</si>
  <si>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</si>
  <si>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</si>
  <si>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</si>
  <si>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</si>
  <si>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</si>
  <si>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</si>
  <si>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</si>
  <si>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</si>
  <si>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</si>
  <si>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</si>
  <si>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</si>
  <si>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</si>
  <si>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</si>
  <si>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</si>
  <si>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</si>
  <si>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</si>
  <si>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</si>
  <si>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</si>
  <si>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</si>
  <si>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</si>
  <si>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</si>
  <si>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</si>
  <si>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</si>
  <si>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</si>
  <si>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</si>
  <si>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</si>
  <si>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</si>
  <si>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</si>
  <si>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</si>
  <si>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</si>
  <si>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</si>
  <si>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</si>
  <si>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</si>
  <si>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</si>
  <si>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</si>
  <si>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</si>
  <si>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</si>
  <si>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</si>
  <si>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</si>
  <si>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</si>
  <si>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</si>
  <si>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</si>
  <si>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</si>
  <si>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</si>
  <si>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</si>
  <si>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</si>
  <si>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</si>
  <si>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</si>
  <si>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</si>
  <si>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</si>
  <si>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</si>
  <si>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</si>
  <si>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</si>
  <si>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</si>
  <si>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</si>
  <si>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</si>
  <si>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</si>
  <si>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</si>
  <si>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</si>
  <si>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</si>
  <si>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</si>
  <si>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</si>
  <si>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</si>
  <si>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</si>
  <si>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</si>
  <si>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</si>
  <si>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</si>
  <si>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</si>
  <si>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</si>
  <si>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</si>
  <si>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</si>
  <si>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</si>
  <si>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</si>
  <si>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</si>
  <si>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</si>
  <si>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</si>
  <si>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</si>
  <si>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</si>
  <si>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</si>
  <si>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</si>
  <si>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</si>
  <si>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</si>
  <si>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</si>
  <si>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</si>
  <si>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</si>
  <si>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</si>
  <si>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</si>
  <si>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</si>
  <si>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</si>
  <si>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</si>
  <si>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</si>
  <si>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</si>
  <si>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</si>
  <si>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</si>
  <si>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</si>
  <si>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</si>
  <si>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</si>
  <si>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</si>
  <si>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</si>
  <si>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</si>
  <si>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</si>
  <si>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</si>
  <si>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</si>
  <si>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</si>
  <si>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</si>
  <si>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</si>
  <si>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</si>
  <si>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</si>
  <si>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</si>
  <si>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</si>
  <si>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</si>
  <si>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</si>
  <si>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</si>
  <si>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</si>
  <si>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</si>
  <si>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</si>
  <si>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</si>
  <si>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</si>
  <si>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</si>
  <si>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</si>
  <si>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</si>
  <si>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</si>
  <si>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</si>
  <si>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</si>
  <si>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</si>
  <si>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</si>
  <si>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</si>
  <si>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</si>
  <si>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</si>
  <si>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</si>
  <si>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</si>
  <si>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</si>
  <si>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</si>
  <si>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</si>
  <si>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</si>
  <si>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</si>
  <si>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</si>
  <si>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</si>
  <si>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</si>
  <si>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</si>
  <si>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</si>
  <si>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</si>
  <si>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</si>
  <si>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</si>
  <si>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</si>
  <si>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</si>
  <si>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</si>
  <si>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</si>
  <si>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</si>
  <si>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</si>
  <si>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</si>
  <si>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</si>
  <si>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</si>
  <si>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</si>
  <si>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</si>
  <si>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</si>
  <si>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</si>
  <si>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</si>
  <si>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</si>
  <si>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</si>
  <si>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</si>
  <si>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</si>
  <si>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</si>
  <si>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</si>
  <si>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</si>
  <si>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</si>
  <si>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</si>
  <si>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</si>
  <si>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</si>
  <si>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</si>
  <si>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</si>
  <si>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</si>
  <si>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</si>
  <si>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</si>
  <si>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</si>
  <si>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</si>
  <si>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</si>
  <si>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</si>
  <si>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</si>
  <si>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</si>
  <si>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</si>
  <si>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</si>
  <si>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</si>
  <si>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</si>
  <si>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</si>
  <si>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</si>
  <si>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</si>
  <si>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</si>
  <si>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</si>
  <si>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</si>
  <si>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</si>
  <si>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</si>
  <si>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</si>
  <si>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</si>
  <si>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</si>
  <si>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</si>
  <si>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</si>
  <si>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</si>
  <si>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</si>
  <si>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</si>
  <si>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</si>
  <si>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</si>
  <si>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</si>
  <si>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</si>
  <si>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</si>
  <si>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</si>
  <si>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</si>
  <si>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</si>
  <si>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</si>
  <si>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</si>
  <si>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</si>
  <si>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</si>
  <si>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</si>
  <si>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</si>
  <si>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</si>
  <si>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</si>
  <si>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</si>
  <si>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</si>
  <si>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</si>
  <si>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</si>
  <si>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</si>
  <si>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</si>
  <si>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</si>
  <si>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</si>
  <si>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</si>
  <si>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</si>
  <si>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</si>
  <si>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</si>
  <si>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</si>
  <si>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</si>
  <si>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</si>
  <si>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</si>
  <si>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</si>
  <si>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</si>
  <si>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</si>
  <si>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</si>
  <si>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</si>
  <si>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</si>
  <si>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</si>
  <si>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</si>
  <si>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</si>
  <si>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</si>
  <si>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</si>
  <si>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</si>
  <si>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</si>
  <si>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</si>
  <si>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</si>
  <si>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</si>
  <si>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</si>
  <si>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</si>
  <si>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</si>
  <si>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</si>
  <si>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</si>
  <si>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</si>
  <si>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</si>
  <si>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</si>
  <si>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</si>
  <si>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</si>
  <si>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</si>
  <si>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</si>
  <si>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</si>
  <si>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</si>
  <si>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</si>
  <si>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</si>
  <si>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</si>
  <si>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</si>
  <si>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</si>
  <si>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</si>
  <si>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</si>
  <si>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</si>
  <si>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</si>
  <si>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</si>
  <si>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</si>
  <si>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</si>
  <si>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</si>
  <si>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</si>
  <si>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</si>
  <si>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</si>
  <si>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</si>
  <si>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</si>
  <si>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</si>
  <si>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</si>
  <si>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</si>
  <si>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</si>
  <si>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</si>
  <si>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</si>
  <si>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</si>
  <si>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</si>
  <si>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</si>
  <si>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</si>
  <si>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</si>
  <si>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</si>
  <si>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</si>
  <si>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</si>
  <si>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</si>
  <si>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</si>
  <si>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</si>
  <si>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</si>
  <si>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</si>
  <si>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</si>
  <si>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</si>
  <si>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</si>
  <si>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</si>
  <si>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</si>
  <si>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</si>
  <si>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</si>
  <si>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</si>
  <si>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</si>
  <si>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</si>
  <si>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</si>
  <si>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</si>
  <si>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</si>
  <si>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</si>
  <si>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</si>
  <si>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</si>
  <si>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</si>
  <si>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</si>
  <si>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</si>
  <si>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</si>
  <si>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</si>
  <si>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</si>
  <si>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</si>
  <si>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</si>
  <si>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</si>
  <si>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</si>
  <si>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</si>
  <si>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</si>
  <si>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</si>
  <si>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</si>
  <si>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</si>
  <si>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</si>
  <si>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</si>
  <si>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</si>
  <si>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</si>
  <si>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</si>
  <si>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</si>
  <si>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</si>
  <si>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</si>
  <si>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</si>
  <si>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</si>
  <si>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</si>
  <si>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</si>
  <si>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</si>
  <si>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</si>
  <si>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</si>
  <si>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</si>
  <si>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</si>
  <si>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</si>
  <si>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</si>
  <si>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</si>
  <si>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</si>
  <si>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</si>
  <si>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</si>
  <si>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</si>
  <si>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</si>
  <si>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</si>
  <si>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</si>
  <si>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</si>
  <si>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</si>
  <si>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</si>
  <si>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</si>
  <si>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</si>
  <si>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</si>
  <si>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</si>
  <si>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</si>
  <si>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</si>
  <si>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</si>
  <si>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</si>
  <si>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</si>
  <si>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</si>
  <si>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</si>
  <si>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</si>
  <si>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</si>
  <si>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</si>
  <si>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</si>
  <si>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</si>
  <si>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</si>
  <si>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</si>
  <si>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</si>
  <si>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</si>
  <si>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</si>
  <si>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</si>
  <si>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</si>
  <si>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</si>
  <si>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</si>
  <si>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</si>
  <si>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</si>
  <si>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</si>
  <si>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</si>
  <si>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</si>
  <si>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</si>
  <si>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</si>
  <si>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</si>
  <si>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</si>
  <si>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</si>
  <si>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</si>
  <si>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</si>
  <si>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</si>
  <si>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</si>
  <si>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</si>
  <si>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</si>
  <si>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</si>
  <si>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</si>
  <si>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</si>
  <si>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</si>
  <si>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</si>
  <si>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</si>
  <si>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</si>
  <si>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</si>
  <si>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</si>
  <si>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</si>
  <si>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</si>
  <si>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</si>
  <si>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</si>
  <si>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</si>
  <si>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</si>
  <si>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</si>
  <si>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</si>
  <si>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</si>
  <si>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</si>
  <si>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</si>
  <si>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</si>
  <si>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</si>
  <si>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</si>
  <si>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</si>
  <si>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</si>
  <si>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</si>
  <si>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</si>
  <si>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</si>
  <si>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</si>
  <si>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</si>
  <si>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</si>
  <si>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</si>
  <si>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</si>
  <si>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</si>
  <si>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</si>
  <si>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</si>
  <si>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</si>
  <si>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</si>
  <si>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</si>
  <si>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</si>
  <si>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</si>
  <si>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</si>
  <si>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</si>
  <si>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</si>
  <si>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</si>
  <si>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</si>
  <si>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</si>
  <si>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</si>
  <si>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</si>
  <si>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</si>
  <si>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</si>
  <si>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</si>
  <si>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</si>
  <si>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</si>
  <si>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</si>
  <si>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</si>
  <si>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</si>
  <si>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</si>
  <si>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</si>
  <si>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</si>
  <si>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</si>
  <si>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</si>
  <si>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</si>
  <si>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</si>
  <si>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</si>
  <si>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</si>
  <si>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</si>
  <si>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</si>
  <si>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</si>
  <si>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</si>
  <si>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</si>
  <si>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</si>
  <si>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</si>
  <si>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</si>
  <si>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</si>
  <si>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</si>
  <si>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</si>
  <si>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</si>
  <si>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</si>
  <si>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</si>
  <si>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</si>
  <si>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</si>
  <si>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</si>
  <si>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</si>
  <si>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</si>
  <si>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</si>
  <si>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</si>
  <si>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</si>
  <si>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</si>
  <si>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</si>
  <si>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</si>
  <si>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</si>
  <si>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</si>
  <si>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</si>
  <si>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</si>
  <si>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</si>
  <si>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</si>
  <si>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</si>
  <si>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</si>
  <si>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</si>
  <si>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</si>
  <si>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</si>
  <si>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</si>
  <si>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</si>
  <si>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</si>
  <si>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</si>
  <si>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</si>
  <si>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</si>
  <si>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</si>
  <si>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</si>
  <si>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</si>
  <si>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</si>
  <si>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</si>
  <si>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</si>
  <si>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</si>
  <si>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</si>
  <si>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</si>
  <si>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</si>
  <si>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</si>
  <si>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</si>
  <si>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</si>
  <si>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</si>
  <si>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</si>
  <si>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</si>
  <si>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</si>
  <si>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</si>
  <si>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</si>
  <si>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</si>
  <si>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</si>
  <si>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</si>
  <si>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</si>
  <si>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</si>
  <si>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</si>
  <si>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</si>
  <si>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</si>
  <si>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</si>
  <si>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</si>
  <si>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</si>
  <si>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</si>
  <si>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</si>
  <si>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</si>
  <si>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</si>
  <si>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</si>
  <si>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</si>
  <si>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</si>
  <si>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</si>
  <si>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</si>
  <si>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</si>
  <si>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</si>
  <si>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</si>
  <si>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</si>
  <si>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</si>
  <si>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</si>
  <si>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</si>
  <si>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</si>
  <si>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</si>
  <si>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</si>
  <si>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</si>
  <si>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</si>
  <si>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</si>
  <si>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</si>
  <si>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</si>
  <si>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</si>
  <si>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</si>
  <si>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</si>
  <si>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</si>
  <si>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</si>
  <si>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</si>
  <si>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</si>
  <si>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</si>
  <si>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</si>
  <si>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</si>
  <si>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</si>
  <si>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</si>
  <si>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</si>
  <si>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</si>
  <si>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</si>
  <si>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</si>
  <si>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</si>
  <si>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</si>
  <si>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</si>
  <si>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</si>
  <si>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</si>
  <si>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</si>
  <si>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</si>
  <si>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</si>
  <si>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</si>
  <si>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</si>
  <si>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</si>
  <si>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</si>
  <si>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</si>
  <si>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</si>
  <si>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</si>
  <si>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</si>
  <si>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</si>
  <si>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</si>
  <si>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</si>
  <si>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</si>
  <si>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</si>
  <si>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</si>
  <si>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</si>
  <si>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</si>
  <si>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</si>
  <si>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</si>
  <si>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</si>
  <si>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</si>
  <si>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</si>
  <si>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</si>
  <si>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</si>
  <si>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</si>
  <si>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</si>
  <si>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</si>
  <si>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</si>
  <si>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</si>
  <si>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</si>
  <si>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</si>
  <si>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</si>
  <si>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</si>
  <si>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</si>
  <si>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</si>
  <si>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</si>
  <si>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</si>
  <si>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</si>
  <si>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</si>
  <si>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</si>
  <si>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</si>
  <si>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</si>
  <si>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</si>
  <si>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</si>
  <si>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</si>
  <si>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</si>
  <si>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</si>
  <si>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</si>
  <si>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</si>
  <si>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</si>
  <si>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</si>
  <si>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</si>
  <si>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</si>
  <si>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</si>
  <si>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</si>
  <si>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</si>
  <si>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</si>
  <si>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</si>
  <si>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</si>
  <si>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</si>
  <si>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</si>
  <si>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</si>
  <si>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</si>
  <si>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</si>
  <si>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</si>
  <si>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</si>
  <si>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</si>
  <si>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</si>
  <si>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</si>
  <si>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</si>
  <si>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</si>
  <si>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</si>
  <si>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</si>
  <si>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</si>
  <si>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</si>
  <si>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</si>
  <si>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</si>
  <si>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</si>
  <si>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</si>
  <si>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</si>
  <si>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</si>
  <si>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</si>
  <si>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</si>
  <si>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</si>
  <si>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</si>
  <si>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</si>
  <si>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</si>
  <si>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</si>
  <si>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</si>
  <si>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</si>
  <si>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</si>
  <si>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</si>
  <si>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</si>
  <si>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</si>
  <si>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</si>
  <si>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</si>
  <si>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</si>
  <si>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</si>
  <si>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</si>
  <si>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</si>
  <si>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</si>
  <si>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</si>
  <si>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</si>
  <si>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</si>
  <si>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</si>
  <si>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</si>
  <si>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</si>
  <si>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</si>
  <si>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</si>
  <si>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</si>
  <si>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</si>
  <si>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</si>
  <si>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</si>
  <si>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</si>
  <si>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</si>
  <si>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</si>
  <si>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</si>
  <si>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</si>
  <si>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</si>
  <si>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</si>
  <si>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</si>
  <si>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</si>
  <si>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</si>
  <si>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</si>
  <si>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</si>
  <si>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</si>
  <si>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</si>
  <si>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</si>
  <si>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</si>
  <si>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</si>
  <si>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</si>
  <si>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</si>
  <si>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</si>
  <si>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</si>
  <si>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</si>
  <si>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</si>
  <si>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</si>
  <si>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</si>
  <si>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</si>
  <si>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</si>
  <si>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</si>
  <si>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</si>
  <si>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</si>
  <si>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</si>
  <si>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</si>
  <si>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</si>
  <si>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</si>
  <si>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</si>
  <si>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</si>
  <si>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</si>
  <si>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</si>
  <si>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</si>
  <si>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</si>
  <si>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</si>
  <si>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</si>
  <si>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</si>
  <si>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</si>
  <si>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</si>
  <si>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</si>
  <si>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</si>
  <si>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</si>
  <si>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</si>
  <si>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</si>
  <si>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</si>
  <si>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</si>
  <si>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</si>
  <si>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</si>
  <si>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</si>
  <si>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</si>
  <si>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</si>
  <si>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</si>
  <si>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</si>
  <si>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</si>
  <si>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</si>
  <si>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</si>
  <si>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</si>
  <si>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</si>
  <si>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</si>
  <si>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</si>
  <si>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</si>
  <si>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</si>
  <si>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</si>
  <si>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</si>
  <si>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</si>
  <si>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</si>
  <si>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</si>
  <si>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</si>
  <si>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</si>
  <si>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</si>
  <si>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</si>
  <si>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</si>
  <si>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</si>
  <si>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</si>
  <si>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</si>
  <si>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</si>
  <si>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</si>
  <si>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</si>
  <si>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</si>
  <si>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</si>
  <si>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</si>
  <si>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</si>
  <si>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</si>
  <si>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</si>
  <si>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</si>
  <si>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</si>
  <si>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</si>
  <si>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</si>
  <si>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</si>
  <si>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</si>
  <si>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</si>
  <si>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</si>
  <si>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</si>
  <si>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</si>
  <si>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</si>
  <si>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</si>
  <si>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</si>
  <si>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</si>
  <si>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</si>
  <si>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</si>
  <si>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</si>
  <si>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</si>
  <si>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</si>
  <si>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</si>
  <si>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</si>
  <si>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</si>
  <si>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</si>
  <si>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</si>
  <si>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</si>
  <si>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</si>
  <si>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</si>
  <si>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</si>
  <si>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</si>
  <si>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</si>
  <si>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</si>
  <si>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</si>
  <si>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</si>
  <si>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</si>
  <si>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</si>
  <si>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</si>
  <si>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</si>
  <si>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</si>
  <si>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</si>
  <si>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</si>
  <si>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</si>
  <si>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</si>
  <si>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</si>
  <si>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</si>
  <si>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</si>
  <si>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</si>
  <si>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</si>
  <si>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</si>
  <si>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</si>
  <si>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</si>
  <si>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</si>
  <si>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</si>
  <si>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</si>
  <si>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</si>
  <si>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</si>
  <si>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</si>
  <si>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</si>
  <si>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</si>
  <si>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</si>
  <si>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</si>
  <si>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</si>
  <si>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</si>
  <si>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</si>
  <si>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</si>
  <si>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</si>
  <si>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</si>
  <si>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</si>
  <si>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</si>
  <si>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</si>
  <si>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</si>
  <si>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</si>
  <si>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</si>
  <si>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</si>
  <si>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</si>
  <si>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</si>
  <si>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</si>
  <si>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</si>
  <si>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</si>
  <si>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</si>
  <si>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</si>
  <si>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</si>
  <si>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</si>
  <si>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</si>
  <si>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</si>
  <si>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</si>
  <si>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</si>
  <si>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</si>
  <si>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</si>
  <si>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</si>
  <si>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</si>
  <si>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</si>
  <si>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</si>
  <si>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</si>
  <si>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</si>
  <si>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</si>
  <si>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</si>
  <si>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</si>
  <si>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</si>
  <si>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</si>
  <si>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</si>
  <si>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</si>
  <si>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</si>
  <si>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</si>
  <si>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</si>
  <si>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</si>
  <si>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</si>
  <si>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</si>
  <si>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</si>
  <si>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</si>
  <si>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</si>
  <si>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</si>
  <si>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</si>
  <si>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</si>
  <si>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</si>
  <si>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</si>
  <si>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</si>
  <si>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</si>
  <si>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</si>
  <si>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</si>
  <si>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</si>
  <si>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</si>
  <si>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</si>
  <si>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</si>
  <si>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</si>
  <si>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</si>
  <si>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</si>
  <si>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</si>
  <si>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</si>
  <si>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</si>
  <si>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</si>
  <si>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</si>
  <si>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</si>
  <si>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</si>
  <si>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</si>
  <si>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</si>
  <si>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</si>
  <si>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</si>
  <si>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</si>
  <si>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</si>
  <si>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</si>
  <si>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</si>
  <si>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</si>
  <si>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</si>
  <si>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</si>
  <si>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</si>
  <si>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</si>
  <si>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</si>
  <si>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</si>
  <si>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</si>
  <si>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</si>
  <si>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</si>
  <si>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</si>
  <si>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</si>
  <si>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</si>
  <si>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</si>
  <si>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</si>
  <si>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</si>
  <si>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</si>
  <si>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</si>
  <si>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</si>
  <si>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</si>
  <si>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</si>
  <si>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</si>
  <si>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</si>
  <si>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</si>
  <si>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</si>
  <si>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</si>
  <si>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</si>
  <si>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</si>
  <si>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</si>
  <si>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</si>
  <si>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</si>
  <si>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</si>
  <si>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</si>
  <si>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</si>
  <si>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</si>
  <si>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</si>
  <si>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</si>
  <si>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</si>
  <si>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</si>
  <si>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</si>
  <si>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</si>
  <si>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</si>
  <si>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</si>
  <si>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</si>
  <si>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</si>
  <si>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</si>
  <si>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</si>
  <si>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</si>
  <si>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</si>
  <si>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</si>
  <si>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</si>
  <si>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</si>
  <si>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</si>
  <si>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</si>
  <si>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</si>
  <si>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</si>
  <si>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</si>
  <si>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</si>
  <si>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</si>
  <si>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</si>
  <si>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</si>
  <si>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</si>
  <si>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</si>
  <si>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</si>
  <si>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</si>
  <si>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</si>
  <si>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</si>
  <si>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</si>
  <si>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</si>
  <si>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</si>
  <si>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</si>
  <si>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</si>
  <si>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</si>
  <si>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</si>
  <si>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</si>
  <si>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</si>
  <si>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</si>
  <si>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</si>
  <si>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</si>
  <si>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</si>
  <si>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</si>
  <si>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</si>
  <si>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</si>
  <si>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</si>
  <si>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</si>
  <si>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</si>
  <si>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</si>
  <si>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</si>
  <si>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</si>
  <si>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</si>
  <si>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</si>
  <si>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</si>
  <si>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</si>
  <si>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</si>
  <si>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</si>
  <si>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</si>
  <si>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</si>
  <si>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</si>
  <si>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</si>
  <si>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</si>
  <si>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</si>
  <si>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</si>
  <si>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</si>
  <si>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</si>
  <si>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</si>
  <si>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</si>
  <si>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</si>
  <si>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</si>
  <si>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</si>
  <si>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</si>
  <si>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</si>
  <si>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</si>
  <si>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</si>
  <si>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</si>
  <si>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</si>
  <si>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</si>
  <si>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</si>
  <si>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</si>
  <si>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</si>
  <si>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</si>
  <si>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</si>
  <si>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</si>
  <si>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</si>
  <si>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</si>
  <si>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</si>
  <si>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</si>
  <si>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</si>
  <si>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</si>
  <si>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</si>
  <si>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</si>
  <si>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</si>
  <si>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</si>
  <si>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</si>
  <si>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</si>
  <si>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</si>
  <si>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</si>
  <si>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</si>
  <si>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</si>
  <si>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</si>
  <si>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</si>
  <si>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</si>
  <si>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</si>
  <si>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</si>
  <si>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</si>
  <si>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</si>
  <si>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</si>
  <si>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</si>
  <si>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</si>
  <si>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</si>
  <si>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</si>
  <si>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</si>
  <si>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</si>
  <si>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</si>
  <si>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</si>
  <si>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</si>
  <si>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</si>
  <si>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</si>
  <si>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</si>
  <si>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</si>
  <si>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</si>
  <si>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</si>
  <si>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</si>
  <si>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</si>
  <si>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</si>
  <si>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</si>
  <si>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</si>
  <si>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</si>
  <si>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</si>
  <si>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</si>
  <si>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</si>
  <si>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</si>
  <si>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</si>
  <si>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</si>
  <si>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</si>
  <si>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</si>
  <si>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</si>
  <si>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</si>
  <si>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</si>
  <si>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</si>
  <si>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</si>
  <si>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</si>
  <si>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</si>
  <si>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</si>
  <si>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</si>
  <si>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</si>
  <si>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</si>
  <si>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</si>
  <si>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</si>
  <si>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</si>
  <si>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</si>
  <si>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</si>
  <si>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</si>
  <si>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</si>
  <si>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</si>
  <si>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</si>
  <si>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</si>
  <si>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</si>
  <si>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</si>
  <si>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</si>
  <si>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</si>
  <si>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</si>
  <si>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</si>
  <si>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</si>
  <si>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</si>
  <si>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</si>
  <si>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</si>
  <si>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</si>
  <si>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</si>
  <si>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</si>
  <si>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</si>
  <si>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</si>
  <si>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</si>
  <si>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</si>
  <si>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</si>
  <si>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</si>
  <si>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</si>
  <si>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</si>
  <si>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</si>
  <si>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</si>
  <si>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</si>
  <si>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</si>
  <si>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</si>
  <si>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</si>
  <si>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</si>
  <si>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</si>
  <si>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</si>
  <si>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</si>
  <si>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</si>
  <si>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</si>
  <si>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</si>
  <si>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</si>
  <si>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</si>
  <si>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</si>
  <si>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</si>
  <si>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</si>
  <si>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</si>
  <si>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</si>
  <si>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</si>
  <si>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</si>
  <si>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</si>
  <si>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</si>
  <si>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</si>
  <si>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</si>
  <si>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</si>
  <si>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</si>
  <si>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</si>
  <si>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</si>
  <si>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</si>
  <si>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</si>
  <si>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</si>
  <si>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</si>
  <si>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</si>
  <si>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</si>
  <si>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</si>
  <si>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</si>
  <si>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</si>
  <si>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</si>
  <si>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</si>
  <si>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</si>
  <si>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</si>
  <si>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</si>
  <si>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</si>
  <si>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</si>
  <si>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</si>
  <si>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</si>
  <si>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</si>
  <si>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</si>
  <si>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</si>
  <si>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</si>
  <si>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</si>
  <si>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</si>
  <si>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</si>
  <si>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</si>
  <si>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</si>
  <si>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</si>
  <si>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</si>
  <si>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</si>
  <si>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</si>
  <si>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</si>
  <si>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</si>
  <si>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</si>
  <si>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</si>
  <si>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</si>
  <si>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</si>
  <si>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</si>
  <si>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</si>
  <si>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</si>
  <si>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</si>
  <si>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</si>
  <si>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</si>
  <si>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</si>
  <si>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</si>
  <si>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</si>
  <si>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</si>
  <si>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</si>
  <si>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</si>
  <si>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</si>
  <si>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</si>
  <si>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</si>
  <si>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</si>
  <si>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</si>
  <si>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</si>
  <si>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</si>
  <si>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</si>
  <si>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</si>
  <si>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</si>
  <si>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</si>
  <si>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</si>
  <si>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</si>
  <si>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</si>
  <si>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</si>
  <si>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</si>
  <si>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</si>
  <si>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</si>
  <si>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</si>
  <si>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</si>
  <si>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</si>
  <si>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</si>
  <si>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</si>
  <si>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</si>
  <si>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</si>
  <si>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</si>
  <si>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</si>
  <si>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</si>
  <si>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</si>
  <si>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</si>
  <si>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</si>
  <si>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</si>
  <si>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</si>
  <si>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</si>
  <si>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</si>
  <si>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</si>
  <si>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</si>
  <si>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</si>
  <si>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</si>
  <si>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</si>
  <si>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</si>
  <si>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</si>
  <si>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</si>
  <si>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</si>
  <si>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</si>
  <si>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</si>
  <si>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</si>
  <si>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</si>
  <si>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</si>
  <si>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</si>
  <si>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</si>
  <si>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</si>
  <si>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</si>
  <si>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</si>
  <si>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</si>
  <si>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</si>
  <si>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</si>
  <si>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</si>
  <si>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</si>
  <si>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</si>
  <si>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</si>
  <si>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</si>
  <si>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</si>
  <si>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</si>
  <si>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</si>
  <si>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</si>
  <si>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</si>
  <si>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</si>
  <si>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</si>
  <si>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</si>
  <si>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</si>
  <si>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</si>
  <si>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</si>
  <si>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</si>
  <si>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</si>
  <si>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</si>
  <si>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</si>
  <si>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</si>
  <si>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</si>
  <si>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</si>
  <si>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</si>
  <si>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</si>
  <si>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</si>
  <si>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</si>
  <si>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</si>
  <si>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</si>
  <si>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</si>
  <si>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</si>
  <si>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</si>
  <si>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</si>
  <si>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</si>
  <si>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</si>
  <si>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</si>
  <si>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</si>
  <si>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</si>
  <si>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</si>
  <si>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</si>
  <si>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</si>
  <si>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</si>
  <si>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</si>
  <si>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</si>
  <si>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</si>
  <si>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</si>
  <si>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</si>
  <si>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</si>
  <si>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</si>
  <si>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</si>
  <si>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</si>
  <si>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</si>
  <si>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</si>
  <si>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</si>
  <si>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</si>
  <si>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</si>
  <si>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</si>
  <si>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</si>
  <si>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</si>
  <si>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</si>
  <si>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</si>
  <si>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</si>
  <si>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</si>
  <si>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</si>
  <si>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</si>
  <si>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</si>
  <si>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</si>
  <si>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</si>
  <si>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</si>
  <si>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</si>
  <si>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</si>
  <si>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</si>
  <si>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</si>
  <si>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</si>
  <si>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</si>
  <si>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</si>
  <si>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</si>
  <si>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</si>
  <si>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</si>
  <si>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</si>
  <si>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</si>
  <si>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</si>
  <si>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</si>
  <si>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</si>
  <si>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</si>
  <si>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</si>
  <si>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</si>
  <si>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</si>
  <si>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</si>
  <si>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</si>
  <si>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</si>
  <si>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</si>
  <si>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</si>
  <si>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</si>
  <si>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</si>
  <si>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</si>
  <si>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</si>
  <si>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</si>
  <si>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</si>
  <si>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</si>
  <si>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</si>
  <si>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</si>
  <si>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</si>
  <si>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</si>
  <si>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</si>
  <si>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</si>
  <si>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</si>
  <si>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</si>
  <si>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</si>
  <si>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</si>
  <si>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</si>
  <si>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</si>
  <si>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</si>
  <si>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</si>
  <si>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</si>
  <si>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</si>
  <si>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</si>
  <si>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</si>
  <si>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</si>
  <si>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</si>
  <si>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</si>
  <si>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</si>
  <si>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</si>
  <si>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</si>
  <si>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</si>
  <si>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</si>
  <si>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</si>
  <si>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</si>
  <si>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</si>
  <si>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</si>
  <si>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</si>
  <si>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</si>
  <si>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</si>
  <si>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</si>
  <si>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</si>
  <si>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</si>
  <si>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</si>
  <si>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</si>
  <si>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</si>
  <si>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</si>
  <si>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</si>
  <si>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</si>
  <si>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</si>
  <si>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</si>
  <si>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</si>
  <si>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</si>
  <si>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</si>
  <si>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</si>
  <si>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</si>
  <si>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</si>
  <si>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</si>
  <si>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</si>
  <si>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</si>
  <si>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</si>
  <si>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</si>
  <si>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</si>
  <si>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</si>
  <si>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</si>
  <si>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</si>
  <si>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</si>
  <si>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</si>
  <si>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</si>
  <si>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</si>
  <si>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</si>
  <si>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</si>
  <si>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</si>
  <si>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</si>
  <si>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</si>
  <si>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</si>
  <si>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</si>
  <si>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</si>
  <si>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</si>
  <si>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</si>
  <si>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</si>
  <si>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</si>
  <si>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</si>
  <si>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</si>
  <si>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</si>
  <si>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</si>
  <si>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</si>
  <si>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</si>
  <si>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</si>
  <si>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</si>
  <si>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</si>
  <si>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</si>
  <si>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</si>
  <si>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</si>
  <si>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</si>
  <si>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</si>
  <si>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</si>
  <si>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</si>
  <si>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</si>
  <si>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</si>
  <si>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</si>
  <si>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</si>
  <si>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</si>
  <si>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</si>
  <si>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</si>
  <si>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</si>
  <si>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</si>
  <si>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</si>
  <si>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</si>
  <si>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</si>
  <si>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</si>
  <si>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</si>
  <si>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</si>
  <si>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</si>
  <si>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</si>
  <si>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</si>
  <si>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</si>
  <si>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</si>
  <si>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</si>
  <si>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</si>
  <si>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</si>
  <si>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</si>
  <si>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</si>
  <si>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</si>
  <si>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</si>
  <si>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</si>
  <si>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</si>
  <si>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</si>
  <si>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</si>
  <si>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</si>
  <si>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</si>
  <si>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</si>
  <si>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</si>
  <si>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</si>
  <si>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</si>
  <si>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</si>
  <si>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</si>
  <si>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</si>
  <si>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</si>
  <si>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</si>
  <si>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</si>
  <si>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</si>
  <si>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</si>
  <si>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</si>
  <si>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</si>
  <si>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</si>
  <si>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</si>
  <si>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</si>
  <si>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</si>
  <si>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</si>
  <si>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</si>
  <si>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</si>
  <si>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</si>
  <si>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</si>
  <si>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</si>
  <si>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</si>
  <si>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</si>
  <si>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</si>
  <si>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</si>
  <si>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</si>
  <si>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</si>
  <si>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</si>
  <si>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</si>
  <si>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</si>
  <si>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</si>
  <si>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</si>
  <si>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</si>
  <si>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</si>
  <si>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</si>
  <si>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</si>
  <si>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</si>
  <si>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</si>
  <si>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</si>
  <si>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</si>
  <si>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</si>
  <si>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</si>
  <si>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</si>
  <si>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</si>
  <si>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</si>
  <si>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</si>
  <si>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</si>
  <si>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</si>
  <si>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</si>
  <si>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</si>
  <si>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</si>
  <si>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</si>
  <si>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</si>
  <si>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</si>
  <si>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</si>
  <si>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</si>
  <si>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</si>
  <si>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</si>
  <si>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</si>
  <si>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</si>
  <si>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</si>
  <si>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</si>
  <si>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</si>
  <si>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</si>
  <si>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</si>
  <si>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</si>
  <si>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</si>
  <si>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</si>
  <si>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</si>
  <si>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</si>
  <si>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</si>
  <si>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</si>
  <si>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</si>
  <si>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</si>
  <si>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</si>
  <si>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</si>
  <si>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</si>
  <si>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</si>
  <si>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</si>
  <si>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</si>
  <si>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</si>
  <si>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</si>
  <si>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</si>
  <si>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</si>
  <si>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</si>
  <si>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</si>
  <si>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</si>
  <si>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</si>
  <si>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</si>
  <si>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</si>
  <si>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</si>
  <si>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</si>
  <si>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</si>
  <si>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</si>
  <si>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</si>
  <si>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</si>
  <si>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</si>
  <si>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</si>
  <si>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</si>
  <si>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</si>
  <si>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</si>
  <si>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</si>
  <si>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</si>
  <si>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</si>
  <si>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</si>
  <si>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</si>
  <si>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</si>
  <si>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</si>
  <si>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</si>
  <si>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</si>
  <si>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</si>
  <si>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</si>
  <si>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</si>
  <si>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</si>
  <si>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</si>
  <si>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</si>
  <si>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</si>
  <si>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</si>
  <si>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</si>
  <si>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</si>
  <si>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</si>
  <si>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</si>
  <si>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</si>
  <si>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</si>
  <si>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</si>
  <si>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</si>
  <si>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</si>
  <si>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</si>
  <si>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</si>
  <si>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</si>
  <si>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</si>
  <si>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</si>
  <si>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</si>
  <si>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</si>
  <si>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</si>
  <si>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</si>
  <si>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</si>
  <si>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</si>
  <si>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</si>
  <si>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</si>
  <si>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</si>
  <si>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</si>
  <si>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</si>
  <si>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</si>
  <si>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</si>
  <si>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</si>
  <si>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</si>
  <si>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</si>
  <si>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</si>
  <si>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</si>
  <si>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</si>
  <si>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</si>
  <si>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</si>
  <si>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</si>
  <si>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</si>
  <si>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</si>
  <si>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</si>
  <si>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</si>
  <si>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</si>
  <si>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</si>
  <si>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</si>
  <si>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</si>
  <si>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</si>
  <si>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</si>
  <si>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</si>
  <si>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</si>
  <si>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</si>
  <si>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</si>
  <si>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</si>
  <si>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</si>
  <si>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</si>
  <si>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</si>
  <si>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</si>
  <si>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</si>
  <si>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</si>
  <si>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</si>
  <si>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</si>
  <si>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</si>
  <si>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</si>
  <si>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</si>
  <si>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</si>
  <si>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</si>
  <si>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</si>
  <si>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</si>
  <si>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</si>
  <si>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</si>
  <si>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</si>
  <si>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</si>
  <si>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</si>
  <si>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</si>
  <si>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</si>
  <si>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</si>
  <si>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</si>
  <si>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</si>
  <si>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</si>
  <si>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</si>
  <si>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</si>
  <si>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</si>
  <si>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</si>
  <si>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</si>
  <si>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</si>
  <si>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</si>
  <si>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</si>
  <si>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</si>
  <si>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</si>
  <si>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</si>
  <si>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</si>
  <si>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</si>
  <si>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</si>
  <si>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</si>
  <si>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</si>
  <si>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</si>
  <si>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</si>
  <si>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</si>
  <si>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</si>
  <si>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</si>
  <si>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</si>
  <si>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</si>
  <si>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</si>
  <si>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</si>
  <si>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</si>
  <si>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</si>
  <si>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</si>
  <si>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</si>
  <si>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</si>
  <si>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</si>
  <si>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</si>
  <si>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</si>
  <si>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</si>
  <si>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</si>
  <si>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</si>
  <si>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</si>
  <si>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</si>
  <si>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</si>
  <si>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</si>
  <si>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</si>
  <si>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</si>
  <si>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</si>
  <si>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</si>
  <si>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</si>
  <si>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</si>
  <si>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</si>
  <si>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</si>
  <si>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</si>
  <si>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</si>
  <si>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</si>
  <si>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</si>
  <si>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</si>
  <si>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</si>
  <si>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</si>
  <si>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</si>
  <si>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</si>
  <si>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</si>
  <si>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</si>
  <si>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</si>
  <si>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</si>
  <si>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</si>
  <si>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</si>
  <si>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</si>
  <si>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</si>
  <si>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</si>
  <si>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</si>
  <si>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</si>
  <si>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</si>
  <si>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</si>
  <si>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</si>
  <si>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</si>
  <si>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</si>
  <si>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</si>
  <si>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</si>
  <si>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</si>
  <si>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</si>
  <si>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</si>
  <si>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</si>
  <si>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</si>
  <si>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</si>
  <si>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</si>
  <si>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</si>
  <si>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</si>
  <si>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</si>
  <si>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</si>
  <si>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</si>
  <si>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</si>
  <si>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</si>
  <si>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</si>
  <si>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</si>
  <si>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</si>
  <si>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</si>
  <si>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</si>
  <si>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</si>
  <si>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</si>
  <si>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</si>
  <si>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</si>
  <si>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</si>
  <si>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</si>
  <si>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</si>
  <si>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</si>
  <si>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</si>
  <si>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</si>
  <si>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</si>
  <si>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</si>
  <si>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</si>
  <si>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</si>
  <si>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</si>
  <si>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</si>
  <si>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</si>
  <si>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</si>
  <si>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</si>
  <si>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</si>
  <si>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</si>
  <si>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</si>
  <si>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</si>
  <si>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</si>
  <si>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</si>
  <si>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</si>
  <si>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</si>
  <si>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</si>
  <si>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</si>
  <si>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</si>
  <si>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</si>
  <si>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</si>
  <si>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</si>
  <si>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</si>
  <si>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</si>
  <si>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</si>
  <si>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</si>
  <si>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</si>
  <si>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</si>
  <si>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</si>
  <si>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</si>
  <si>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</si>
  <si>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</si>
  <si>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</si>
  <si>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</si>
  <si>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</si>
  <si>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</si>
  <si>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</si>
  <si>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</si>
  <si>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</si>
  <si>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</si>
  <si>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</si>
  <si>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</si>
  <si>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</si>
  <si>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</si>
  <si>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</si>
  <si>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</si>
  <si>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</si>
  <si>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</si>
  <si>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</si>
  <si>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</si>
  <si>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</si>
  <si>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</si>
  <si>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</si>
  <si>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</si>
  <si>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</si>
  <si>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</si>
  <si>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</si>
  <si>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</si>
  <si>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</si>
  <si>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</si>
  <si>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</si>
  <si>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</si>
  <si>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</si>
  <si>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</si>
  <si>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</si>
  <si>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</si>
  <si>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</si>
  <si>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</si>
  <si>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</si>
  <si>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</si>
  <si>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</si>
  <si>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</si>
  <si>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</si>
  <si>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</si>
  <si>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</si>
  <si>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</si>
  <si>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</si>
  <si>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</si>
  <si>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</si>
  <si>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</si>
  <si>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</si>
  <si>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</si>
  <si>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</si>
  <si>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</si>
  <si>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</si>
  <si>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</si>
  <si>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</si>
  <si>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</si>
  <si>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</si>
  <si>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</si>
  <si>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</si>
  <si>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</si>
  <si>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</si>
  <si>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</si>
  <si>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</si>
  <si>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</si>
  <si>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</si>
  <si>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</si>
  <si>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</si>
  <si>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</si>
  <si>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</si>
  <si>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</si>
  <si>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</si>
  <si>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</si>
  <si>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</si>
  <si>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</si>
  <si>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</si>
  <si>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</si>
  <si>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</si>
  <si>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</si>
  <si>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</si>
  <si>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</si>
  <si>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</si>
  <si>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</si>
  <si>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</si>
  <si>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</si>
  <si>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</si>
  <si>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</si>
  <si>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</si>
  <si>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</si>
  <si>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</si>
  <si>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</si>
  <si>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</si>
  <si>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</si>
  <si>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</si>
  <si>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</si>
  <si>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</si>
  <si>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</si>
  <si>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</si>
  <si>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</si>
  <si>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</si>
  <si>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</si>
  <si>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</si>
  <si>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</si>
  <si>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</si>
  <si>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</si>
  <si>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</si>
  <si>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</si>
  <si>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</si>
  <si>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</si>
  <si>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</si>
  <si>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</si>
  <si>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</si>
  <si>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</si>
  <si>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</si>
  <si>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</si>
  <si>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</si>
  <si>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</si>
  <si>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</si>
  <si>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</si>
  <si>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</si>
  <si>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</si>
  <si>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</si>
  <si>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</si>
  <si>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</si>
  <si>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</si>
  <si>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</si>
  <si>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</si>
  <si>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</si>
  <si>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</si>
  <si>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</si>
  <si>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</si>
  <si>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</si>
  <si>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</si>
  <si>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</si>
  <si>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</si>
  <si>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</si>
  <si>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</si>
  <si>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</si>
  <si>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</si>
  <si>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</si>
  <si>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</si>
  <si>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</si>
  <si>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</si>
  <si>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</si>
  <si>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</si>
  <si>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</si>
  <si>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</si>
  <si>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</si>
  <si>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</si>
  <si>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</si>
  <si>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</si>
  <si>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</si>
  <si>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</si>
  <si>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</si>
  <si>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</si>
  <si>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</si>
  <si>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</si>
  <si>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</si>
  <si>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</si>
  <si>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</si>
  <si>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</si>
  <si>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</si>
  <si>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</si>
  <si>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</si>
  <si>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</si>
  <si>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</si>
  <si>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</si>
  <si>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</si>
  <si>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</si>
  <si>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</si>
  <si>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</si>
  <si>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</si>
  <si>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</si>
  <si>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</si>
  <si>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</si>
  <si>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</si>
  <si>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</si>
  <si>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</si>
  <si>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</si>
  <si>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</si>
  <si>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</si>
  <si>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</si>
  <si>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</si>
  <si>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</si>
  <si>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</si>
  <si>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</si>
  <si>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</si>
  <si>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</si>
  <si>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</si>
  <si>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</si>
  <si>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</si>
  <si>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</si>
  <si>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</si>
  <si>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</si>
  <si>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</si>
  <si>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</si>
  <si>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</si>
  <si>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</si>
  <si>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</si>
  <si>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</si>
  <si>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</si>
  <si>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</si>
  <si>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</si>
  <si>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</si>
  <si>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</si>
  <si>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</si>
  <si>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</si>
  <si>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</si>
  <si>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</si>
  <si>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</si>
  <si>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</si>
  <si>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</si>
  <si>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</si>
  <si>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</si>
  <si>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</si>
  <si>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</si>
  <si>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</si>
  <si>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</si>
  <si>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</si>
  <si>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</si>
  <si>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</si>
  <si>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</si>
  <si>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</si>
  <si>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</si>
  <si>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</si>
  <si>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</si>
  <si>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</si>
  <si>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</si>
  <si>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</si>
  <si>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</si>
  <si>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</si>
  <si>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</si>
  <si>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</si>
  <si>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</si>
  <si>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</si>
  <si>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</si>
  <si>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</si>
  <si>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</si>
  <si>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</si>
  <si>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</si>
  <si>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</si>
  <si>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</si>
  <si>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</si>
  <si>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</si>
  <si>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</si>
  <si>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</si>
  <si>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</si>
  <si>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</si>
  <si>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</si>
  <si>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</si>
  <si>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</si>
  <si>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</si>
  <si>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</si>
  <si>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</si>
  <si>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</si>
  <si>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</si>
  <si>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</si>
  <si>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</si>
  <si>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</si>
  <si>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</si>
  <si>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</si>
  <si>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</si>
  <si>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</si>
  <si>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</si>
  <si>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</si>
  <si>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</si>
  <si>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</si>
  <si>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</si>
  <si>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</si>
  <si>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</si>
  <si>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</si>
  <si>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</si>
  <si>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</si>
  <si>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</si>
  <si>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</si>
  <si>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</si>
  <si>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</si>
  <si>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</si>
  <si>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</si>
  <si>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</si>
  <si>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</si>
  <si>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</si>
  <si>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</si>
  <si>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</si>
  <si>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</si>
  <si>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</si>
  <si>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</si>
  <si>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</si>
  <si>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</si>
  <si>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</si>
  <si>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</si>
  <si>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</si>
  <si>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</si>
  <si>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</si>
  <si>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</si>
  <si>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</si>
  <si>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</si>
  <si>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</si>
  <si>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</si>
  <si>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</si>
  <si>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</si>
  <si>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</si>
  <si>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</si>
  <si>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</si>
  <si>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</si>
  <si>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</si>
  <si>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</si>
  <si>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</si>
  <si>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</si>
  <si>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</si>
  <si>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</si>
  <si>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</si>
  <si>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</si>
  <si>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</si>
  <si>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</si>
  <si>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</si>
  <si>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</si>
  <si>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</si>
  <si>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</si>
  <si>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</si>
  <si>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</si>
  <si>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</si>
  <si>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</si>
  <si>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</si>
  <si>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</si>
  <si>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</si>
  <si>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</si>
  <si>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</si>
  <si>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</si>
  <si>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</si>
  <si>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</si>
  <si>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</si>
  <si>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</si>
  <si>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</si>
  <si>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</si>
  <si>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</si>
  <si>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</si>
  <si>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</si>
  <si>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</si>
  <si>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</si>
  <si>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</si>
  <si>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</si>
  <si>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</si>
  <si>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</si>
  <si>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</si>
  <si>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</si>
  <si>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</si>
  <si>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</si>
  <si>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</si>
  <si>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</si>
  <si>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</si>
  <si>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</si>
  <si>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</si>
  <si>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</si>
  <si>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</si>
  <si>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</si>
  <si>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</si>
  <si>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</si>
  <si>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</si>
  <si>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</si>
  <si>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</si>
  <si>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</si>
  <si>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</si>
  <si>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</si>
  <si>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</si>
  <si>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</si>
  <si>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</si>
  <si>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</si>
  <si>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</si>
  <si>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</si>
  <si>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</si>
  <si>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</si>
  <si>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</si>
  <si>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</si>
  <si>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</si>
  <si>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</si>
  <si>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</si>
  <si>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</si>
  <si>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</si>
  <si>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</si>
  <si>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</si>
  <si>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</si>
  <si>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</si>
  <si>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</si>
  <si>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</si>
  <si>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</si>
  <si>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</si>
  <si>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</si>
  <si>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</si>
  <si>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</si>
  <si>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</si>
  <si>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</si>
  <si>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</si>
  <si>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</si>
  <si>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</si>
  <si>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</si>
  <si>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</si>
  <si>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</si>
  <si>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</si>
  <si>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</si>
  <si>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</si>
  <si>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</si>
  <si>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</si>
  <si>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</si>
  <si>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</si>
  <si>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</si>
  <si>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</si>
  <si>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</si>
  <si>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</si>
  <si>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</si>
  <si>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</si>
  <si>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</si>
  <si>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</si>
  <si>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</si>
  <si>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</si>
  <si>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</si>
  <si>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</si>
  <si>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</si>
  <si>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</si>
  <si>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</si>
  <si>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</si>
  <si>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</si>
  <si>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</si>
  <si>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</si>
  <si>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Inventory 1990</t>
  </si>
  <si>
    <t>Submission 2024</t>
  </si>
  <si>
    <t>Emissions have been assessed as insignificant with an absolute estimate of 17.3kt CO₂-e.  See NIR Chapter 1.7.3.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</si>
</sst>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9">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9" fontId="0" fillId="0" borderId="0" xfId="102" applyFont="1"/>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0" fillId="0" borderId="73" xfId="0"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2459</v>
      </c>
    </row>
    <row r="2" spans="2:13" ht="15.75" customHeight="1" x14ac:dyDescent="0.25">
      <c r="B2" s="209" t="s">
        <v>437</v>
      </c>
      <c r="C2" s="209"/>
      <c r="D2" s="209"/>
      <c r="E2" s="209"/>
      <c r="F2" s="209"/>
      <c r="I2" s="51"/>
      <c r="J2" s="14" t="s">
        <v>2460</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28300</v>
      </c>
      <c r="F24" s="3384" t="str">
        <f t="shared" si="0"/>
        <v>NA</v>
      </c>
      <c r="G24" s="3360">
        <v>622.85727272727274</v>
      </c>
      <c r="H24" s="3339">
        <f t="shared" si="1"/>
        <v>2283.81</v>
      </c>
      <c r="I24" s="2599" t="s">
        <v>205</v>
      </c>
      <c r="J24" s="2600"/>
      <c r="M24" s="125"/>
    </row>
    <row r="25" spans="2:13" ht="18" customHeight="1" x14ac:dyDescent="0.2">
      <c r="B25" s="165"/>
      <c r="C25" s="1566"/>
      <c r="D25" s="1451" t="s">
        <v>458</v>
      </c>
      <c r="E25" s="3379">
        <v>20100</v>
      </c>
      <c r="F25" s="3384" t="str">
        <f t="shared" si="0"/>
        <v>NA</v>
      </c>
      <c r="G25" s="3360">
        <v>381.7264090909091</v>
      </c>
      <c r="H25" s="3339">
        <f t="shared" si="1"/>
        <v>1399.6634999999999</v>
      </c>
      <c r="I25" s="2599" t="s">
        <v>205</v>
      </c>
      <c r="J25" s="2600"/>
      <c r="M25" s="125"/>
    </row>
    <row r="26" spans="2:13" ht="18" customHeight="1" x14ac:dyDescent="0.2">
      <c r="B26" s="165"/>
      <c r="C26" s="1566"/>
      <c r="D26" s="1451" t="s">
        <v>459</v>
      </c>
      <c r="E26" s="3383">
        <v>8822.5840837296601</v>
      </c>
      <c r="F26" s="3384">
        <f t="shared" si="0"/>
        <v>25.261363636363637</v>
      </c>
      <c r="G26" s="3360">
        <v>222.87050475148905</v>
      </c>
      <c r="H26" s="3339">
        <f t="shared" si="1"/>
        <v>817.19185075545977</v>
      </c>
      <c r="I26" s="3360">
        <v>817.19185075545977</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32177.768728498151</v>
      </c>
      <c r="F28" s="3384">
        <f>IF(I28="NA","NA",I28/(44/12)*1000/E28)</f>
        <v>1.1090577173220639</v>
      </c>
      <c r="G28" s="3360">
        <v>563.01325131180784</v>
      </c>
      <c r="H28" s="3339">
        <f>IF(G28="NA","NA",IF(G28="NO","NO",G28*44/12))</f>
        <v>2064.3819214766286</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106296.48399823338</v>
      </c>
      <c r="F31" s="3324">
        <f t="shared" ref="F31" si="3">IF(I31="NA","NA",I31/(44/12)*1000/E31)</f>
        <v>2.4324182490394661</v>
      </c>
      <c r="G31" s="3388">
        <f>SUM(G11:G29)</f>
        <v>2050.8214593385646</v>
      </c>
      <c r="H31" s="3336">
        <f t="shared" ref="H31" si="4">IF(G31="NA","NA",IF(G31="NO","NO",G31*44/12))</f>
        <v>7519.678684241404</v>
      </c>
      <c r="I31" s="3388">
        <f>SUM(I11:I29)</f>
        <v>948.04419411545973</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6561.3700430838999</v>
      </c>
      <c r="F35" s="3384">
        <f>IF(I35="NA","NA",I35/(44/12)*1000/E35)</f>
        <v>24.632066944430427</v>
      </c>
      <c r="G35" s="3364">
        <v>161.62010614842296</v>
      </c>
      <c r="H35" s="3361">
        <f t="shared" si="5"/>
        <v>592.60705587755081</v>
      </c>
      <c r="I35" s="3360">
        <v>592.60705587755092</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88325.498666666681</v>
      </c>
      <c r="F41" s="3384">
        <f t="shared" ref="F41" si="8">IF(I41="NA","NA",I41/(44/12)*1000/E41)</f>
        <v>28.53708202249873</v>
      </c>
      <c r="G41" s="3360">
        <v>2551.1345950340442</v>
      </c>
      <c r="H41" s="3361">
        <f t="shared" si="5"/>
        <v>9354.1601817914943</v>
      </c>
      <c r="I41" s="3360">
        <v>9242.0240004721527</v>
      </c>
      <c r="J41" s="3381" t="s">
        <v>460</v>
      </c>
      <c r="M41" s="125"/>
    </row>
    <row r="42" spans="2:13" ht="18" customHeight="1" x14ac:dyDescent="0.2">
      <c r="B42" s="1433"/>
      <c r="C42" s="1567"/>
      <c r="D42" s="1451" t="s">
        <v>467</v>
      </c>
      <c r="E42" s="3379">
        <v>3671.9967052148972</v>
      </c>
      <c r="F42" s="3384">
        <f>IF(I42="NA","NA",I42/(44/12)*1000/E42)</f>
        <v>22.309090909090905</v>
      </c>
      <c r="G42" s="3360">
        <v>81.918908314521431</v>
      </c>
      <c r="H42" s="3361">
        <f t="shared" si="5"/>
        <v>300.36933048657858</v>
      </c>
      <c r="I42" s="3360">
        <v>300.36933048657858</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98558.865414965476</v>
      </c>
      <c r="F45" s="3308">
        <f>IF(I45="NA","NA",I45/(44/12)*1000/E45)</f>
        <v>28.045077456543098</v>
      </c>
      <c r="G45" s="3388">
        <f>SUM(G33:G43)</f>
        <v>2794.6736094969888</v>
      </c>
      <c r="H45" s="3336">
        <f t="shared" ref="H45" si="9">IF(G45="NA","NA",IF(G45="NO","NO",G45*44/12))</f>
        <v>10247.136568155625</v>
      </c>
      <c r="I45" s="3388">
        <f>SUM(I33:I43)</f>
        <v>10135.000386836282</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22271.575746929775</v>
      </c>
      <c r="F47" s="3384">
        <f t="shared" ref="F47" si="10">IF(I47="NA","NA",I47/(44/12)*1000/E47)</f>
        <v>14.021432274344992</v>
      </c>
      <c r="G47" s="3360">
        <v>312.27939097852033</v>
      </c>
      <c r="H47" s="3339">
        <f t="shared" ref="H47" si="11">IF(G47="NA","NA",IF(G47="NO","NO",G47*44/12))</f>
        <v>1145.0244335879079</v>
      </c>
      <c r="I47" s="3360">
        <v>1145.0244335879079</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22271.575746929775</v>
      </c>
      <c r="F50" s="3308">
        <f>IF(I50="NA","NA",I50/(44/12)*1000/E50)</f>
        <v>14.021432274344992</v>
      </c>
      <c r="G50" s="3388">
        <f>SUM(G47:G48)</f>
        <v>312.27939097852033</v>
      </c>
      <c r="H50" s="3362">
        <f t="shared" ref="H50" si="13">IF(G50="NA","NA",IF(G50="NO","NO",G50*44/12))</f>
        <v>1145.0244335879079</v>
      </c>
      <c r="I50" s="3388">
        <f>SUM(I47:I48)</f>
        <v>1145.0244335879079</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227126.92516012862</v>
      </c>
      <c r="F55" s="3319">
        <f t="shared" si="14"/>
        <v>14.683102457822136</v>
      </c>
      <c r="G55" s="3388">
        <f>SUM(G31,G45,G50,G54)</f>
        <v>5157.7744598140735</v>
      </c>
      <c r="H55" s="3363">
        <f t="shared" si="15"/>
        <v>18911.839685984934</v>
      </c>
      <c r="I55" s="3388">
        <f>SUM(I31,I45,I50,I54)</f>
        <v>12228.069014539651</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2459</v>
      </c>
    </row>
    <row r="2" spans="2:12" ht="15.75" customHeight="1" x14ac:dyDescent="0.25">
      <c r="B2" s="215" t="s">
        <v>245</v>
      </c>
      <c r="G2" s="226"/>
      <c r="I2" s="14" t="s">
        <v>2460</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241.02821799999998</v>
      </c>
      <c r="D10" s="3105"/>
      <c r="E10" s="3105"/>
      <c r="F10" s="3057">
        <f>SUM(F11,F18)</f>
        <v>871.21359774724669</v>
      </c>
      <c r="G10" s="3057">
        <f>SUM(G11,G18)</f>
        <v>1183.8805823664284</v>
      </c>
      <c r="H10" s="3057">
        <f>H11</f>
        <v>-0.10062493248394901</v>
      </c>
      <c r="I10" s="3106" t="s">
        <v>199</v>
      </c>
      <c r="L10" s="3676"/>
    </row>
    <row r="11" spans="2:12" ht="18" customHeight="1" x14ac:dyDescent="0.2">
      <c r="B11" s="1251" t="s">
        <v>486</v>
      </c>
      <c r="C11" s="3014">
        <v>56.746943999999999</v>
      </c>
      <c r="D11" s="3057">
        <f>IFERROR(SUM(F11,-H11)/$C$11,"NA")</f>
        <v>12.436475888778498</v>
      </c>
      <c r="E11" s="3057">
        <f>IFERROR(SUM(G11)/$C$11,"NA")</f>
        <v>19.773803404563406</v>
      </c>
      <c r="F11" s="3057">
        <f>SUM(F12:F16)</f>
        <v>705.63137588537973</v>
      </c>
      <c r="G11" s="3057">
        <f>SUM(G12:G16)</f>
        <v>1122.1029144657689</v>
      </c>
      <c r="H11" s="3057">
        <f>H12</f>
        <v>-0.10062493248394901</v>
      </c>
      <c r="I11" s="3106" t="s">
        <v>199</v>
      </c>
    </row>
    <row r="12" spans="2:12" ht="18" customHeight="1" x14ac:dyDescent="0.2">
      <c r="B12" s="160" t="s">
        <v>487</v>
      </c>
      <c r="C12" s="3027"/>
      <c r="D12" s="3057">
        <f>IFERROR(SUM(F12,-H12)/$C$11,"NA")</f>
        <v>11.706277056351958</v>
      </c>
      <c r="E12" s="3057">
        <f>IFERROR(SUM(G12)/$C$11,"NA")</f>
        <v>19.768795323717345</v>
      </c>
      <c r="F12" s="3104">
        <v>664.19482363280542</v>
      </c>
      <c r="G12" s="3104">
        <v>1121.81872118245</v>
      </c>
      <c r="H12" s="3104">
        <v>-0.10062493248394901</v>
      </c>
      <c r="I12" s="3015" t="s">
        <v>199</v>
      </c>
    </row>
    <row r="13" spans="2:12" ht="18" customHeight="1" x14ac:dyDescent="0.2">
      <c r="B13" s="160" t="s">
        <v>488</v>
      </c>
      <c r="C13" s="3027"/>
      <c r="D13" s="3057">
        <f>IFERROR(SUM(F13)/$C$11,"NA")</f>
        <v>0.39917114309278928</v>
      </c>
      <c r="E13" s="3057" t="s">
        <v>205</v>
      </c>
      <c r="F13" s="3104">
        <v>22.651742503502501</v>
      </c>
      <c r="G13" s="3104" t="s">
        <v>221</v>
      </c>
      <c r="H13" s="3104" t="s">
        <v>199</v>
      </c>
      <c r="I13" s="3015" t="s">
        <v>199</v>
      </c>
    </row>
    <row r="14" spans="2:12" ht="18" customHeight="1" x14ac:dyDescent="0.2">
      <c r="B14" s="160" t="s">
        <v>489</v>
      </c>
      <c r="C14" s="3442">
        <v>113</v>
      </c>
      <c r="D14" s="3057">
        <f>IFERROR(SUM(F14)/$C$11,"NA")</f>
        <v>0.33101177217757222</v>
      </c>
      <c r="E14" s="3057" t="s">
        <v>205</v>
      </c>
      <c r="F14" s="3104">
        <v>18.783906499101448</v>
      </c>
      <c r="G14" s="3104" t="s">
        <v>205</v>
      </c>
      <c r="H14" s="3104" t="s">
        <v>199</v>
      </c>
      <c r="I14" s="3015" t="s">
        <v>199</v>
      </c>
    </row>
    <row r="15" spans="2:12" ht="18" customHeight="1" x14ac:dyDescent="0.2">
      <c r="B15" s="160" t="s">
        <v>490</v>
      </c>
      <c r="C15" s="3014">
        <v>1.00624932483949E-4</v>
      </c>
      <c r="D15" s="3057">
        <f>IFERROR(SUM(F15)/$C15,"NA")</f>
        <v>8.9764032426282157</v>
      </c>
      <c r="E15" s="3057">
        <f>IFERROR(SUM(G15)/$C15,"NA")</f>
        <v>2824.2829714610725</v>
      </c>
      <c r="F15" s="3104">
        <v>9.0324997023816505E-4</v>
      </c>
      <c r="G15" s="3104">
        <v>0.28419328331883731</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184.281274</v>
      </c>
      <c r="D18" s="3057">
        <f>IFERROR(SUM(F18)/$C$18,"NA")</f>
        <v>0.89852983033895795</v>
      </c>
      <c r="E18" s="3057">
        <f>IFERROR(SUM(G18)/$C$18,"NA")</f>
        <v>0.33523573263694462</v>
      </c>
      <c r="F18" s="3057">
        <f>SUM(F19:F21)</f>
        <v>165.58222186186703</v>
      </c>
      <c r="G18" s="3109">
        <f t="shared" ref="G18" si="1">SUM(G19:G21)</f>
        <v>61.77766790065953</v>
      </c>
      <c r="H18" s="3057" t="s">
        <v>199</v>
      </c>
      <c r="I18" s="3106" t="s">
        <v>199</v>
      </c>
    </row>
    <row r="19" spans="2:9" ht="18" customHeight="1" x14ac:dyDescent="0.2">
      <c r="B19" s="160" t="s">
        <v>493</v>
      </c>
      <c r="C19" s="3027"/>
      <c r="D19" s="3057">
        <f>IFERROR(SUM(F19)/$C$18,"NA")</f>
        <v>0.89852983033895795</v>
      </c>
      <c r="E19" s="3057">
        <f>IFERROR(SUM(G19)/$C$18,"NA")</f>
        <v>0.33523573263694462</v>
      </c>
      <c r="F19" s="3104">
        <v>165.58222186186703</v>
      </c>
      <c r="G19" s="3104">
        <v>61.77766790065953</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3" t="s">
        <v>506</v>
      </c>
      <c r="C57" s="4504"/>
      <c r="D57" s="4504"/>
      <c r="E57" s="4504"/>
      <c r="F57" s="4504"/>
      <c r="G57" s="4504"/>
      <c r="H57" s="4504"/>
      <c r="I57" s="4505"/>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9" zoomScale="90" zoomScaleNormal="90" workbookViewId="0">
      <selection activeCell="H9" sqref="H1:H1048576"/>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2459</v>
      </c>
    </row>
    <row r="2" spans="2:12" ht="15.75" customHeight="1" x14ac:dyDescent="0.25">
      <c r="B2" s="985" t="s">
        <v>508</v>
      </c>
      <c r="C2" s="985"/>
      <c r="K2" s="226"/>
      <c r="L2" s="14" t="s">
        <v>2460</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393.89749285694324</v>
      </c>
      <c r="J10" s="3123">
        <f>IF(SUM(J11:J16)=0,"NO",SUM(J11:J16))</f>
        <v>3.1183950275781536</v>
      </c>
      <c r="K10" s="4433">
        <f>IF(SUM(K11:K16)=0,"NO",SUM(K11:K16))</f>
        <v>1.1920853502942905E-2</v>
      </c>
      <c r="L10" s="3124" t="s">
        <v>199</v>
      </c>
    </row>
    <row r="11" spans="2:12" ht="18" customHeight="1" x14ac:dyDescent="0.2">
      <c r="B11" s="1251" t="s">
        <v>520</v>
      </c>
      <c r="C11" s="2190" t="s">
        <v>521</v>
      </c>
      <c r="D11" s="2190" t="s">
        <v>522</v>
      </c>
      <c r="E11" s="699">
        <v>61</v>
      </c>
      <c r="F11" s="1938">
        <f>I11*1000000/$E11</f>
        <v>33186.396561911475</v>
      </c>
      <c r="G11" s="1938">
        <f>J11*1000000/$E11</f>
        <v>3.456916308532449</v>
      </c>
      <c r="H11" s="1938">
        <f>K11*1000000/$E11</f>
        <v>2.3417820154574653</v>
      </c>
      <c r="I11" s="3119">
        <v>2.0243701902766</v>
      </c>
      <c r="J11" s="4434">
        <v>2.1087189482047939E-4</v>
      </c>
      <c r="K11" s="4440">
        <v>1.4284870294290538E-4</v>
      </c>
      <c r="L11" s="3072" t="s">
        <v>199</v>
      </c>
    </row>
    <row r="12" spans="2:12" ht="18" customHeight="1" x14ac:dyDescent="0.2">
      <c r="B12" s="1251" t="s">
        <v>523</v>
      </c>
      <c r="C12" s="2190" t="s">
        <v>524</v>
      </c>
      <c r="D12" s="2190" t="s">
        <v>525</v>
      </c>
      <c r="E12" s="699">
        <v>1183.8</v>
      </c>
      <c r="F12" s="1938" t="s">
        <v>205</v>
      </c>
      <c r="G12" s="1938">
        <f>J12*1000000/$E12</f>
        <v>386.88967731035649</v>
      </c>
      <c r="H12" s="3075"/>
      <c r="I12" s="3125" t="s">
        <v>205</v>
      </c>
      <c r="J12" s="699">
        <v>0.45800000000000002</v>
      </c>
      <c r="K12" s="3027"/>
      <c r="L12" s="3072" t="s">
        <v>199</v>
      </c>
    </row>
    <row r="13" spans="2:12" ht="18" customHeight="1" x14ac:dyDescent="0.2">
      <c r="B13" s="1251" t="s">
        <v>526</v>
      </c>
      <c r="C13" s="2190" t="s">
        <v>527</v>
      </c>
      <c r="D13" s="2190" t="s">
        <v>525</v>
      </c>
      <c r="E13" s="699">
        <v>814.09999999999991</v>
      </c>
      <c r="F13" s="1938" t="s">
        <v>205</v>
      </c>
      <c r="G13" s="1938">
        <f>J13*1000000/$E13</f>
        <v>501.12025549686768</v>
      </c>
      <c r="H13" s="3075"/>
      <c r="I13" s="3125" t="s">
        <v>205</v>
      </c>
      <c r="J13" s="699">
        <v>0.40796199999999994</v>
      </c>
      <c r="K13" s="3027"/>
      <c r="L13" s="3072" t="s">
        <v>199</v>
      </c>
    </row>
    <row r="14" spans="2:12" ht="18" customHeight="1" x14ac:dyDescent="0.2">
      <c r="B14" s="1251" t="s">
        <v>528</v>
      </c>
      <c r="C14" s="2190" t="s">
        <v>529</v>
      </c>
      <c r="D14" s="2190" t="s">
        <v>525</v>
      </c>
      <c r="E14" s="699">
        <v>1386.3</v>
      </c>
      <c r="F14" s="1938">
        <f>I14*1000000/$E14</f>
        <v>282675.55555555556</v>
      </c>
      <c r="G14" s="1938">
        <f>J14*1000000/$E14</f>
        <v>1598.0529274567791</v>
      </c>
      <c r="H14" s="1938">
        <f>K14*1000000/$E14</f>
        <v>8.4960000000000004</v>
      </c>
      <c r="I14" s="3125">
        <v>391.87312266666663</v>
      </c>
      <c r="J14" s="699">
        <v>2.2153807733333331</v>
      </c>
      <c r="K14" s="4439">
        <v>1.17780048E-2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3.684138235E-2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1421</v>
      </c>
      <c r="F18" s="1938" t="s">
        <v>205</v>
      </c>
      <c r="G18" s="1938">
        <f>J18*1000000/$E18</f>
        <v>25.926377445460943</v>
      </c>
      <c r="H18" s="3126"/>
      <c r="I18" s="3128" t="s">
        <v>205</v>
      </c>
      <c r="J18" s="2215">
        <v>3.684138235E-2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84.546373705096045</v>
      </c>
      <c r="J21" s="4437">
        <f>IF(SUM(J22:J27)=0,"NO",SUM(J22:J27))</f>
        <v>200.80427180991666</v>
      </c>
      <c r="K21" s="4438">
        <f>IF(SUM(K22:K27)=0,"NO",SUM(K22:K27))</f>
        <v>2.1751000090130695E-3</v>
      </c>
      <c r="L21" s="3047" t="str">
        <f>IF(SUM(L22:L27)=0,"NO",SUM(L22:L27))</f>
        <v>NO</v>
      </c>
    </row>
    <row r="22" spans="2:12" ht="18" customHeight="1" x14ac:dyDescent="0.2">
      <c r="B22" s="1468" t="s">
        <v>535</v>
      </c>
      <c r="C22" s="2190" t="s">
        <v>521</v>
      </c>
      <c r="D22" s="2190" t="s">
        <v>522</v>
      </c>
      <c r="E22" s="699">
        <v>126.1</v>
      </c>
      <c r="F22" s="1938">
        <f>I22*1000000/$E22</f>
        <v>585722.51584353496</v>
      </c>
      <c r="G22" s="1938">
        <f>J22*1000000/$E22</f>
        <v>8363.0469303376685</v>
      </c>
      <c r="H22" s="1938">
        <f>K22*1000000/$E22</f>
        <v>17.249008794711102</v>
      </c>
      <c r="I22" s="3119">
        <v>73.859609247869756</v>
      </c>
      <c r="J22" s="700">
        <v>1.0545802179155799</v>
      </c>
      <c r="K22" s="4129">
        <v>2.1751000090130695E-3</v>
      </c>
      <c r="L22" s="3133" t="s">
        <v>199</v>
      </c>
    </row>
    <row r="23" spans="2:12" ht="18" customHeight="1" x14ac:dyDescent="0.2">
      <c r="B23" s="1251" t="s">
        <v>536</v>
      </c>
      <c r="C23" s="2190" t="s">
        <v>537</v>
      </c>
      <c r="D23" s="2190" t="s">
        <v>525</v>
      </c>
      <c r="E23" s="699">
        <v>1991.099608417383</v>
      </c>
      <c r="F23" s="1938">
        <f>I23*1000000/$E23</f>
        <v>184.05116322696855</v>
      </c>
      <c r="G23" s="1938">
        <f>J23*1000000/$E23</f>
        <v>2264.9361748046726</v>
      </c>
      <c r="H23" s="3075"/>
      <c r="I23" s="3125">
        <v>0.36646419902998095</v>
      </c>
      <c r="J23" s="699">
        <v>4.5097135307439489</v>
      </c>
      <c r="K23" s="3027"/>
      <c r="L23" s="3133" t="s">
        <v>199</v>
      </c>
    </row>
    <row r="24" spans="2:12" ht="18" customHeight="1" x14ac:dyDescent="0.2">
      <c r="B24" s="1251" t="s">
        <v>538</v>
      </c>
      <c r="C24" s="2190" t="s">
        <v>537</v>
      </c>
      <c r="D24" s="2190" t="s">
        <v>525</v>
      </c>
      <c r="E24" s="699">
        <v>1991.099608417383</v>
      </c>
      <c r="F24" s="1938">
        <f t="shared" ref="F24:F26" si="0">I24*1000000/$E24</f>
        <v>798.87130430368506</v>
      </c>
      <c r="G24" s="1938">
        <f t="shared" ref="G24:G26" si="1">J24*1000000/$E24</f>
        <v>4515.3979431312664</v>
      </c>
      <c r="H24" s="1885"/>
      <c r="I24" s="699">
        <v>1.5906323411749512</v>
      </c>
      <c r="J24" s="699">
        <v>8.9906070764173212</v>
      </c>
      <c r="K24" s="1939"/>
      <c r="L24" s="3072" t="str">
        <f>IF(Table1.C!E21="NO","NO",-Table1.C!E21)</f>
        <v>NO</v>
      </c>
    </row>
    <row r="25" spans="2:12" ht="18" customHeight="1" x14ac:dyDescent="0.2">
      <c r="B25" s="1251" t="s">
        <v>539</v>
      </c>
      <c r="C25" s="2190" t="s">
        <v>540</v>
      </c>
      <c r="D25" s="2190" t="s">
        <v>541</v>
      </c>
      <c r="E25" s="699">
        <v>10367</v>
      </c>
      <c r="F25" s="1938">
        <f t="shared" si="0"/>
        <v>20.000000000000004</v>
      </c>
      <c r="G25" s="1938">
        <f t="shared" si="1"/>
        <v>734.62911160412852</v>
      </c>
      <c r="H25" s="3075"/>
      <c r="I25" s="3125">
        <v>0.20734000000000002</v>
      </c>
      <c r="J25" s="699">
        <v>7.6159000000000008</v>
      </c>
      <c r="K25" s="3027"/>
      <c r="L25" s="3072" t="s">
        <v>199</v>
      </c>
    </row>
    <row r="26" spans="2:12" ht="18" customHeight="1" x14ac:dyDescent="0.2">
      <c r="B26" s="1251" t="s">
        <v>542</v>
      </c>
      <c r="C26" s="2190" t="s">
        <v>543</v>
      </c>
      <c r="D26" s="2190" t="s">
        <v>525</v>
      </c>
      <c r="E26" s="699">
        <v>294.08414176539742</v>
      </c>
      <c r="F26" s="1938">
        <f t="shared" si="0"/>
        <v>28018.805890693999</v>
      </c>
      <c r="G26" s="1938">
        <f t="shared" si="1"/>
        <v>587099.18472297571</v>
      </c>
      <c r="H26" s="3075"/>
      <c r="I26" s="3125">
        <v>8.2398864836560062</v>
      </c>
      <c r="J26" s="699">
        <v>172.65655987042084</v>
      </c>
      <c r="K26" s="3027"/>
      <c r="L26" s="3072" t="s">
        <v>199</v>
      </c>
    </row>
    <row r="27" spans="2:12" ht="18" customHeight="1" x14ac:dyDescent="0.2">
      <c r="B27" s="2436" t="s">
        <v>544</v>
      </c>
      <c r="C27" s="607"/>
      <c r="D27" s="607"/>
      <c r="E27" s="615"/>
      <c r="F27" s="615"/>
      <c r="G27" s="615"/>
      <c r="H27" s="3126"/>
      <c r="I27" s="1938">
        <f>IF(SUM(I29:I30)=0,"NO",SUM(I29:I30))</f>
        <v>0.28244143336534366</v>
      </c>
      <c r="J27" s="1938">
        <f>IF(SUM(J29:J30)=0,"NO",SUM(J29:J30))</f>
        <v>5.9769111144189928</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0.28244143336534366</v>
      </c>
      <c r="J29" s="3128">
        <v>5.8585375873689927</v>
      </c>
      <c r="K29" s="3110"/>
      <c r="L29" s="3080" t="s">
        <v>199</v>
      </c>
    </row>
    <row r="30" spans="2:12" ht="18" customHeight="1" thickBot="1" x14ac:dyDescent="0.25">
      <c r="B30" s="2437" t="s">
        <v>547</v>
      </c>
      <c r="C30" s="2190" t="s">
        <v>533</v>
      </c>
      <c r="D30" s="2190" t="s">
        <v>522</v>
      </c>
      <c r="E30" s="699">
        <v>5473</v>
      </c>
      <c r="F30" s="1938" t="s">
        <v>205</v>
      </c>
      <c r="G30" s="1938">
        <f t="shared" ref="G30" si="2">J30*1000000/$E30</f>
        <v>21.628636405993056</v>
      </c>
      <c r="H30" s="3126"/>
      <c r="I30" s="3128" t="s">
        <v>205</v>
      </c>
      <c r="J30" s="3128">
        <v>0.11837352705000001</v>
      </c>
      <c r="K30" s="3110"/>
      <c r="L30" s="3080" t="s">
        <v>199</v>
      </c>
    </row>
    <row r="31" spans="2:12" ht="18" customHeight="1" x14ac:dyDescent="0.2">
      <c r="B31" s="1254" t="s">
        <v>548</v>
      </c>
      <c r="C31" s="2192"/>
      <c r="D31" s="2192"/>
      <c r="E31" s="3183"/>
      <c r="F31" s="3183"/>
      <c r="G31" s="3183"/>
      <c r="H31" s="3183"/>
      <c r="I31" s="4437">
        <f>IF(SUM(I32,I36)=0,"NO",SUM(I32,I36))</f>
        <v>5610.3987358085205</v>
      </c>
      <c r="J31" s="3046">
        <f>IF(SUM(J32,J36)=0,"NO",SUM(J32,J36))</f>
        <v>103.54064201086059</v>
      </c>
      <c r="K31" s="3046">
        <f>IF(SUM(K32,K36)=0,"NO",SUM(K32,K36))</f>
        <v>0.12095509683955875</v>
      </c>
      <c r="L31" s="3047" t="str">
        <f>IF(SUM(L32,L36)=0,"NO",SUM(L32,L36))</f>
        <v>NO</v>
      </c>
    </row>
    <row r="32" spans="2:12" ht="18" customHeight="1" x14ac:dyDescent="0.2">
      <c r="B32" s="1467" t="s">
        <v>549</v>
      </c>
      <c r="C32" s="2195"/>
      <c r="D32" s="2195"/>
      <c r="E32" s="3007"/>
      <c r="F32" s="3007"/>
      <c r="G32" s="3007"/>
      <c r="H32" s="3007"/>
      <c r="I32" s="3134">
        <f>IF(SUM(I33:I35)=0,"NO",SUM(I33:I35))</f>
        <v>1967.0425100769319</v>
      </c>
      <c r="J32" s="1938">
        <f>IF(SUM(J33:J35)=0,"NO",SUM(J33:J35))</f>
        <v>84.569326268445622</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3174.8996084173832</v>
      </c>
      <c r="F35" s="1938">
        <f t="shared" ref="F35" si="3">SUM(I35,L35)*1000000/$E35</f>
        <v>619560.53818579135</v>
      </c>
      <c r="G35" s="1938">
        <f t="shared" ref="G35" si="4">J35*1000000/$E35</f>
        <v>26636.850514653455</v>
      </c>
      <c r="H35" s="1938" t="s">
        <v>205</v>
      </c>
      <c r="I35" s="699">
        <v>1967.0425100769319</v>
      </c>
      <c r="J35" s="699">
        <v>84.569326268445622</v>
      </c>
      <c r="K35" s="699" t="s">
        <v>199</v>
      </c>
      <c r="L35" s="3072" t="s">
        <v>199</v>
      </c>
    </row>
    <row r="36" spans="2:12" ht="18" customHeight="1" x14ac:dyDescent="0.2">
      <c r="B36" s="1467" t="s">
        <v>554</v>
      </c>
      <c r="C36" s="2195"/>
      <c r="D36" s="2195"/>
      <c r="E36" s="3007"/>
      <c r="F36" s="3007"/>
      <c r="G36" s="3007"/>
      <c r="H36" s="3007"/>
      <c r="I36" s="3134">
        <f>IF(SUM(I37:I39)=0,"NO",SUM(I37:I39))</f>
        <v>3643.3562257315889</v>
      </c>
      <c r="J36" s="3134">
        <f>IF(SUM(J37:J39)=0,"NO",SUM(J37:J39))</f>
        <v>18.971315742414976</v>
      </c>
      <c r="K36" s="1938">
        <f>IF(SUM(K37:K39)=0,"NO",SUM(K37:K39))</f>
        <v>0.12095509683955875</v>
      </c>
      <c r="L36" s="3044" t="str">
        <f>IF(SUM(L37:L39)=0,"NO",SUM(L37:L39))</f>
        <v>NO</v>
      </c>
    </row>
    <row r="37" spans="2:12" ht="18" customHeight="1" x14ac:dyDescent="0.2">
      <c r="B37" s="1469" t="s">
        <v>555</v>
      </c>
      <c r="C37" s="277" t="s">
        <v>556</v>
      </c>
      <c r="D37" s="277" t="s">
        <v>525</v>
      </c>
      <c r="E37" s="699">
        <v>23.002566319165688</v>
      </c>
      <c r="F37" s="1938">
        <f t="shared" ref="F37:F38" si="5">SUM(I37,L37)*1000000/$E37</f>
        <v>52924422.83719182</v>
      </c>
      <c r="G37" s="1938">
        <f t="shared" ref="G37:H38" si="6">J37*1000000/$E37</f>
        <v>638743.03424197016</v>
      </c>
      <c r="H37" s="1938">
        <f t="shared" si="6"/>
        <v>1478.2338792457026</v>
      </c>
      <c r="I37" s="700">
        <v>1217.3975462160718</v>
      </c>
      <c r="J37" s="700">
        <v>14.692729006056039</v>
      </c>
      <c r="K37" s="700">
        <v>3.4003172842586832E-2</v>
      </c>
      <c r="L37" s="3133" t="s">
        <v>199</v>
      </c>
    </row>
    <row r="38" spans="2:12" ht="18" customHeight="1" x14ac:dyDescent="0.2">
      <c r="B38" s="1469" t="s">
        <v>557</v>
      </c>
      <c r="C38" s="277" t="s">
        <v>556</v>
      </c>
      <c r="D38" s="277" t="s">
        <v>525</v>
      </c>
      <c r="E38" s="699">
        <v>53.606283366508841</v>
      </c>
      <c r="F38" s="1938">
        <f t="shared" si="5"/>
        <v>45255118.004154772</v>
      </c>
      <c r="G38" s="1938">
        <f t="shared" si="6"/>
        <v>79815.02293501723</v>
      </c>
      <c r="H38" s="1938">
        <f t="shared" si="6"/>
        <v>1622.0472402922856</v>
      </c>
      <c r="I38" s="699">
        <v>2425.9586795155169</v>
      </c>
      <c r="J38" s="699">
        <v>4.2785867363589363</v>
      </c>
      <c r="K38" s="699">
        <v>8.6951923996971922E-2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6" t="s">
        <v>562</v>
      </c>
      <c r="C66" s="4507"/>
      <c r="D66" s="4507"/>
      <c r="E66" s="4507"/>
      <c r="F66" s="4507"/>
      <c r="G66" s="4507"/>
      <c r="H66" s="4507"/>
      <c r="I66" s="4507"/>
      <c r="J66" s="4507"/>
      <c r="K66" s="4507"/>
      <c r="L66" s="4508"/>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3" workbookViewId="0">
      <selection activeCell="E19" sqref="E19"/>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2459</v>
      </c>
    </row>
    <row r="2" spans="1:10" ht="17.25" x14ac:dyDescent="0.3">
      <c r="B2" s="115" t="s">
        <v>564</v>
      </c>
      <c r="E2" s="14" t="s">
        <v>2460</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205</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2459</v>
      </c>
    </row>
    <row r="2" spans="1:13" ht="15.75" customHeight="1" x14ac:dyDescent="0.25">
      <c r="B2" s="211" t="s">
        <v>589</v>
      </c>
      <c r="C2" s="211"/>
      <c r="D2" s="211"/>
      <c r="E2" s="211"/>
      <c r="F2" s="211"/>
      <c r="G2" s="211"/>
      <c r="I2" s="2"/>
      <c r="M2" s="14" t="s">
        <v>2460</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37.463863721570256</v>
      </c>
      <c r="M9" s="3323">
        <f>100*C10/SUM(C10,'Table1.A(a)s3'!C16)</f>
        <v>62.536136278429744</v>
      </c>
    </row>
    <row r="10" spans="1:13" ht="18" customHeight="1" thickTop="1" thickBot="1" x14ac:dyDescent="0.25">
      <c r="B10" s="223" t="s">
        <v>603</v>
      </c>
      <c r="C10" s="3303">
        <f>IF(SUM(C11:C13)=0,"NO",SUM(C11:C13))</f>
        <v>62970</v>
      </c>
      <c r="D10" s="3304"/>
      <c r="E10" s="3305"/>
      <c r="F10" s="3305"/>
      <c r="G10" s="3303">
        <f>IF(SUM(G11:G13)=0,"NO",SUM(G11:G13))</f>
        <v>4382.7120000000004</v>
      </c>
      <c r="H10" s="3303">
        <f>IF(SUM(H11:H13)=0,"NO",SUM(H11:H13))</f>
        <v>7.8174483333333343E-3</v>
      </c>
      <c r="I10" s="1154">
        <f>IF(SUM(I11:I13)=0,"NO",SUM(I11:I13))</f>
        <v>2.2973873321929825E-2</v>
      </c>
      <c r="J10" s="4"/>
      <c r="K10" s="68" t="s">
        <v>604</v>
      </c>
      <c r="L10" s="3324">
        <f>100-M10</f>
        <v>54.722751466911866</v>
      </c>
      <c r="M10" s="3325">
        <f>100*C14/SUM(C14,'Table1.A(a)s3'!C88)</f>
        <v>45.277248533088134</v>
      </c>
    </row>
    <row r="11" spans="1:13" ht="18" customHeight="1" x14ac:dyDescent="0.2">
      <c r="B11" s="1257" t="s">
        <v>293</v>
      </c>
      <c r="C11" s="3306">
        <v>62970</v>
      </c>
      <c r="D11" s="116">
        <f>IF(G11="NO","NA",G11*1000/$C11)</f>
        <v>69.599999999999994</v>
      </c>
      <c r="E11" s="116">
        <f t="shared" ref="E11:F13" si="0">IF(H11="NO","NA",H11*1000000/$C11)</f>
        <v>0.12414559843311632</v>
      </c>
      <c r="F11" s="116">
        <f t="shared" si="0"/>
        <v>0.36483838846958594</v>
      </c>
      <c r="G11" s="3041">
        <v>4382.7120000000004</v>
      </c>
      <c r="H11" s="3041">
        <v>7.8174483333333343E-3</v>
      </c>
      <c r="I11" s="3042">
        <v>2.2973873321929825E-2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28510</v>
      </c>
      <c r="D14" s="3313"/>
      <c r="E14" s="3314"/>
      <c r="F14" s="3315"/>
      <c r="G14" s="3387">
        <f>IF(SUM(G15:G18,G20:G22)=0,"NO",SUM(G15:G18,G20:G22))</f>
        <v>2077.69</v>
      </c>
      <c r="H14" s="3387">
        <f>IF(SUM(H15:H18,H20:H22)=0,"NO",SUM(H15:H18,H20:H22))</f>
        <v>0.19957000000000003</v>
      </c>
      <c r="I14" s="4428">
        <f>IF(SUM(I15:I18,I20:I22)=0,"NO",SUM(I15:I18,I20:I22))</f>
        <v>5.7020000000000001E-2</v>
      </c>
      <c r="J14" s="4"/>
      <c r="K14" s="1045"/>
      <c r="L14" s="1045"/>
      <c r="M14" s="1045"/>
    </row>
    <row r="15" spans="1:13" ht="18" customHeight="1" x14ac:dyDescent="0.2">
      <c r="B15" s="1259" t="s">
        <v>306</v>
      </c>
      <c r="C15" s="143">
        <v>22930</v>
      </c>
      <c r="D15" s="116">
        <f>IF(G15="NO","NA",G15*1000/$C15)</f>
        <v>73.600000000000009</v>
      </c>
      <c r="E15" s="116">
        <f t="shared" ref="E15:F17" si="1">IF(H15="NO","NA",H15*1000000/$C15)</f>
        <v>7</v>
      </c>
      <c r="F15" s="116">
        <f t="shared" si="1"/>
        <v>2</v>
      </c>
      <c r="G15" s="3043">
        <v>1687.6480000000001</v>
      </c>
      <c r="H15" s="3043">
        <v>0.16051000000000001</v>
      </c>
      <c r="I15" s="135">
        <v>4.5859999999999998E-2</v>
      </c>
      <c r="J15" s="4"/>
      <c r="K15" s="1045"/>
      <c r="L15" s="1045"/>
      <c r="M15" s="1045"/>
    </row>
    <row r="16" spans="1:13" ht="18" customHeight="1" x14ac:dyDescent="0.2">
      <c r="B16" s="1259" t="s">
        <v>307</v>
      </c>
      <c r="C16" s="3316">
        <v>5580</v>
      </c>
      <c r="D16" s="116">
        <f>IF(G16="NO","NA",G16*1000/$C16)</f>
        <v>69.900000000000006</v>
      </c>
      <c r="E16" s="116">
        <f t="shared" si="1"/>
        <v>7</v>
      </c>
      <c r="F16" s="116">
        <f t="shared" si="1"/>
        <v>2</v>
      </c>
      <c r="G16" s="3043">
        <v>390.04199999999997</v>
      </c>
      <c r="H16" s="3043">
        <v>3.9059999999999997E-2</v>
      </c>
      <c r="I16" s="135">
        <v>1.116E-2</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500" t="s">
        <v>609</v>
      </c>
      <c r="C43" s="4501"/>
      <c r="D43" s="4501"/>
      <c r="E43" s="4501"/>
      <c r="F43" s="4501"/>
      <c r="G43" s="4501"/>
      <c r="H43" s="4501"/>
      <c r="I43" s="4502"/>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2459</v>
      </c>
    </row>
    <row r="2" spans="1:15" ht="15.75" customHeight="1" x14ac:dyDescent="0.2">
      <c r="B2" s="3" t="s">
        <v>162</v>
      </c>
      <c r="G2" s="110" t="s">
        <v>415</v>
      </c>
      <c r="N2" s="2"/>
      <c r="O2" s="14" t="s">
        <v>2460</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18552.628794626791</v>
      </c>
      <c r="D10" s="2923">
        <f t="shared" ref="D10:N10" si="0">IF(SUM(D11,D16,D27,D35,D39,D45,D52,D57)=0,"NO",SUM(D11,D16,D27,D35,D39,D45,D52,D57))</f>
        <v>3.2646478675884056</v>
      </c>
      <c r="E10" s="2923">
        <f t="shared" si="0"/>
        <v>3.4138016387751899</v>
      </c>
      <c r="F10" s="2923">
        <f t="shared" si="0"/>
        <v>1193.6537599999999</v>
      </c>
      <c r="G10" s="2923">
        <f t="shared" si="0"/>
        <v>4143.5315389337156</v>
      </c>
      <c r="H10" s="2923" t="str">
        <f t="shared" si="0"/>
        <v>NO</v>
      </c>
      <c r="I10" s="2923">
        <f t="shared" si="0"/>
        <v>9.6736708047799533E-3</v>
      </c>
      <c r="J10" s="2923" t="str">
        <f t="shared" si="0"/>
        <v>NO</v>
      </c>
      <c r="K10" s="2923">
        <f t="shared" si="0"/>
        <v>38.265821273188067</v>
      </c>
      <c r="L10" s="2924">
        <f t="shared" si="0"/>
        <v>10.241960561549927</v>
      </c>
      <c r="M10" s="2925">
        <f t="shared" si="0"/>
        <v>219.54182808646141</v>
      </c>
      <c r="N10" s="2926">
        <f t="shared" si="0"/>
        <v>1024.884097793984</v>
      </c>
      <c r="O10" s="3002">
        <f t="shared" ref="O10:O58" si="1">IF(SUM(C10:J10)=0,"NO",SUM(C10,F10:H10)+28*SUM(D10)+265*SUM(E10)+23500*SUM(I10)+16100*SUM(J10))</f>
        <v>25113.212932040737</v>
      </c>
    </row>
    <row r="11" spans="1:15" ht="18" customHeight="1" x14ac:dyDescent="0.2">
      <c r="B11" s="1262" t="s">
        <v>621</v>
      </c>
      <c r="C11" s="2163">
        <f>IF(SUM(C12:C15)=0,"NO",SUM(C12:C15))</f>
        <v>5489.5881371538135</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5489.5881371538135</v>
      </c>
    </row>
    <row r="12" spans="1:15" ht="18" customHeight="1" x14ac:dyDescent="0.2">
      <c r="B12" s="1263" t="s">
        <v>622</v>
      </c>
      <c r="C12" s="2930">
        <f>'Table2(I).A-H'!H11</f>
        <v>3462.8717120000006</v>
      </c>
      <c r="D12" s="2162"/>
      <c r="E12" s="2162"/>
      <c r="F12" s="615"/>
      <c r="G12" s="615"/>
      <c r="H12" s="2161"/>
      <c r="I12" s="615"/>
      <c r="J12" s="2161"/>
      <c r="K12" s="2161"/>
      <c r="L12" s="2161"/>
      <c r="M12" s="2161"/>
      <c r="N12" s="2929" t="s">
        <v>199</v>
      </c>
      <c r="O12" s="2943">
        <f t="shared" si="1"/>
        <v>3462.8717120000006</v>
      </c>
    </row>
    <row r="13" spans="1:15" ht="18" customHeight="1" x14ac:dyDescent="0.2">
      <c r="B13" s="1263" t="s">
        <v>623</v>
      </c>
      <c r="C13" s="1884">
        <f>'Table2(I).A-H'!H12</f>
        <v>775.37383361911611</v>
      </c>
      <c r="D13" s="2135"/>
      <c r="E13" s="2135"/>
      <c r="F13" s="615"/>
      <c r="G13" s="615"/>
      <c r="H13" s="2161"/>
      <c r="I13" s="615"/>
      <c r="J13" s="2161"/>
      <c r="K13" s="615"/>
      <c r="L13" s="615"/>
      <c r="M13" s="615"/>
      <c r="N13" s="1842"/>
      <c r="O13" s="1887">
        <f t="shared" si="1"/>
        <v>775.37383361911611</v>
      </c>
    </row>
    <row r="14" spans="1:15" ht="18" customHeight="1" x14ac:dyDescent="0.2">
      <c r="B14" s="1263" t="s">
        <v>624</v>
      </c>
      <c r="C14" s="1884">
        <f>'Table2(I).A-H'!H13</f>
        <v>86.54450107596044</v>
      </c>
      <c r="D14" s="2135"/>
      <c r="E14" s="2135"/>
      <c r="F14" s="615"/>
      <c r="G14" s="615"/>
      <c r="H14" s="2161"/>
      <c r="I14" s="615"/>
      <c r="J14" s="2161"/>
      <c r="K14" s="615"/>
      <c r="L14" s="615"/>
      <c r="M14" s="615"/>
      <c r="N14" s="1842"/>
      <c r="O14" s="1887">
        <f t="shared" si="1"/>
        <v>86.54450107596044</v>
      </c>
    </row>
    <row r="15" spans="1:15" ht="18" customHeight="1" thickBot="1" x14ac:dyDescent="0.25">
      <c r="B15" s="1263" t="s">
        <v>625</v>
      </c>
      <c r="C15" s="1884">
        <f>'Table2(I).A-H'!H14</f>
        <v>1164.7980904587366</v>
      </c>
      <c r="D15" s="1885"/>
      <c r="E15" s="1885"/>
      <c r="F15" s="3003"/>
      <c r="G15" s="3003"/>
      <c r="H15" s="3003"/>
      <c r="I15" s="3003"/>
      <c r="J15" s="3003"/>
      <c r="K15" s="2622" t="s">
        <v>199</v>
      </c>
      <c r="L15" s="2622" t="s">
        <v>199</v>
      </c>
      <c r="M15" s="2622" t="s">
        <v>199</v>
      </c>
      <c r="N15" s="2623" t="s">
        <v>199</v>
      </c>
      <c r="O15" s="1887">
        <f t="shared" si="1"/>
        <v>1164.7980904587366</v>
      </c>
    </row>
    <row r="16" spans="1:15" ht="18" customHeight="1" x14ac:dyDescent="0.2">
      <c r="B16" s="1264" t="s">
        <v>626</v>
      </c>
      <c r="C16" s="2163">
        <f>IF(SUM(C17:C26)=0,"NO",SUM(C17:C26))</f>
        <v>1054.6897029809472</v>
      </c>
      <c r="D16" s="2163">
        <f t="shared" ref="D16:N16" si="3">IF(SUM(D17:D26)=0,"NO",SUM(D17:D26))</f>
        <v>0.43762607399999998</v>
      </c>
      <c r="E16" s="2163">
        <f t="shared" si="3"/>
        <v>3.33906306</v>
      </c>
      <c r="F16" s="2164">
        <f t="shared" si="3"/>
        <v>1193.6537599999999</v>
      </c>
      <c r="G16" s="2164" t="str">
        <f t="shared" si="3"/>
        <v>NO</v>
      </c>
      <c r="H16" s="2164" t="str">
        <f t="shared" si="3"/>
        <v>NO</v>
      </c>
      <c r="I16" s="2164" t="str">
        <f t="shared" si="3"/>
        <v>NO</v>
      </c>
      <c r="J16" s="2164" t="str">
        <f t="shared" si="3"/>
        <v>NO</v>
      </c>
      <c r="K16" s="2930" t="str">
        <f t="shared" si="3"/>
        <v>NO</v>
      </c>
      <c r="L16" s="2163" t="str">
        <f t="shared" si="3"/>
        <v>NO</v>
      </c>
      <c r="M16" s="2163">
        <f t="shared" si="3"/>
        <v>4.1018873770000006</v>
      </c>
      <c r="N16" s="2928" t="str">
        <f t="shared" si="3"/>
        <v>NO</v>
      </c>
      <c r="O16" s="2950">
        <f t="shared" si="1"/>
        <v>3145.4487039529472</v>
      </c>
    </row>
    <row r="17" spans="2:15" ht="18" customHeight="1" x14ac:dyDescent="0.2">
      <c r="B17" s="1265" t="s">
        <v>627</v>
      </c>
      <c r="C17" s="2930">
        <f>'Table2(I).A-H'!H23</f>
        <v>543.83928765755775</v>
      </c>
      <c r="D17" s="2165" t="str">
        <f>'Table2(I).A-H'!I23</f>
        <v>NO</v>
      </c>
      <c r="E17" s="2165" t="str">
        <f>'Table2(I).A-H'!J23</f>
        <v>NO</v>
      </c>
      <c r="F17" s="2161"/>
      <c r="G17" s="2161"/>
      <c r="H17" s="2161"/>
      <c r="I17" s="2161"/>
      <c r="J17" s="2161"/>
      <c r="K17" s="700" t="s">
        <v>199</v>
      </c>
      <c r="L17" s="700" t="s">
        <v>199</v>
      </c>
      <c r="M17" s="700" t="s">
        <v>199</v>
      </c>
      <c r="N17" s="700" t="s">
        <v>199</v>
      </c>
      <c r="O17" s="2943">
        <f t="shared" si="1"/>
        <v>543.83928765755775</v>
      </c>
    </row>
    <row r="18" spans="2:15" ht="18" customHeight="1" x14ac:dyDescent="0.2">
      <c r="B18" s="1263" t="s">
        <v>628</v>
      </c>
      <c r="C18" s="1935"/>
      <c r="D18" s="2162"/>
      <c r="E18" s="2165">
        <f>'Table2(I).A-H'!J24</f>
        <v>3.33906306</v>
      </c>
      <c r="F18" s="615"/>
      <c r="G18" s="615"/>
      <c r="H18" s="2161"/>
      <c r="I18" s="615"/>
      <c r="J18" s="2161"/>
      <c r="K18" s="700" t="s">
        <v>199</v>
      </c>
      <c r="L18" s="615"/>
      <c r="M18" s="615"/>
      <c r="N18" s="1842"/>
      <c r="O18" s="2943">
        <f t="shared" si="1"/>
        <v>884.85171089999994</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415.11969387755096</v>
      </c>
      <c r="D22" s="1939"/>
      <c r="E22" s="615"/>
      <c r="F22" s="615"/>
      <c r="G22" s="615"/>
      <c r="H22" s="2161"/>
      <c r="I22" s="615"/>
      <c r="J22" s="2161"/>
      <c r="K22" s="1939"/>
      <c r="L22" s="1939"/>
      <c r="M22" s="1939"/>
      <c r="N22" s="2931"/>
      <c r="O22" s="1887">
        <f t="shared" si="1"/>
        <v>415.11969387755096</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0.43762607399999998</v>
      </c>
      <c r="E24" s="615"/>
      <c r="F24" s="615"/>
      <c r="G24" s="615"/>
      <c r="H24" s="2161"/>
      <c r="I24" s="615"/>
      <c r="J24" s="2161"/>
      <c r="K24" s="700" t="s">
        <v>199</v>
      </c>
      <c r="L24" s="700" t="s">
        <v>199</v>
      </c>
      <c r="M24" s="699">
        <v>4.1018873770000006</v>
      </c>
      <c r="N24" s="700" t="s">
        <v>199</v>
      </c>
      <c r="O24" s="1887">
        <f t="shared" si="1"/>
        <v>12.253530072</v>
      </c>
    </row>
    <row r="25" spans="2:15" ht="18" customHeight="1" x14ac:dyDescent="0.2">
      <c r="B25" s="1263" t="s">
        <v>635</v>
      </c>
      <c r="C25" s="1939"/>
      <c r="D25" s="1939"/>
      <c r="E25" s="615"/>
      <c r="F25" s="2166">
        <f>'Table2(II)'!W40</f>
        <v>1193.6537599999999</v>
      </c>
      <c r="G25" s="2166" t="str">
        <f>'Table2(II)'!AH40</f>
        <v>NO</v>
      </c>
      <c r="H25" s="2165" t="str">
        <f>'Table2(II)'!AI40</f>
        <v>NO</v>
      </c>
      <c r="I25" s="2166" t="str">
        <f>'Table2(II)'!AJ40</f>
        <v>NO</v>
      </c>
      <c r="J25" s="2165" t="str">
        <f>'Table2(II)'!AK40</f>
        <v>NO</v>
      </c>
      <c r="K25" s="1939"/>
      <c r="L25" s="1939"/>
      <c r="M25" s="1939"/>
      <c r="N25" s="2931"/>
      <c r="O25" s="1887">
        <f t="shared" si="1"/>
        <v>1193.6537599999999</v>
      </c>
    </row>
    <row r="26" spans="2:15" ht="18" customHeight="1" thickBot="1" x14ac:dyDescent="0.25">
      <c r="B26" s="1263" t="s">
        <v>636</v>
      </c>
      <c r="C26" s="1884">
        <f>'Table2(I).A-H'!H47</f>
        <v>95.730721445838583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95.730721445838583</v>
      </c>
    </row>
    <row r="27" spans="2:15" ht="18" customHeight="1" x14ac:dyDescent="0.2">
      <c r="B27" s="1262" t="s">
        <v>637</v>
      </c>
      <c r="C27" s="2163">
        <f>IF(SUM(C28:C34)=0,"NO",SUM(C28:C34))</f>
        <v>11644.473410340323</v>
      </c>
      <c r="D27" s="2163">
        <f t="shared" ref="D27:N27" si="4">IF(SUM(D28:D34)=0,"NO",SUM(D28:D34))</f>
        <v>2.8270217935884054</v>
      </c>
      <c r="E27" s="2163">
        <f t="shared" si="4"/>
        <v>7.4738578775190162E-2</v>
      </c>
      <c r="F27" s="2164" t="str">
        <f t="shared" si="4"/>
        <v>NO</v>
      </c>
      <c r="G27" s="2164">
        <f t="shared" si="4"/>
        <v>4143.5315389337156</v>
      </c>
      <c r="H27" s="2164" t="str">
        <f t="shared" si="4"/>
        <v>NO</v>
      </c>
      <c r="I27" s="2164" t="str">
        <f t="shared" si="4"/>
        <v>NO</v>
      </c>
      <c r="J27" s="2164" t="str">
        <f t="shared" si="4"/>
        <v>NO</v>
      </c>
      <c r="K27" s="2163">
        <f t="shared" si="4"/>
        <v>38.265821273188067</v>
      </c>
      <c r="L27" s="2163">
        <f t="shared" si="4"/>
        <v>10.241960561549927</v>
      </c>
      <c r="M27" s="2927">
        <f t="shared" si="4"/>
        <v>9.2903543299075117E-2</v>
      </c>
      <c r="N27" s="2928">
        <f t="shared" si="4"/>
        <v>1024.884097793984</v>
      </c>
      <c r="O27" s="2950">
        <f t="shared" si="1"/>
        <v>15886.96728286994</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2058.1027453190763</v>
      </c>
      <c r="D30" s="1885"/>
      <c r="E30" s="615"/>
      <c r="F30" s="615"/>
      <c r="G30" s="2166">
        <f>SUM('Table2(II)'!X41:Y41)</f>
        <v>4143.5315389337156</v>
      </c>
      <c r="H30" s="2162"/>
      <c r="I30" s="2168" t="s">
        <v>199</v>
      </c>
      <c r="J30" s="2161"/>
      <c r="K30" s="699" t="s">
        <v>205</v>
      </c>
      <c r="L30" s="699" t="s">
        <v>205</v>
      </c>
      <c r="M30" s="699" t="s">
        <v>205</v>
      </c>
      <c r="N30" s="2921">
        <v>31.541899999999998</v>
      </c>
      <c r="O30" s="1887">
        <f t="shared" si="1"/>
        <v>6201.634284252792</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9586.3706650212462</v>
      </c>
      <c r="D34" s="1888">
        <f>'Table2(I).A-H'!I67</f>
        <v>2.8270217935884054</v>
      </c>
      <c r="E34" s="1888">
        <f>'Table2(I).A-H'!J67</f>
        <v>7.4738578775190162E-2</v>
      </c>
      <c r="F34" s="2172" t="s">
        <v>199</v>
      </c>
      <c r="G34" s="2172" t="s">
        <v>199</v>
      </c>
      <c r="H34" s="2172" t="s">
        <v>199</v>
      </c>
      <c r="I34" s="2172" t="s">
        <v>199</v>
      </c>
      <c r="J34" s="2172" t="s">
        <v>199</v>
      </c>
      <c r="K34" s="2622">
        <v>38.265821273188067</v>
      </c>
      <c r="L34" s="2622">
        <v>10.241960561549927</v>
      </c>
      <c r="M34" s="2622">
        <v>9.2903543299075117E-2</v>
      </c>
      <c r="N34" s="2623">
        <v>993.34219779398404</v>
      </c>
      <c r="O34" s="1890">
        <f t="shared" si="1"/>
        <v>9685.3329986171484</v>
      </c>
    </row>
    <row r="35" spans="2:15" ht="18" customHeight="1" x14ac:dyDescent="0.2">
      <c r="B35" s="2489" t="s">
        <v>645</v>
      </c>
      <c r="C35" s="2930">
        <f>IF(SUM(C36:C38)=0,"NO",SUM(C36:C38))</f>
        <v>281.30450949999999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175.34334066616231</v>
      </c>
      <c r="N35" s="2077" t="str">
        <f t="shared" ref="N35" si="7">IF(SUM(N36:N38)=0,"NO",SUM(N36:N38))</f>
        <v>NO</v>
      </c>
      <c r="O35" s="2943">
        <f t="shared" si="1"/>
        <v>281.30450949999999</v>
      </c>
    </row>
    <row r="36" spans="2:15" ht="18" customHeight="1" x14ac:dyDescent="0.2">
      <c r="B36" s="1269" t="s">
        <v>646</v>
      </c>
      <c r="C36" s="1884">
        <f>'Table2(I).A-H'!H73</f>
        <v>281.30450949999999</v>
      </c>
      <c r="D36" s="2166" t="str">
        <f>'Table2(I).A-H'!I73</f>
        <v>NO</v>
      </c>
      <c r="E36" s="2166" t="str">
        <f>'Table2(I).A-H'!J73</f>
        <v>NO</v>
      </c>
      <c r="F36" s="615"/>
      <c r="G36" s="615"/>
      <c r="H36" s="2161"/>
      <c r="I36" s="615"/>
      <c r="J36" s="2161"/>
      <c r="K36" s="2173" t="s">
        <v>205</v>
      </c>
      <c r="L36" s="2173" t="s">
        <v>205</v>
      </c>
      <c r="M36" s="699" t="s">
        <v>205</v>
      </c>
      <c r="N36" s="2167" t="s">
        <v>205</v>
      </c>
      <c r="O36" s="1887">
        <f t="shared" si="1"/>
        <v>281.30450949999999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175.34334066616231</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t="str">
        <f>IF(SUM(F46:F51)=0,"NO",SUM(F46:F51))</f>
        <v>NO</v>
      </c>
      <c r="G45" s="2163" t="str">
        <f t="shared" ref="G45:J45" si="9">IF(SUM(G46:G51)=0,"NO",SUM(G46:G51))</f>
        <v>NO</v>
      </c>
      <c r="H45" s="2930" t="str">
        <f t="shared" si="9"/>
        <v>NO</v>
      </c>
      <c r="I45" s="2930" t="str">
        <f t="shared" si="9"/>
        <v>NO</v>
      </c>
      <c r="J45" s="2165" t="str">
        <f t="shared" si="9"/>
        <v>NO</v>
      </c>
      <c r="K45" s="1955"/>
      <c r="L45" s="1955"/>
      <c r="M45" s="1955"/>
      <c r="N45" s="2178"/>
      <c r="O45" s="2950" t="str">
        <f t="shared" si="1"/>
        <v>NO</v>
      </c>
    </row>
    <row r="46" spans="2:15" ht="18" customHeight="1" x14ac:dyDescent="0.2">
      <c r="B46" s="1269" t="s">
        <v>656</v>
      </c>
      <c r="C46" s="615"/>
      <c r="D46" s="615"/>
      <c r="E46" s="615"/>
      <c r="F46" s="1884"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84" t="s">
        <v>199</v>
      </c>
      <c r="H46" s="1884" t="s">
        <v>199</v>
      </c>
      <c r="I46" s="1884" t="s">
        <v>199</v>
      </c>
      <c r="J46" s="2165" t="str">
        <f t="shared" ref="J46" si="10">IF(SUM(J47:J52)=0,"NO",SUM(J47:J52))</f>
        <v>NO</v>
      </c>
      <c r="K46" s="615"/>
      <c r="L46" s="615"/>
      <c r="M46" s="615"/>
      <c r="N46" s="1842"/>
      <c r="O46" s="1887" t="str">
        <f t="shared" si="1"/>
        <v>NO</v>
      </c>
    </row>
    <row r="47" spans="2:15" ht="18" customHeight="1" x14ac:dyDescent="0.2">
      <c r="B47" s="1269" t="s">
        <v>657</v>
      </c>
      <c r="C47" s="615"/>
      <c r="D47" s="615"/>
      <c r="E47" s="615"/>
      <c r="F47" s="1884"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84" t="s">
        <v>199</v>
      </c>
      <c r="H47" s="1884" t="s">
        <v>199</v>
      </c>
      <c r="I47" s="1884" t="s">
        <v>199</v>
      </c>
      <c r="J47" s="2165" t="str">
        <f t="shared" ref="J47" si="11">IF(SUM(J48:J53)=0,"NO",SUM(J48:J53))</f>
        <v>NO</v>
      </c>
      <c r="K47" s="615"/>
      <c r="L47" s="615"/>
      <c r="M47" s="615"/>
      <c r="N47" s="1842"/>
      <c r="O47" s="1887" t="str">
        <f t="shared" si="1"/>
        <v>NO</v>
      </c>
    </row>
    <row r="48" spans="2:15" ht="18" customHeight="1" x14ac:dyDescent="0.2">
      <c r="B48" s="1269" t="s">
        <v>658</v>
      </c>
      <c r="C48" s="615"/>
      <c r="D48" s="615"/>
      <c r="E48" s="615"/>
      <c r="F48" s="1884"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84" t="s">
        <v>199</v>
      </c>
      <c r="H48" s="1884" t="s">
        <v>199</v>
      </c>
      <c r="I48" s="1884" t="s">
        <v>199</v>
      </c>
      <c r="J48" s="2165" t="str">
        <f t="shared" ref="J48" si="12">IF(SUM(J49:J54)=0,"NO",SUM(J49:J54))</f>
        <v>NO</v>
      </c>
      <c r="K48" s="615"/>
      <c r="L48" s="615"/>
      <c r="M48" s="615"/>
      <c r="N48" s="1842"/>
      <c r="O48" s="1887" t="str">
        <f t="shared" si="1"/>
        <v>NO</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5" t="str">
        <f t="shared" ref="J49" si="13">IF(SUM(J50:J55)=0,"NO",SUM(J50:J55))</f>
        <v>NO</v>
      </c>
      <c r="K49" s="615"/>
      <c r="L49" s="615"/>
      <c r="M49" s="615"/>
      <c r="N49" s="1842"/>
      <c r="O49" s="1887" t="str">
        <f t="shared" si="1"/>
        <v>NO</v>
      </c>
    </row>
    <row r="50" spans="2:15" ht="18" customHeight="1" x14ac:dyDescent="0.2">
      <c r="B50" s="1269" t="s">
        <v>660</v>
      </c>
      <c r="C50" s="615"/>
      <c r="D50" s="615"/>
      <c r="E50" s="615"/>
      <c r="F50" s="1884"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84" t="s">
        <v>199</v>
      </c>
      <c r="H50" s="1884" t="s">
        <v>199</v>
      </c>
      <c r="I50" s="1884" t="s">
        <v>199</v>
      </c>
      <c r="J50" s="2165" t="str">
        <f t="shared" ref="J50" si="14">IF(SUM(J51:J56)=0,"NO",SUM(J51:J56))</f>
        <v>NO</v>
      </c>
      <c r="K50" s="615"/>
      <c r="L50" s="615"/>
      <c r="M50" s="615"/>
      <c r="N50" s="1842"/>
      <c r="O50" s="1887" t="str">
        <f t="shared" si="1"/>
        <v>NO</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9.6736708047799533E-3</v>
      </c>
      <c r="J52" s="2165" t="str">
        <f t="shared" si="16"/>
        <v>NO</v>
      </c>
      <c r="K52" s="2165" t="str">
        <f t="shared" si="16"/>
        <v>NO</v>
      </c>
      <c r="L52" s="2165" t="str">
        <f t="shared" si="16"/>
        <v>NO</v>
      </c>
      <c r="M52" s="2165" t="str">
        <f t="shared" si="16"/>
        <v>NO</v>
      </c>
      <c r="N52" s="2077" t="str">
        <f t="shared" si="16"/>
        <v>NO</v>
      </c>
      <c r="O52" s="2943">
        <f t="shared" si="1"/>
        <v>227.33126391232889</v>
      </c>
    </row>
    <row r="53" spans="2:15" ht="18" customHeight="1" x14ac:dyDescent="0.2">
      <c r="B53" s="1269" t="s">
        <v>663</v>
      </c>
      <c r="C53" s="2161"/>
      <c r="D53" s="2161"/>
      <c r="E53" s="2161"/>
      <c r="F53" s="2930" t="s">
        <v>199</v>
      </c>
      <c r="G53" s="2930" t="s">
        <v>199</v>
      </c>
      <c r="H53" s="2930" t="s">
        <v>199</v>
      </c>
      <c r="I53" s="2930">
        <f>SUM('Table2(II).B-Hs2'!J163:M163)/1000</f>
        <v>9.0922755767967236E-3</v>
      </c>
      <c r="J53" s="2930" t="s">
        <v>199</v>
      </c>
      <c r="K53" s="2161"/>
      <c r="L53" s="2161"/>
      <c r="M53" s="2161"/>
      <c r="N53" s="2174"/>
      <c r="O53" s="2943">
        <f t="shared" si="1"/>
        <v>213.66847605472302</v>
      </c>
    </row>
    <row r="54" spans="2:15" ht="18" customHeight="1" x14ac:dyDescent="0.2">
      <c r="B54" s="1269" t="s">
        <v>664</v>
      </c>
      <c r="C54" s="2161"/>
      <c r="D54" s="2161"/>
      <c r="E54" s="2161"/>
      <c r="F54" s="2161"/>
      <c r="G54" s="2930" t="s">
        <v>199</v>
      </c>
      <c r="H54" s="3007"/>
      <c r="I54" s="2930">
        <f>SUM('Table2(II).B-Hs2'!J165:M165)/1000</f>
        <v>5.8139522798322926E-4</v>
      </c>
      <c r="J54" s="2161"/>
      <c r="K54" s="2161"/>
      <c r="L54" s="2161"/>
      <c r="M54" s="2161"/>
      <c r="N54" s="2174"/>
      <c r="O54" s="2943">
        <f t="shared" si="1"/>
        <v>13.662787857605888</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82.573034651705768</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40.003696500000004</v>
      </c>
      <c r="N57" s="2100" t="str">
        <f>N58</f>
        <v>NA</v>
      </c>
      <c r="O57" s="2950">
        <f t="shared" si="1"/>
        <v>82.573034651705768</v>
      </c>
    </row>
    <row r="58" spans="2:15" ht="18" customHeight="1" thickBot="1" x14ac:dyDescent="0.25">
      <c r="B58" s="2613" t="s">
        <v>668</v>
      </c>
      <c r="C58" s="2517">
        <f>'Table2(I).A-H'!H98</f>
        <v>82.573034651705768</v>
      </c>
      <c r="D58" s="2517" t="str">
        <f>'Table2(I).A-H'!I98</f>
        <v>NO</v>
      </c>
      <c r="E58" s="2517" t="str">
        <f>'Table2(I).A-H'!J98</f>
        <v>NO</v>
      </c>
      <c r="F58" s="2517" t="s">
        <v>199</v>
      </c>
      <c r="G58" s="2517" t="s">
        <v>199</v>
      </c>
      <c r="H58" s="2517" t="s">
        <v>199</v>
      </c>
      <c r="I58" s="2517" t="s">
        <v>199</v>
      </c>
      <c r="J58" s="2517" t="s">
        <v>199</v>
      </c>
      <c r="K58" s="2922" t="s">
        <v>205</v>
      </c>
      <c r="L58" s="2922" t="s">
        <v>205</v>
      </c>
      <c r="M58" s="2922">
        <v>40.003696500000004</v>
      </c>
      <c r="N58" s="2932" t="s">
        <v>205</v>
      </c>
      <c r="O58" s="2935">
        <f t="shared" si="1"/>
        <v>82.573034651705768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4"/>
      <c r="C75" s="4495"/>
      <c r="D75" s="4495"/>
      <c r="E75" s="4495"/>
      <c r="F75" s="4495"/>
      <c r="G75" s="4495"/>
      <c r="H75" s="4495"/>
      <c r="I75" s="4495"/>
      <c r="J75" s="4495"/>
      <c r="K75" s="4495"/>
      <c r="L75" s="4495"/>
      <c r="M75" s="4495"/>
      <c r="N75" s="4495"/>
      <c r="O75" s="4496"/>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6" workbookViewId="0">
      <selection activeCell="X39" sqref="X39"/>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8"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2459</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2460</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96.2624</v>
      </c>
      <c r="D10" s="4431" t="str">
        <f t="shared" ref="D10:X10" si="0">IF(SUM(D11,D16,D20,D26,D33,D37)=0,"NO",SUM(D11,D16,D20,D26,D33,D37))</f>
        <v>NO</v>
      </c>
      <c r="E10" s="4431" t="str">
        <f t="shared" si="0"/>
        <v>NO</v>
      </c>
      <c r="F10" s="4431" t="str">
        <f t="shared" si="0"/>
        <v>NO</v>
      </c>
      <c r="G10" s="4431" t="str">
        <f t="shared" si="0"/>
        <v>NO</v>
      </c>
      <c r="H10" s="4431" t="str">
        <f t="shared" si="0"/>
        <v>NO</v>
      </c>
      <c r="I10" s="4431" t="str">
        <f t="shared" si="0"/>
        <v>NO</v>
      </c>
      <c r="J10" s="4431" t="str">
        <f t="shared" si="0"/>
        <v>NO</v>
      </c>
      <c r="K10" s="4431" t="str">
        <f t="shared" si="0"/>
        <v>NO</v>
      </c>
      <c r="L10" s="2073" t="str">
        <f t="shared" si="0"/>
        <v>NO</v>
      </c>
      <c r="M10" s="2073" t="str">
        <f t="shared" si="0"/>
        <v>NO</v>
      </c>
      <c r="N10" s="2073" t="str">
        <f t="shared" si="0"/>
        <v>NO</v>
      </c>
      <c r="O10" s="4431" t="str">
        <f t="shared" si="0"/>
        <v>NO</v>
      </c>
      <c r="P10" s="2073" t="str">
        <f t="shared" si="0"/>
        <v>NO</v>
      </c>
      <c r="Q10" s="2073" t="str">
        <f t="shared" si="0"/>
        <v>NO</v>
      </c>
      <c r="R10" s="2073" t="str">
        <f t="shared" si="0"/>
        <v>NO</v>
      </c>
      <c r="S10" s="2073" t="str">
        <f t="shared" si="0"/>
        <v>NO</v>
      </c>
      <c r="T10" s="2073" t="str">
        <f t="shared" si="0"/>
        <v>NO</v>
      </c>
      <c r="U10" s="2073" t="str">
        <f t="shared" si="0"/>
        <v>NO</v>
      </c>
      <c r="V10" s="2074" t="str">
        <f t="shared" si="0"/>
        <v>NO</v>
      </c>
      <c r="W10" s="2075"/>
      <c r="X10" s="2073">
        <f t="shared" si="0"/>
        <v>513.34962993060492</v>
      </c>
      <c r="Y10" s="4431">
        <f t="shared" ref="Y10" si="1">IF(SUM(Y11,Y16,Y20,Y26,Y33,Y37)=0,"NO",SUM(Y11,Y16,Y20,Y26,Y33,Y37))</f>
        <v>66.668783107549999</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9.6736708047799524</v>
      </c>
      <c r="AK10" s="2077" t="str">
        <f t="shared" si="9"/>
        <v>NO</v>
      </c>
    </row>
    <row r="11" spans="2:37" ht="18" customHeight="1" x14ac:dyDescent="0.2">
      <c r="B11" s="1287" t="s">
        <v>708</v>
      </c>
      <c r="C11" s="2078">
        <f>IF(SUM(C12,C15)=0,"NO",SUM(C12,C15))</f>
        <v>96.2624</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96.2624</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96.2624</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513.34962993060492</v>
      </c>
      <c r="Y16" s="4432">
        <f t="shared" ref="Y16" si="35">IF(SUM(Y17:Y19)=0,"NO",SUM(Y17:Y19))</f>
        <v>66.668783107549999</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513.34962993060492</v>
      </c>
      <c r="Y17" s="4432">
        <f>'Table2(II).B-Hs1'!G26</f>
        <v>66.668783107549999</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t="str">
        <f>IF(SUM(C27:C32)=0,"NO",SUM(C27:C32))</f>
        <v>NO</v>
      </c>
      <c r="D26" s="4430" t="str">
        <f t="shared" ref="D26:AK26" si="58">IF(SUM(D27:D32)=0,"NO",SUM(D27:D32))</f>
        <v>NO</v>
      </c>
      <c r="E26" s="2097" t="str">
        <f t="shared" si="58"/>
        <v>NO</v>
      </c>
      <c r="F26" s="2097" t="str">
        <f t="shared" si="58"/>
        <v>NO</v>
      </c>
      <c r="G26" s="4430" t="str">
        <f t="shared" si="58"/>
        <v>NO</v>
      </c>
      <c r="H26" s="4430" t="str">
        <f t="shared" si="58"/>
        <v>NO</v>
      </c>
      <c r="I26" s="4430" t="str">
        <f t="shared" si="58"/>
        <v>NO</v>
      </c>
      <c r="J26" s="4430" t="str">
        <f t="shared" si="58"/>
        <v>NO</v>
      </c>
      <c r="K26" s="4430" t="str">
        <f t="shared" si="58"/>
        <v>NO</v>
      </c>
      <c r="L26" s="2097" t="str">
        <f t="shared" si="58"/>
        <v>NO</v>
      </c>
      <c r="M26" s="2097" t="str">
        <f t="shared" si="58"/>
        <v>NO</v>
      </c>
      <c r="N26" s="2097" t="str">
        <f t="shared" si="58"/>
        <v>NO</v>
      </c>
      <c r="O26" s="4430" t="str">
        <f t="shared" si="58"/>
        <v>NO</v>
      </c>
      <c r="P26" s="2097" t="str">
        <f t="shared" si="58"/>
        <v>NO</v>
      </c>
      <c r="Q26" s="2097" t="str">
        <f t="shared" si="58"/>
        <v>NO</v>
      </c>
      <c r="R26" s="2097" t="str">
        <f t="shared" si="58"/>
        <v>NO</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t="str">
        <f>IF(SUM('Table2(II).B-Hs2'!J13:M13,'Table2(II).B-Hs2'!J26:M26,'Table2(II).B-Hs2'!J39:M39,'Table2(II).B-Hs2'!J52:M52,'Table2(II).B-Hs2'!J65:M65,'Table2(II).B-Hs2'!J78:M78)=0,"NO",SUM('Table2(II).B-Hs2'!J13:M13,'Table2(II).B-Hs2'!J26:M26,'Table2(II).B-Hs2'!J39:M39,'Table2(II).B-Hs2'!J52:M52,'Table2(II).B-Hs2'!J65:M65,'Table2(II).B-Hs2'!J78:M78))</f>
        <v>NO</v>
      </c>
      <c r="D27" s="4431" t="str">
        <f>IF(SUM('Table2(II).B-Hs2'!J14:M14,'Table2(II).B-Hs2'!J27:M27,'Table2(II).B-Hs2'!J40:M40,'Table2(II).B-Hs2'!J53:M53,'Table2(II).B-Hs2'!J66:M66,'Table2(II).B-Hs2'!J79:M79)=0,"NO",SUM('Table2(II).B-Hs2'!J14:M14,'Table2(II).B-Hs2'!J27:M27,'Table2(II).B-Hs2'!J40:M40,'Table2(II).B-Hs2'!J53:M53,'Table2(II).B-Hs2'!J66:M66,'Table2(II).B-Hs2'!J79:M79))</f>
        <v>NO</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t="str">
        <f>IF(SUM('Table2(II).B-Hs2'!J16:M16,'Table2(II).B-Hs2'!J29:M29,'Table2(II).B-Hs2'!J42:M42,'Table2(II).B-Hs2'!J55:M55,'Table2(II).B-Hs2'!J68:M68,'Table2(II).B-Hs2'!J81:M81)=0,"NO",SUM('Table2(II).B-Hs2'!J16:M16,'Table2(II).B-Hs2'!J29:M29,'Table2(II).B-Hs2'!J42:M42,'Table2(II).B-Hs2'!J55:M55,'Table2(II).B-Hs2'!J68:M68,'Table2(II).B-Hs2'!J81:M81))</f>
        <v>NO</v>
      </c>
      <c r="H27" s="4431" t="str">
        <f>IF(SUM('Table2(II).B-Hs2'!J17:M17,'Table2(II).B-Hs2'!J30:M30,'Table2(II).B-Hs2'!J43:M43,'Table2(II).B-Hs2'!J56:M56,'Table2(II).B-Hs2'!J69:M69,'Table2(II).B-Hs2'!J82:M82)=0,"NO",SUM('Table2(II).B-Hs2'!J17:M17,'Table2(II).B-Hs2'!J30:M30,'Table2(II).B-Hs2'!J43:M43,'Table2(II).B-Hs2'!J56:M56,'Table2(II).B-Hs2'!J69:M69,'Table2(II).B-Hs2'!J82:M82))</f>
        <v>NO</v>
      </c>
      <c r="I27" s="4431" t="str">
        <f>IF(SUM('Table2(II).B-Hs2'!J18:M18,'Table2(II).B-Hs2'!J31:M31,'Table2(II).B-Hs2'!J44:M44,'Table2(II).B-Hs2'!J57:M57,'Table2(II).B-Hs2'!J70:M70,'Table2(II).B-Hs2'!J83:M83)=0,"NO",SUM('Table2(II).B-Hs2'!J18:M18,'Table2(II).B-Hs2'!J31:M31,'Table2(II).B-Hs2'!J44:M44,'Table2(II).B-Hs2'!J57:M57,'Table2(II).B-Hs2'!J70:M70,'Table2(II).B-Hs2'!J83:M83))</f>
        <v>NO</v>
      </c>
      <c r="J27" s="4431" t="s">
        <v>199</v>
      </c>
      <c r="K27" s="4431" t="str">
        <f>IF(SUM('Table2(II).B-Hs2'!J19:M19,'Table2(II).B-Hs2'!J32:M32,'Table2(II).B-Hs2'!J45:M45,'Table2(II).B-Hs2'!J58:M58,'Table2(II).B-Hs2'!J71:M71,'Table2(II).B-Hs2'!J84:M84)=0,"NO",SUM('Table2(II).B-Hs2'!J19:M19,'Table2(II).B-Hs2'!J32:M32,'Table2(II).B-Hs2'!J45:M45,'Table2(II).B-Hs2'!J58:M58,'Table2(II).B-Hs2'!J71:M71,'Table2(II).B-Hs2'!J84:M84))</f>
        <v>NO</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t="str">
        <f>IF(SUM('Table2(II).B-Hs2'!J21:M21,'Table2(II).B-Hs2'!J34:M34,'Table2(II).B-Hs2'!J47:M47,'Table2(II).B-Hs2'!J60:M60,'Table2(II).B-Hs2'!J73:M73,'Table2(II).B-Hs2'!J86:M86)=0,"NO",SUM('Table2(II).B-Hs2'!J21:M21,'Table2(II).B-Hs2'!J34:M34,'Table2(II).B-Hs2'!J47:M47,'Table2(II).B-Hs2'!J60:M60,'Table2(II).B-Hs2'!J73:M73,'Table2(II).B-Hs2'!J86:M86))</f>
        <v>NO</v>
      </c>
      <c r="P27" s="2073" t="s">
        <v>199</v>
      </c>
      <c r="Q27" s="2073" t="s">
        <v>199</v>
      </c>
      <c r="R27" s="2073" t="str">
        <f>IF(SUM('Table2(II).B-Hs2'!J22:M22,'Table2(II).B-Hs2'!J35:M35,'Table2(II).B-Hs2'!J48:M48,'Table2(II).B-Hs2'!J61:M61,'Table2(II).B-Hs2'!J74:M74,'Table2(II).B-Hs2'!J87:M87)=0,"NO",SUM('Table2(II).B-Hs2'!J22:M22,'Table2(II).B-Hs2'!J35:M35,'Table2(II).B-Hs2'!J48:M48,'Table2(II).B-Hs2'!J61:M61,'Table2(II).B-Hs2'!J74:M74,'Table2(II).B-Hs2'!J87:M87))</f>
        <v>NO</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t="str">
        <f>IF(SUM('Table2(II).B-Hs2'!J93:M93,'Table2(II).B-Hs2'!J106:M106)=0,"NO",SUM('Table2(II).B-Hs2'!J93:M93,'Table2(II).B-Hs2'!J106:M106))</f>
        <v>NO</v>
      </c>
      <c r="E28" s="2073" t="s">
        <v>199</v>
      </c>
      <c r="F28" s="2073" t="str">
        <f>IF(SUM('Table2(II).B-Hs2'!J94:M94,'Table2(II).B-Hs2'!J107:M107)=0,"NO",SUM('Table2(II).B-Hs2'!J94:M94,'Table2(II).B-Hs2'!J107:M107))</f>
        <v>NO</v>
      </c>
      <c r="G28" s="4431" t="str">
        <f>IF(SUM('Table2(II).B-Hs2'!J95:M95,'Table2(II).B-Hs2'!J108:M108)=0,"NO",SUM('Table2(II).B-Hs2'!J95:M95,'Table2(II).B-Hs2'!J108:M108))</f>
        <v>NO</v>
      </c>
      <c r="H28" s="4431" t="str">
        <f>IF(SUM('Table2(II).B-Hs2'!J96:M96,'Table2(II).B-Hs2'!J109:M109)=0,"NO",SUM('Table2(II).B-Hs2'!J96:M96,'Table2(II).B-Hs2'!J109:M109))</f>
        <v>NO</v>
      </c>
      <c r="I28" s="4431" t="str">
        <f>IF(SUM('Table2(II).B-Hs2'!J97:M97,'Table2(II).B-Hs2'!J110:M110)=0,"NO",SUM('Table2(II).B-Hs2'!J97:M97,'Table2(II).B-Hs2'!J110:M110))</f>
        <v>NO</v>
      </c>
      <c r="J28" s="4431" t="s">
        <v>199</v>
      </c>
      <c r="K28" s="4431" t="str">
        <f>IF(SUM('Table2(II).B-Hs2'!J98:M98,'Table2(II).B-Hs2'!J111:M111)=0,"NO",SUM('Table2(II).B-Hs2'!J98:M98,'Table2(II).B-Hs2'!J111:M111))</f>
        <v>NO</v>
      </c>
      <c r="L28" s="2073" t="s">
        <v>199</v>
      </c>
      <c r="M28" s="2073" t="str">
        <f>IF(SUM('Table2(II).B-Hs2'!J99:M99,'Table2(II).B-Hs2'!J112:M112)=0,"NO",SUM('Table2(II).B-Hs2'!J99:M99,'Table2(II).B-Hs2'!J112:M112))</f>
        <v>NO</v>
      </c>
      <c r="N28" s="2073" t="s">
        <v>199</v>
      </c>
      <c r="O28" s="4431" t="str">
        <f>IF(SUM('Table2(II).B-Hs2'!J100:M100,'Table2(II).B-Hs2'!J113:M113)=0,"NO",SUM('Table2(II).B-Hs2'!J100:M100,'Table2(II).B-Hs2'!J113:M113))</f>
        <v>NO</v>
      </c>
      <c r="P28" s="2073" t="s">
        <v>199</v>
      </c>
      <c r="Q28" s="2073" t="s">
        <v>199</v>
      </c>
      <c r="R28" s="2073" t="str">
        <f>IF(SUM('Table2(II).B-Hs2'!J101:M101,'Table2(II).B-Hs2'!J114:M114)=0,"NO",SUM('Table2(II).B-Hs2'!J101:M101,'Table2(II).B-Hs2'!J114:M114))</f>
        <v>NO</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t="str">
        <f>IF(SUM('Table2(II).B-Hs2'!J119:M119)=0,"NO",SUM('Table2(II).B-Hs2'!J119:M119))</f>
        <v>NO</v>
      </c>
      <c r="E29" s="2073" t="s">
        <v>199</v>
      </c>
      <c r="F29" s="2073" t="str">
        <f>IF(SUM('Table2(II).B-Hs2'!J120:M120)=0,"NO",SUM('Table2(II).B-Hs2'!J120:M120))</f>
        <v>NO</v>
      </c>
      <c r="G29" s="4431" t="str">
        <f>IF(SUM('Table2(II).B-Hs2'!J121:M121)=0,"NO",SUM('Table2(II).B-Hs2'!J121:M121))</f>
        <v>NO</v>
      </c>
      <c r="H29" s="4431" t="str">
        <f>IF(SUM('Table2(II).B-Hs2'!J122:M122)=0,"NO",SUM('Table2(II).B-Hs2'!J122:M122))</f>
        <v>NO</v>
      </c>
      <c r="I29" s="4431" t="str">
        <f>IF(SUM('Table2(II).B-Hs2'!J123:M123)=0,"NO",SUM('Table2(II).B-Hs2'!J123:M123))</f>
        <v>NO</v>
      </c>
      <c r="J29" s="4431" t="s">
        <v>199</v>
      </c>
      <c r="K29" s="4431" t="str">
        <f>IF(SUM('Table2(II).B-Hs2'!J124:M124)=0,"NO",SUM('Table2(II).B-Hs2'!J124:M124))</f>
        <v>NO</v>
      </c>
      <c r="L29" s="2073" t="s">
        <v>199</v>
      </c>
      <c r="M29" s="2073" t="str">
        <f>IF(SUM('Table2(II).B-Hs2'!J125:M125)=0,"NO",SUM('Table2(II).B-Hs2'!J125:M125))</f>
        <v>NO</v>
      </c>
      <c r="N29" s="2073" t="s">
        <v>199</v>
      </c>
      <c r="O29" s="4431" t="str">
        <f>IF(SUM('Table2(II).B-Hs2'!J126:M126)=0,"NO",SUM('Table2(II).B-Hs2'!J126:M126))</f>
        <v>NO</v>
      </c>
      <c r="P29" s="2073" t="s">
        <v>199</v>
      </c>
      <c r="Q29" s="2073" t="s">
        <v>199</v>
      </c>
      <c r="R29" s="2073" t="str">
        <f>IF(SUM('Table2(II).B-Hs2'!J127:M127)=0,"NO",SUM('Table2(II).B-Hs2'!J127:M127))</f>
        <v>NO</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t="str">
        <f>IF(SUM('Table2(II).B-Hs2'!J133:M133)=0,"NO",SUM('Table2(II).B-Hs2'!J133:M133))</f>
        <v>NO</v>
      </c>
      <c r="E30" s="2073" t="s">
        <v>199</v>
      </c>
      <c r="F30" s="2073" t="str">
        <f>IF(SUM('Table2(II).B-Hs2'!J134:M134)=0,"NO",SUM('Table2(II).B-Hs2'!J134:M134))</f>
        <v>NO</v>
      </c>
      <c r="G30" s="4431" t="str">
        <f>IF(SUM('Table2(II).B-Hs2'!J135:M135)=0,"NO",SUM('Table2(II).B-Hs2'!J135:M135))</f>
        <v>NO</v>
      </c>
      <c r="H30" s="4431" t="str">
        <f>IF(SUM('Table2(II).B-Hs2'!J136:M136)=0,"NO",SUM('Table2(II).B-Hs2'!J136:M136))</f>
        <v>NO</v>
      </c>
      <c r="I30" s="4431" t="str">
        <f>IF(SUM('Table2(II).B-Hs2'!J137:M137)=0,"NO",SUM('Table2(II).B-Hs2'!J137:M137))</f>
        <v>NO</v>
      </c>
      <c r="J30" s="4431" t="s">
        <v>199</v>
      </c>
      <c r="K30" s="4431" t="str">
        <f>IF(SUM('Table2(II).B-Hs2'!J138:M138)=0,"NO",SUM('Table2(II).B-Hs2'!J138:M138))</f>
        <v>NO</v>
      </c>
      <c r="L30" s="2073" t="s">
        <v>199</v>
      </c>
      <c r="M30" s="2073" t="str">
        <f>IF(SUM('Table2(II).B-Hs2'!J139:M139)=0,"NO",SUM('Table2(II).B-Hs2'!J139:M139))</f>
        <v>NO</v>
      </c>
      <c r="N30" s="2073" t="s">
        <v>199</v>
      </c>
      <c r="O30" s="4431"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t="str">
        <f>IF(SUM('Table2(II).B-Hs2'!J148:M148)=0,"NO",SUM('Table2(II).B-Hs2'!J148:M148))</f>
        <v>NO</v>
      </c>
      <c r="E31" s="2073" t="s">
        <v>199</v>
      </c>
      <c r="F31" s="2073" t="str">
        <f>IF(SUM('Table2(II).B-Hs2'!J149:M149)=0,"NO",SUM('Table2(II).B-Hs2'!J149:M149))</f>
        <v>NO</v>
      </c>
      <c r="G31" s="4431" t="str">
        <f>IF(SUM('Table2(II).B-Hs2'!J150:M150)=0,"NO",SUM('Table2(II).B-Hs2'!J150:M150))</f>
        <v>NO</v>
      </c>
      <c r="H31" s="4431" t="str">
        <f>IF(SUM('Table2(II).B-Hs2'!J151:M151)=0,"NO",SUM('Table2(II).B-Hs2'!J151:M151))</f>
        <v>NO</v>
      </c>
      <c r="I31" s="4431" t="str">
        <f>IF(SUM('Table2(II).B-Hs2'!J152:M152)=0,"NO",SUM('Table2(II).B-Hs2'!J152:M152))</f>
        <v>NO</v>
      </c>
      <c r="J31" s="4431" t="s">
        <v>199</v>
      </c>
      <c r="K31" s="4431" t="str">
        <f>IF(SUM('Table2(II).B-Hs2'!J153:M153)=0,"NO",SUM('Table2(II).B-Hs2'!J153:M153))</f>
        <v>NO</v>
      </c>
      <c r="L31" s="2073" t="s">
        <v>199</v>
      </c>
      <c r="M31" s="2073" t="str">
        <f>IF(SUM('Table2(II).B-Hs2'!J154:M154)=0,"NO",SUM('Table2(II).B-Hs2'!J154:M154))</f>
        <v>NO</v>
      </c>
      <c r="N31" s="2073" t="s">
        <v>199</v>
      </c>
      <c r="O31" s="4431" t="str">
        <f>IF(SUM('Table2(II).B-Hs2'!J155:M155)=0,"NO",SUM('Table2(II).B-Hs2'!J155:M155))</f>
        <v>NO</v>
      </c>
      <c r="P31" s="2073" t="s">
        <v>199</v>
      </c>
      <c r="Q31" s="2073" t="s">
        <v>199</v>
      </c>
      <c r="R31" s="2073" t="str">
        <f>IF(SUM('Table2(II).B-Hs2'!J156:M156)=0,"NO",SUM('Table2(II).B-Hs2'!J156:M156))</f>
        <v>NO</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9.6736708047799524</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9.0922755767967232</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0.58139522798322929</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1193.6537599999999</v>
      </c>
      <c r="D39" s="4183" t="str">
        <f t="shared" ref="D39:AK39" si="72">IF(SUM(D40:D45)=0,"NO",SUM(D40:D45))</f>
        <v>NO</v>
      </c>
      <c r="E39" s="4183" t="str">
        <f t="shared" si="72"/>
        <v>NO</v>
      </c>
      <c r="F39" s="4183" t="str">
        <f t="shared" si="72"/>
        <v>NO</v>
      </c>
      <c r="G39" s="4183" t="str">
        <f t="shared" si="72"/>
        <v>NO</v>
      </c>
      <c r="H39" s="4183" t="str">
        <f t="shared" si="72"/>
        <v>NO</v>
      </c>
      <c r="I39" s="4183" t="str">
        <f t="shared" si="72"/>
        <v>NO</v>
      </c>
      <c r="J39" s="4183" t="str">
        <f t="shared" si="72"/>
        <v>NO</v>
      </c>
      <c r="K39" s="4183" t="str">
        <f t="shared" si="72"/>
        <v>NO</v>
      </c>
      <c r="L39" s="4183" t="str">
        <f t="shared" si="72"/>
        <v>NO</v>
      </c>
      <c r="M39" s="4183" t="str">
        <f t="shared" si="72"/>
        <v>NO</v>
      </c>
      <c r="N39" s="4183" t="str">
        <f t="shared" si="72"/>
        <v>NO</v>
      </c>
      <c r="O39" s="4183" t="str">
        <f t="shared" si="72"/>
        <v>NO</v>
      </c>
      <c r="P39" s="4183" t="str">
        <f t="shared" si="72"/>
        <v>NO</v>
      </c>
      <c r="Q39" s="4183" t="str">
        <f t="shared" si="72"/>
        <v>NO</v>
      </c>
      <c r="R39" s="4183" t="str">
        <f t="shared" si="72"/>
        <v>NO</v>
      </c>
      <c r="S39" s="4183" t="str">
        <f t="shared" si="72"/>
        <v>NO</v>
      </c>
      <c r="T39" s="4183" t="str">
        <f t="shared" si="72"/>
        <v>NO</v>
      </c>
      <c r="U39" s="4183" t="str">
        <f t="shared" si="72"/>
        <v>NO</v>
      </c>
      <c r="V39" s="4183" t="str">
        <f t="shared" si="72"/>
        <v>NO</v>
      </c>
      <c r="W39" s="4183">
        <f t="shared" si="72"/>
        <v>1193.6537599999999</v>
      </c>
      <c r="X39" s="4183">
        <f t="shared" si="72"/>
        <v>3403.5080464399107</v>
      </c>
      <c r="Y39" s="4183">
        <f t="shared" si="72"/>
        <v>740.02349249380507</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4143.5315389337156</v>
      </c>
      <c r="AI39" s="4184" t="str">
        <f t="shared" si="72"/>
        <v>NO</v>
      </c>
      <c r="AJ39" s="4184">
        <f t="shared" si="72"/>
        <v>227.33126391232886</v>
      </c>
      <c r="AK39" s="2928" t="str">
        <f t="shared" si="72"/>
        <v>NO</v>
      </c>
    </row>
    <row r="40" spans="2:37" ht="18" customHeight="1" x14ac:dyDescent="0.2">
      <c r="B40" s="1291" t="s">
        <v>708</v>
      </c>
      <c r="C40" s="4185">
        <f>IF(SUM(C11)=0,"NO",C11*12400/1000)</f>
        <v>1193.6537599999999</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f>IF(SUM(C40:V40)=0,"NO",SUM(C40:V40))</f>
        <v>1193.6537599999999</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3403.5080464399107</v>
      </c>
      <c r="Y41" s="4186">
        <f>IF(SUM(Y16)=0,"NO",Y16*11100/1000)</f>
        <v>740.02349249380507</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4143.5315389337156</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t="str">
        <f>IF(SUM(C26)=0,"NO",C26*12400/1000)</f>
        <v>NO</v>
      </c>
      <c r="D43" s="4186" t="str">
        <f>IF(SUM(D26)=0,"NO",D26*677/1000)</f>
        <v>NO</v>
      </c>
      <c r="E43" s="4186" t="str">
        <f>IF(SUM(E26)=0,"NO",E26*116/1000)</f>
        <v>NO</v>
      </c>
      <c r="F43" s="4186" t="str">
        <f>IF(SUM(F26)=0,"NO",F26*1650/1000)</f>
        <v>NO</v>
      </c>
      <c r="G43" s="4186" t="str">
        <f>IF(SUM(G26)=0,"NO",G26*3170/1000)</f>
        <v>NO</v>
      </c>
      <c r="H43" s="4186" t="str">
        <f>IF(SUM(H26)=0,"NO",H26*1120/1000)</f>
        <v>NO</v>
      </c>
      <c r="I43" s="4186" t="str">
        <f>IF(SUM(I26)=0,"NO",I26*1300/1000)</f>
        <v>NO</v>
      </c>
      <c r="J43" s="4186" t="str">
        <f>IF(SUM(J26)=0,"NO",J26*328/1000)</f>
        <v>NO</v>
      </c>
      <c r="K43" s="4186" t="str">
        <f>IF(SUM(K26)=0,"NO",K26*4800/1000)</f>
        <v>NO</v>
      </c>
      <c r="L43" s="4186" t="str">
        <f>IF(SUM(L26)=0,"NO",L26*16/1000)</f>
        <v>NO</v>
      </c>
      <c r="M43" s="4186" t="str">
        <f>IF(SUM(M26)=0,"NO",M26*138/1000)</f>
        <v>NO</v>
      </c>
      <c r="N43" s="4186" t="str">
        <f>IF(SUM(N26)=0,"NO",N26*4/1000)</f>
        <v>NO</v>
      </c>
      <c r="O43" s="4186" t="str">
        <f>IF(SUM(O26)=0,"NO",O26*3350/1000)</f>
        <v>NO</v>
      </c>
      <c r="P43" s="4186" t="str">
        <f>IF(SUM(P26)=0,"NO",P26*1210/1000)</f>
        <v>NO</v>
      </c>
      <c r="Q43" s="4186" t="str">
        <f>IF(SUM(Q26)=0,"NO",Q26*1330/1000)</f>
        <v>NO</v>
      </c>
      <c r="R43" s="4186" t="str">
        <f>IF(SUM(R26)=0,"NO",R26*8060/1000)</f>
        <v>NO</v>
      </c>
      <c r="S43" s="4186" t="str">
        <f>IF(SUM(S26)=0,"NO",S26*716/1000)</f>
        <v>NO</v>
      </c>
      <c r="T43" s="4186" t="str">
        <f>IF(SUM(T26)=0,"NO",T26*858/1000)</f>
        <v>NO</v>
      </c>
      <c r="U43" s="4186" t="str">
        <f>IF(SUM(U26)=0,"NO",U26*804/1000)</f>
        <v>NO</v>
      </c>
      <c r="V43" s="4186" t="str">
        <f>IF(SUM(V26)=0,"NO",V26*1/1000)</f>
        <v>NO</v>
      </c>
      <c r="W43" s="4186" t="str">
        <f t="shared" si="73"/>
        <v>NO</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227.33126391232886</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2459</v>
      </c>
    </row>
    <row r="2" spans="2:14" ht="17.25" customHeight="1" x14ac:dyDescent="0.3">
      <c r="B2" s="215" t="s">
        <v>738</v>
      </c>
      <c r="N2" s="14" t="s">
        <v>2460</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5489.5881371538135</v>
      </c>
      <c r="I10" s="615"/>
      <c r="J10" s="615"/>
      <c r="K10" s="3161" t="str">
        <f>IF(SUM(K11:K14)=0,"NO",SUM(K11:K14))</f>
        <v>NO</v>
      </c>
      <c r="L10" s="3161" t="str">
        <f>IF(SUM(L11:L14)=0,"NO",SUM(L11:L14))</f>
        <v>NO</v>
      </c>
      <c r="M10" s="615"/>
      <c r="N10" s="1842"/>
    </row>
    <row r="11" spans="2:14" ht="18" customHeight="1" x14ac:dyDescent="0.2">
      <c r="B11" s="286" t="s">
        <v>748</v>
      </c>
      <c r="C11" s="2126" t="s">
        <v>749</v>
      </c>
      <c r="D11" s="699">
        <v>6205.4369999999999</v>
      </c>
      <c r="E11" s="1938">
        <f>IF(SUM($D11)=0,"NA",H11/$D11)</f>
        <v>0.55803833186929475</v>
      </c>
      <c r="F11" s="615"/>
      <c r="G11" s="615"/>
      <c r="H11" s="3149">
        <v>3462.8717120000006</v>
      </c>
      <c r="I11" s="615"/>
      <c r="J11" s="615"/>
      <c r="K11" s="3149" t="s">
        <v>199</v>
      </c>
      <c r="L11" s="699" t="s">
        <v>199</v>
      </c>
      <c r="M11" s="615"/>
      <c r="N11" s="1842"/>
    </row>
    <row r="12" spans="2:14" ht="18" customHeight="1" x14ac:dyDescent="0.2">
      <c r="B12" s="286" t="s">
        <v>750</v>
      </c>
      <c r="C12" s="2127" t="s">
        <v>751</v>
      </c>
      <c r="D12" s="699">
        <v>926.60000000000014</v>
      </c>
      <c r="E12" s="1938">
        <f>IF(SUM($D12)=0,"NA",H12/$D12)</f>
        <v>0.83679455387342538</v>
      </c>
      <c r="F12" s="615"/>
      <c r="G12" s="615"/>
      <c r="H12" s="3149">
        <v>775.37383361911611</v>
      </c>
      <c r="I12" s="615"/>
      <c r="J12" s="615"/>
      <c r="K12" s="3149" t="s">
        <v>199</v>
      </c>
      <c r="L12" s="699" t="s">
        <v>199</v>
      </c>
      <c r="M12" s="615"/>
      <c r="N12" s="1842"/>
    </row>
    <row r="13" spans="2:14" ht="18" customHeight="1" x14ac:dyDescent="0.2">
      <c r="B13" s="286" t="s">
        <v>752</v>
      </c>
      <c r="C13" s="2127" t="s">
        <v>753</v>
      </c>
      <c r="D13" s="699">
        <v>218.69085704456836</v>
      </c>
      <c r="E13" s="1938">
        <f>IF(SUM($D13)=0,"NA",H13/$D13)</f>
        <v>0.39573900000000001</v>
      </c>
      <c r="F13" s="615"/>
      <c r="G13" s="615"/>
      <c r="H13" s="3149">
        <v>86.54450107596044</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1164.7980904587366</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44.071170805133335</v>
      </c>
      <c r="I15" s="615"/>
      <c r="J15" s="615"/>
      <c r="K15" s="3149" t="s">
        <v>199</v>
      </c>
      <c r="L15" s="699" t="s">
        <v>199</v>
      </c>
      <c r="M15" s="615"/>
      <c r="N15" s="1842"/>
    </row>
    <row r="16" spans="2:14" ht="18" customHeight="1" x14ac:dyDescent="0.2">
      <c r="B16" s="160" t="s">
        <v>756</v>
      </c>
      <c r="C16" s="474" t="s">
        <v>757</v>
      </c>
      <c r="D16" s="2917">
        <v>450</v>
      </c>
      <c r="E16" s="1938">
        <f>IF(SUM($D16)=0,"NA",H16/$D16)</f>
        <v>0.41492000000000001</v>
      </c>
      <c r="F16" s="615"/>
      <c r="G16" s="615"/>
      <c r="H16" s="3149">
        <v>186.714</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934.01291965360338</v>
      </c>
      <c r="I18" s="615"/>
      <c r="J18" s="615"/>
      <c r="K18" s="3150" t="str">
        <f>K19</f>
        <v>NO</v>
      </c>
      <c r="L18" s="3162" t="str">
        <f>L19</f>
        <v>NO</v>
      </c>
      <c r="M18" s="615"/>
      <c r="N18" s="1842"/>
    </row>
    <row r="19" spans="2:14" ht="18" customHeight="1" x14ac:dyDescent="0.2">
      <c r="B19" s="3151" t="s">
        <v>761</v>
      </c>
      <c r="C19" s="474" t="s">
        <v>753</v>
      </c>
      <c r="D19" s="2917">
        <v>2056.4011829554315</v>
      </c>
      <c r="E19" s="1938">
        <f>IF(SUM($D19)=0,"NA",H19/$D19)</f>
        <v>0.41539417246051702</v>
      </c>
      <c r="F19" s="615"/>
      <c r="G19" s="615"/>
      <c r="H19" s="3149">
        <v>854.21706764059968</v>
      </c>
      <c r="I19" s="615"/>
      <c r="J19" s="615"/>
      <c r="K19" s="3149" t="s">
        <v>199</v>
      </c>
      <c r="L19" s="3149" t="s">
        <v>199</v>
      </c>
      <c r="M19" s="615"/>
      <c r="N19" s="1842"/>
    </row>
    <row r="20" spans="2:14" ht="18" customHeight="1" x14ac:dyDescent="0.2">
      <c r="B20" s="3152" t="s">
        <v>762</v>
      </c>
      <c r="C20" s="474" t="s">
        <v>753</v>
      </c>
      <c r="D20" s="2917">
        <v>72.690810782229249</v>
      </c>
      <c r="E20" s="1938">
        <f>IF(SUM($D20)=0,"NA",H20/$D20)</f>
        <v>0.47385994877939991</v>
      </c>
      <c r="F20" s="615"/>
      <c r="G20" s="615"/>
      <c r="H20" s="3149">
        <v>34.445263874000204</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1054.6897029809472</v>
      </c>
      <c r="I22" s="3046">
        <f>IF(SUM(I23:I26,I30,I33:I35,I47)=0,"IE",SUM(I23:I26,I30,I33:I35,I47))</f>
        <v>0.43762607399999998</v>
      </c>
      <c r="J22" s="3046">
        <f>IF(SUM(J23:J26,J30,J33:J35,J47)=0,"IE",SUM(J23:J26,J30,J33:J35,J47))</f>
        <v>3.33906306</v>
      </c>
      <c r="K22" s="3046">
        <f>IF(SUM(K23:K26,K30,K33:K35,K47)=0,"NO",SUM(K23:K26,K30,K33:K35,K47))</f>
        <v>-89.160161909491308</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447.77340178600002</v>
      </c>
      <c r="E23" s="1938">
        <f>IF(SUM($D23)=0,"NA",(H23-K23)/$D23)</f>
        <v>1.4136602286831952</v>
      </c>
      <c r="F23" s="1938" t="str">
        <f>IFERROR(IF(SUM($D23)=0,"NA",I23/$D23),"NA")</f>
        <v>NA</v>
      </c>
      <c r="G23" s="1938" t="str">
        <f>IFERROR(IF(SUM($D23)=0,"NA",J23/$D23),"NA")</f>
        <v>NA</v>
      </c>
      <c r="H23" s="699">
        <v>543.83928765755775</v>
      </c>
      <c r="I23" s="699" t="s">
        <v>199</v>
      </c>
      <c r="J23" s="699" t="s">
        <v>199</v>
      </c>
      <c r="K23" s="3149">
        <v>-89.160161909491308</v>
      </c>
      <c r="L23" s="699" t="s">
        <v>199</v>
      </c>
      <c r="M23" s="699" t="s">
        <v>199</v>
      </c>
      <c r="N23" s="2921" t="s">
        <v>199</v>
      </c>
    </row>
    <row r="24" spans="2:14" ht="18" customHeight="1" x14ac:dyDescent="0.2">
      <c r="B24" s="286" t="s">
        <v>766</v>
      </c>
      <c r="C24" s="474" t="s">
        <v>349</v>
      </c>
      <c r="D24" s="699">
        <v>297.197</v>
      </c>
      <c r="E24" s="2135"/>
      <c r="F24" s="2135"/>
      <c r="G24" s="1938">
        <f>IF(SUM($D24)=0,"NA",J24/$D24)</f>
        <v>1.1235184271712028E-2</v>
      </c>
      <c r="H24" s="2135"/>
      <c r="I24" s="2135"/>
      <c r="J24" s="699">
        <v>3.33906306</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415.11969387755096</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0.43762607399999998</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0.43762607399999998</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0.43762607399999998</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0.43762607399999998</v>
      </c>
      <c r="J46" s="615"/>
      <c r="K46" s="699" t="s">
        <v>199</v>
      </c>
      <c r="L46" s="699" t="s">
        <v>199</v>
      </c>
      <c r="M46" s="699" t="s">
        <v>199</v>
      </c>
      <c r="N46" s="1842"/>
    </row>
    <row r="47" spans="2:16" ht="18" customHeight="1" x14ac:dyDescent="0.2">
      <c r="B47" s="286" t="s">
        <v>787</v>
      </c>
      <c r="C47" s="2131"/>
      <c r="D47" s="615"/>
      <c r="E47" s="615"/>
      <c r="F47" s="615"/>
      <c r="G47" s="615"/>
      <c r="H47" s="3167">
        <f>H50</f>
        <v>95.730721445838583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95.730721445838583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95.730721445838583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11644.473410340323</v>
      </c>
      <c r="I52" s="3161">
        <f>IF(SUM(I53,I62:I67)=0,"IE",SUM(I53,I62:I67))</f>
        <v>2.8270217935884054</v>
      </c>
      <c r="J52" s="1934">
        <f>J67</f>
        <v>7.4738578775190162E-2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1235</v>
      </c>
      <c r="E63" s="4121">
        <f>IF(SUM($D63)=0,"NA",H63/$D63)</f>
        <v>1.6664799557239485</v>
      </c>
      <c r="F63" s="1917"/>
      <c r="G63" s="2134"/>
      <c r="H63" s="699">
        <v>2058.1027453190763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9586.3706650212462</v>
      </c>
      <c r="I67" s="3168">
        <f t="shared" ref="I67:N67" si="8">IF(SUM(I69:I70)=0,I70,SUM(I69:I70))</f>
        <v>2.8270217935884054</v>
      </c>
      <c r="J67" s="3168">
        <f t="shared" si="8"/>
        <v>7.4738578775190162E-2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9586.3706650212462</v>
      </c>
      <c r="I70" s="3074">
        <f t="shared" si="9"/>
        <v>2.8270217935884054</v>
      </c>
      <c r="J70" s="3074">
        <f t="shared" si="9"/>
        <v>7.4738578775190162E-2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9586.3706650212462</v>
      </c>
      <c r="I71" s="3101">
        <v>2.8270217935884054</v>
      </c>
      <c r="J71" s="3101">
        <v>7.4738578775190162E-2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281.30450949999999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523.19587628865975</v>
      </c>
      <c r="E73" s="4121">
        <f t="shared" ref="E73:G74" si="11">IF(SUM($D73)=0,"NA",H73/$D73)</f>
        <v>0.53766576200000005</v>
      </c>
      <c r="F73" s="276" t="s">
        <v>205</v>
      </c>
      <c r="G73" s="276" t="s">
        <v>205</v>
      </c>
      <c r="H73" s="3100">
        <v>281.30450949999999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278.24045454545501</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82.573034651705768</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82.573034651705768</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4" t="s">
        <v>837</v>
      </c>
      <c r="C135" s="4495"/>
      <c r="D135" s="4495"/>
      <c r="E135" s="4495"/>
      <c r="F135" s="4495"/>
      <c r="G135" s="4495"/>
      <c r="H135" s="4495"/>
      <c r="I135" s="4495"/>
      <c r="J135" s="4495"/>
      <c r="K135" s="4495"/>
      <c r="L135" s="4495"/>
      <c r="M135" s="4495"/>
      <c r="N135" s="4496"/>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2459</v>
      </c>
    </row>
    <row r="2" spans="2:8" ht="15.75" x14ac:dyDescent="0.2">
      <c r="B2" s="3" t="s">
        <v>839</v>
      </c>
      <c r="C2" s="3"/>
      <c r="D2" s="3"/>
      <c r="H2" s="14" t="s">
        <v>2460</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f t="shared" ref="G10:H12" si="0">G11</f>
        <v>96.2624</v>
      </c>
      <c r="H10" s="2629" t="str">
        <f t="shared" si="0"/>
        <v>NO</v>
      </c>
    </row>
    <row r="11" spans="2:8" ht="18" customHeight="1" x14ac:dyDescent="0.2">
      <c r="B11" s="169" t="s">
        <v>709</v>
      </c>
      <c r="C11" s="2523"/>
      <c r="D11" s="1828"/>
      <c r="E11" s="1829"/>
      <c r="F11" s="1829"/>
      <c r="G11" s="1938">
        <f t="shared" si="0"/>
        <v>96.2624</v>
      </c>
      <c r="H11" s="2628" t="str">
        <f t="shared" si="0"/>
        <v>NO</v>
      </c>
    </row>
    <row r="12" spans="2:8" ht="18" customHeight="1" x14ac:dyDescent="0.2">
      <c r="B12" s="1168" t="s">
        <v>710</v>
      </c>
      <c r="C12" s="2523"/>
      <c r="D12" s="1828"/>
      <c r="E12" s="1829"/>
      <c r="F12" s="1829"/>
      <c r="G12" s="1938">
        <f t="shared" si="0"/>
        <v>96.2624</v>
      </c>
      <c r="H12" s="2628" t="str">
        <f t="shared" si="0"/>
        <v>NO</v>
      </c>
    </row>
    <row r="13" spans="2:8" ht="18" customHeight="1" x14ac:dyDescent="0.2">
      <c r="B13" s="1169" t="s">
        <v>847</v>
      </c>
      <c r="C13" s="2638" t="s">
        <v>671</v>
      </c>
      <c r="D13" s="73" t="s">
        <v>848</v>
      </c>
      <c r="E13" s="2624">
        <v>2406.56</v>
      </c>
      <c r="F13" s="2625">
        <f>IF(SUM(E13)=0,"NA",G13*1000/E13)</f>
        <v>40</v>
      </c>
      <c r="G13" s="699">
        <v>96.2624</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580.0184130381549</v>
      </c>
      <c r="H22" s="2628" t="str">
        <f>H23</f>
        <v>NO</v>
      </c>
    </row>
    <row r="23" spans="2:8" ht="18" customHeight="1" x14ac:dyDescent="0.2">
      <c r="B23" s="169" t="s">
        <v>857</v>
      </c>
      <c r="C23" s="2523"/>
      <c r="D23" s="76"/>
      <c r="E23" s="76"/>
      <c r="F23" s="1829"/>
      <c r="G23" s="3157">
        <f>IF(SUM(G24,G27)=0,"NO",SUM(G24,G27))</f>
        <v>580.0184130381549</v>
      </c>
      <c r="H23" s="2628" t="str">
        <f>H24</f>
        <v>NO</v>
      </c>
    </row>
    <row r="24" spans="2:8" ht="18" customHeight="1" x14ac:dyDescent="0.2">
      <c r="B24" s="171" t="s">
        <v>858</v>
      </c>
      <c r="C24" s="2523"/>
      <c r="D24" s="76"/>
      <c r="E24" s="76"/>
      <c r="F24" s="1829"/>
      <c r="G24" s="3157">
        <f>IF(SUM(G25:G26)=0,"NO",SUM(G25:G26))</f>
        <v>580.0184130381549</v>
      </c>
      <c r="H24" s="2628" t="str">
        <f>H25</f>
        <v>NO</v>
      </c>
    </row>
    <row r="25" spans="2:8" ht="18" customHeight="1" x14ac:dyDescent="0.25">
      <c r="B25" s="2626" t="s">
        <v>859</v>
      </c>
      <c r="C25" s="2638" t="s">
        <v>859</v>
      </c>
      <c r="D25" s="73" t="s">
        <v>860</v>
      </c>
      <c r="E25" s="699">
        <v>1235000</v>
      </c>
      <c r="F25" s="4135">
        <f>IF(SUM(E25)=0,"NA",G25*1000/E25)</f>
        <v>0.41566771654299994</v>
      </c>
      <c r="G25" s="699">
        <v>513.34962993060492</v>
      </c>
      <c r="H25" s="2627" t="s">
        <v>199</v>
      </c>
    </row>
    <row r="26" spans="2:8" ht="18" customHeight="1" x14ac:dyDescent="0.25">
      <c r="B26" s="2626" t="s">
        <v>861</v>
      </c>
      <c r="C26" s="2638" t="s">
        <v>861</v>
      </c>
      <c r="D26" s="73" t="s">
        <v>860</v>
      </c>
      <c r="E26" s="699">
        <v>1235000</v>
      </c>
      <c r="F26" s="4135">
        <f>IF(SUM(E26)=0,"NA",G26*1000/E26)</f>
        <v>5.398282033E-2</v>
      </c>
      <c r="G26" s="699">
        <v>66.668783107549999</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2459</v>
      </c>
    </row>
    <row r="2" spans="1:13" ht="15.75" x14ac:dyDescent="0.2">
      <c r="B2" s="3" t="s">
        <v>839</v>
      </c>
      <c r="C2" s="3"/>
      <c r="D2" s="3"/>
      <c r="H2" s="226"/>
      <c r="M2" s="14" t="s">
        <v>2460</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t="str">
        <f>IF(SUM(J11,J90,J117,J130,J146,J159)=0,"NO",SUM(J11,J90,J117,J130,J146,J159))</f>
        <v>NO</v>
      </c>
      <c r="K10" s="3191" t="str">
        <f>IF(SUM(K11,K90,K117,K130,K146,K159)=0,"NO",SUM(K11,K90,K117,K130,K146,K159))</f>
        <v>NO</v>
      </c>
      <c r="L10" s="3192" t="str">
        <f>IF(SUM(L11,L90,L117,L130,L146,L159)=0,"NO",SUM(L11,L90,L117,L130,L146,L159))</f>
        <v>NO</v>
      </c>
      <c r="M10" s="3462" t="str">
        <f>IF(SUM(M11,M90,M117,M130,M146,M159)=0,"NO",SUM(M11,M90,M117,M130,M146,M159))</f>
        <v>NO</v>
      </c>
    </row>
    <row r="11" spans="1:13" ht="18" customHeight="1" x14ac:dyDescent="0.2">
      <c r="B11" s="147" t="s">
        <v>888</v>
      </c>
      <c r="C11" s="2524"/>
      <c r="D11" s="150"/>
      <c r="E11" s="150"/>
      <c r="F11" s="150"/>
      <c r="G11" s="150"/>
      <c r="H11" s="150"/>
      <c r="I11" s="150"/>
      <c r="J11" s="3081" t="str">
        <f>IF(SUM(J12,J25,J38,J51,J64,J77)=0,"NO",SUM(J12,J25,J38,J51,J64,J77))</f>
        <v>NO</v>
      </c>
      <c r="K11" s="3081" t="str">
        <f t="shared" ref="K11:M11" si="0">IF(SUM(K12,K25,K38,K51,K64,K77)=0,"NO",SUM(K12,K25,K38,K51,K64,K77))</f>
        <v>NO</v>
      </c>
      <c r="L11" s="3081" t="str">
        <f t="shared" si="0"/>
        <v>NO</v>
      </c>
      <c r="M11" s="3193" t="str">
        <f t="shared" si="0"/>
        <v>NO</v>
      </c>
    </row>
    <row r="12" spans="1:13" ht="18" customHeight="1" x14ac:dyDescent="0.2">
      <c r="B12" s="104" t="s">
        <v>889</v>
      </c>
      <c r="C12" s="2524"/>
      <c r="D12" s="150"/>
      <c r="E12" s="150"/>
      <c r="F12" s="150"/>
      <c r="G12" s="150"/>
      <c r="H12" s="150"/>
      <c r="I12" s="150"/>
      <c r="J12" s="3081" t="str">
        <f>IF(SUM(J13:J24)=0,"NO",SUM(J13:J24))</f>
        <v>NO</v>
      </c>
      <c r="K12" s="3081" t="str">
        <f>IF(SUM(K13:K24)=0,"NO",SUM(K13:K24))</f>
        <v>NO</v>
      </c>
      <c r="L12" s="3081" t="str">
        <f>IF(SUM(L13:L24)=0,"NO",SUM(L13:L24))</f>
        <v>NO</v>
      </c>
      <c r="M12" s="3193" t="str">
        <f>IF(SUM(M13:M24)=0,"NO",SUM(M13:M24))</f>
        <v>NO</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t="s">
        <v>199</v>
      </c>
      <c r="E14" s="3160" t="s">
        <v>199</v>
      </c>
      <c r="F14" s="3160" t="s">
        <v>199</v>
      </c>
      <c r="G14" s="3668" t="str">
        <f t="shared" ref="G14:G24" si="1">IF(SUM(D14)=0,"NA",J14/D14)</f>
        <v>NA</v>
      </c>
      <c r="H14" s="3081" t="str">
        <f t="shared" ref="H14:H24" si="2">IF(SUM(E14)=0,"NA",K14/E14)</f>
        <v>NA</v>
      </c>
      <c r="I14" s="3081" t="str">
        <f t="shared" ref="I14:I24" si="3">IF(SUM(F14)=0,"NA",L14/F14)</f>
        <v>NA</v>
      </c>
      <c r="J14" s="3194" t="s">
        <v>199</v>
      </c>
      <c r="K14" s="3194" t="s">
        <v>199</v>
      </c>
      <c r="L14" s="3194" t="s">
        <v>199</v>
      </c>
      <c r="M14" s="3460" t="s">
        <v>199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t="s">
        <v>199</v>
      </c>
      <c r="F16" s="3160" t="s">
        <v>199</v>
      </c>
      <c r="G16" s="3668" t="str">
        <f t="shared" si="1"/>
        <v>NA</v>
      </c>
      <c r="H16" s="3081" t="str">
        <f t="shared" si="2"/>
        <v>NA</v>
      </c>
      <c r="I16" s="3081" t="str">
        <f t="shared" si="3"/>
        <v>NA</v>
      </c>
      <c r="J16" s="3194" t="s">
        <v>199</v>
      </c>
      <c r="K16" s="3194" t="s">
        <v>199</v>
      </c>
      <c r="L16" s="3194" t="s">
        <v>199</v>
      </c>
      <c r="M16" s="3460" t="s">
        <v>199</v>
      </c>
    </row>
    <row r="17" spans="2:13" ht="18" customHeight="1" x14ac:dyDescent="0.2">
      <c r="B17" s="2634" t="s">
        <v>676</v>
      </c>
      <c r="C17" s="2636" t="s">
        <v>676</v>
      </c>
      <c r="D17" s="3160" t="s">
        <v>199</v>
      </c>
      <c r="E17" s="3160" t="s">
        <v>199</v>
      </c>
      <c r="F17" s="3160" t="s">
        <v>199</v>
      </c>
      <c r="G17" s="3668" t="str">
        <f t="shared" si="1"/>
        <v>NA</v>
      </c>
      <c r="H17" s="3081" t="str">
        <f t="shared" si="2"/>
        <v>NA</v>
      </c>
      <c r="I17" s="3081" t="str">
        <f t="shared" si="3"/>
        <v>NA</v>
      </c>
      <c r="J17" s="3194" t="s">
        <v>199</v>
      </c>
      <c r="K17" s="3194" t="s">
        <v>199</v>
      </c>
      <c r="L17" s="3194" t="s">
        <v>199</v>
      </c>
      <c r="M17" s="3460" t="s">
        <v>199</v>
      </c>
    </row>
    <row r="18" spans="2:13" ht="18" customHeight="1" x14ac:dyDescent="0.2">
      <c r="B18" s="2634" t="s">
        <v>677</v>
      </c>
      <c r="C18" s="2636" t="s">
        <v>677</v>
      </c>
      <c r="D18" s="3160" t="s">
        <v>199</v>
      </c>
      <c r="E18" s="3160" t="s">
        <v>199</v>
      </c>
      <c r="F18" s="3160" t="s">
        <v>199</v>
      </c>
      <c r="G18" s="3668" t="str">
        <f t="shared" si="1"/>
        <v>NA</v>
      </c>
      <c r="H18" s="3081" t="str">
        <f t="shared" si="2"/>
        <v>NA</v>
      </c>
      <c r="I18" s="3081" t="str">
        <f t="shared" si="3"/>
        <v>NA</v>
      </c>
      <c r="J18" s="3194" t="s">
        <v>199</v>
      </c>
      <c r="K18" s="3194" t="s">
        <v>199</v>
      </c>
      <c r="L18" s="3194" t="s">
        <v>199</v>
      </c>
      <c r="M18" s="3460" t="s">
        <v>199</v>
      </c>
    </row>
    <row r="19" spans="2:13" ht="18" customHeight="1" x14ac:dyDescent="0.2">
      <c r="B19" s="2634" t="s">
        <v>679</v>
      </c>
      <c r="C19" s="2636" t="s">
        <v>679</v>
      </c>
      <c r="D19" s="3160" t="s">
        <v>199</v>
      </c>
      <c r="E19" s="3160" t="s">
        <v>199</v>
      </c>
      <c r="F19" s="3160" t="s">
        <v>199</v>
      </c>
      <c r="G19" s="3668" t="str">
        <f t="shared" si="1"/>
        <v>NA</v>
      </c>
      <c r="H19" s="3081" t="str">
        <f t="shared" si="2"/>
        <v>NA</v>
      </c>
      <c r="I19" s="3081" t="str">
        <f t="shared" si="3"/>
        <v>NA</v>
      </c>
      <c r="J19" s="3194" t="s">
        <v>199</v>
      </c>
      <c r="K19" s="3194" t="s">
        <v>199</v>
      </c>
      <c r="L19" s="3194" t="s">
        <v>199</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t="s">
        <v>199</v>
      </c>
      <c r="E21" s="3160" t="s">
        <v>199</v>
      </c>
      <c r="F21" s="3160" t="s">
        <v>199</v>
      </c>
      <c r="G21" s="3668" t="str">
        <f t="shared" si="1"/>
        <v>NA</v>
      </c>
      <c r="H21" s="3081" t="str">
        <f t="shared" si="2"/>
        <v>NA</v>
      </c>
      <c r="I21" s="3081" t="str">
        <f t="shared" si="3"/>
        <v>NA</v>
      </c>
      <c r="J21" s="3194" t="s">
        <v>199</v>
      </c>
      <c r="K21" s="3194" t="s">
        <v>199</v>
      </c>
      <c r="L21" s="3194" t="s">
        <v>199</v>
      </c>
      <c r="M21" s="3460" t="s">
        <v>199</v>
      </c>
    </row>
    <row r="22" spans="2:13" ht="18" customHeight="1" x14ac:dyDescent="0.2">
      <c r="B22" s="2634" t="s">
        <v>686</v>
      </c>
      <c r="C22" s="2636" t="s">
        <v>686</v>
      </c>
      <c r="D22" s="3160" t="s">
        <v>199</v>
      </c>
      <c r="E22" s="3160" t="s">
        <v>199</v>
      </c>
      <c r="F22" s="3160" t="s">
        <v>199</v>
      </c>
      <c r="G22" s="3668" t="str">
        <f t="shared" si="1"/>
        <v>NA</v>
      </c>
      <c r="H22" s="3081" t="str">
        <f t="shared" si="2"/>
        <v>NA</v>
      </c>
      <c r="I22" s="3081" t="str">
        <f t="shared" si="3"/>
        <v>NA</v>
      </c>
      <c r="J22" s="3194" t="s">
        <v>199</v>
      </c>
      <c r="K22" s="3194" t="s">
        <v>199</v>
      </c>
      <c r="L22" s="3194" t="s">
        <v>199</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t="str">
        <f>IF(SUM(J26:J37)=0,"NO",SUM(J26:J37))</f>
        <v>NO</v>
      </c>
      <c r="K25" s="3081" t="str">
        <f>IF(SUM(K26:K37)=0,"NO",SUM(K26:K37))</f>
        <v>NO</v>
      </c>
      <c r="L25" s="3081" t="str">
        <f>IF(SUM(L26:L37)=0,"NO",SUM(L26:L37))</f>
        <v>NO</v>
      </c>
      <c r="M25" s="3193" t="str">
        <f>IF(SUM(M26:M37)=0,"NO",SUM(M26:M37))</f>
        <v>NO</v>
      </c>
    </row>
    <row r="26" spans="2:13" ht="18" customHeight="1" x14ac:dyDescent="0.2">
      <c r="B26" s="2634" t="s">
        <v>671</v>
      </c>
      <c r="C26" s="2636" t="s">
        <v>671</v>
      </c>
      <c r="D26" s="3461" t="s">
        <v>199</v>
      </c>
      <c r="E26" s="3461" t="s">
        <v>199</v>
      </c>
      <c r="F26" s="3461" t="s">
        <v>199</v>
      </c>
      <c r="G26" s="3668" t="str">
        <f>IF(SUM(D26)=0,"NA",J26/D26)</f>
        <v>NA</v>
      </c>
      <c r="H26" s="3081" t="str">
        <f>IF(SUM(E26)=0,"NA",K26/E26)</f>
        <v>NA</v>
      </c>
      <c r="I26" s="3081" t="str">
        <f>IF(SUM(F26)=0,"NA",L26/F26)</f>
        <v>NA</v>
      </c>
      <c r="J26" s="3194" t="s">
        <v>199</v>
      </c>
      <c r="K26" s="3194" t="s">
        <v>199</v>
      </c>
      <c r="L26" s="3194" t="s">
        <v>199</v>
      </c>
      <c r="M26" s="3460" t="s">
        <v>199</v>
      </c>
    </row>
    <row r="27" spans="2:13" ht="18" customHeight="1" x14ac:dyDescent="0.2">
      <c r="B27" s="2634" t="s">
        <v>672</v>
      </c>
      <c r="C27" s="2636" t="s">
        <v>672</v>
      </c>
      <c r="D27" s="3461" t="s">
        <v>199</v>
      </c>
      <c r="E27" s="3461" t="s">
        <v>199</v>
      </c>
      <c r="F27" s="3461" t="s">
        <v>199</v>
      </c>
      <c r="G27" s="3668" t="str">
        <f t="shared" ref="G27:G37" si="7">IF(SUM(D27)=0,"NA",J27/D27)</f>
        <v>NA</v>
      </c>
      <c r="H27" s="3081" t="str">
        <f t="shared" ref="H27:H37" si="8">IF(SUM(E27)=0,"NA",K27/E27)</f>
        <v>NA</v>
      </c>
      <c r="I27" s="3081" t="str">
        <f t="shared" ref="I27:I37" si="9">IF(SUM(F27)=0,"NA",L27/F27)</f>
        <v>NA</v>
      </c>
      <c r="J27" s="3194" t="s">
        <v>199</v>
      </c>
      <c r="K27" s="3194" t="s">
        <v>199</v>
      </c>
      <c r="L27" s="3194" t="s">
        <v>199</v>
      </c>
      <c r="M27" s="3460" t="s">
        <v>199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t="s">
        <v>199</v>
      </c>
      <c r="F29" s="3461" t="s">
        <v>199</v>
      </c>
      <c r="G29" s="3668" t="str">
        <f t="shared" si="7"/>
        <v>NA</v>
      </c>
      <c r="H29" s="3081" t="str">
        <f t="shared" si="8"/>
        <v>NA</v>
      </c>
      <c r="I29" s="3081" t="str">
        <f t="shared" si="9"/>
        <v>NA</v>
      </c>
      <c r="J29" s="3194" t="s">
        <v>199</v>
      </c>
      <c r="K29" s="3194" t="s">
        <v>199</v>
      </c>
      <c r="L29" s="3194" t="s">
        <v>199</v>
      </c>
      <c r="M29" s="3460" t="s">
        <v>199</v>
      </c>
    </row>
    <row r="30" spans="2:13" ht="18" customHeight="1" x14ac:dyDescent="0.2">
      <c r="B30" s="2634" t="s">
        <v>676</v>
      </c>
      <c r="C30" s="2636" t="s">
        <v>676</v>
      </c>
      <c r="D30" s="3461" t="s">
        <v>199</v>
      </c>
      <c r="E30" s="3461" t="s">
        <v>199</v>
      </c>
      <c r="F30" s="3461" t="s">
        <v>199</v>
      </c>
      <c r="G30" s="3668" t="str">
        <f t="shared" si="7"/>
        <v>NA</v>
      </c>
      <c r="H30" s="3081" t="str">
        <f t="shared" si="8"/>
        <v>NA</v>
      </c>
      <c r="I30" s="3081" t="str">
        <f t="shared" si="9"/>
        <v>NA</v>
      </c>
      <c r="J30" s="3194" t="s">
        <v>199</v>
      </c>
      <c r="K30" s="3194" t="s">
        <v>199</v>
      </c>
      <c r="L30" s="3194" t="s">
        <v>199</v>
      </c>
      <c r="M30" s="3460" t="s">
        <v>199</v>
      </c>
    </row>
    <row r="31" spans="2:13" ht="18" customHeight="1" x14ac:dyDescent="0.2">
      <c r="B31" s="2634" t="s">
        <v>677</v>
      </c>
      <c r="C31" s="2636" t="s">
        <v>677</v>
      </c>
      <c r="D31" s="3461" t="s">
        <v>199</v>
      </c>
      <c r="E31" s="3461" t="s">
        <v>199</v>
      </c>
      <c r="F31" s="3461" t="s">
        <v>199</v>
      </c>
      <c r="G31" s="3668" t="str">
        <f t="shared" si="7"/>
        <v>NA</v>
      </c>
      <c r="H31" s="3081" t="str">
        <f t="shared" si="8"/>
        <v>NA</v>
      </c>
      <c r="I31" s="3081" t="str">
        <f t="shared" si="9"/>
        <v>NA</v>
      </c>
      <c r="J31" s="3194" t="s">
        <v>199</v>
      </c>
      <c r="K31" s="3194" t="s">
        <v>199</v>
      </c>
      <c r="L31" s="3194" t="s">
        <v>199</v>
      </c>
      <c r="M31" s="3460" t="s">
        <v>199</v>
      </c>
    </row>
    <row r="32" spans="2:13" ht="18" customHeight="1" x14ac:dyDescent="0.2">
      <c r="B32" s="2634" t="s">
        <v>679</v>
      </c>
      <c r="C32" s="2636" t="s">
        <v>679</v>
      </c>
      <c r="D32" s="3461" t="s">
        <v>199</v>
      </c>
      <c r="E32" s="3461" t="s">
        <v>199</v>
      </c>
      <c r="F32" s="3461" t="s">
        <v>199</v>
      </c>
      <c r="G32" s="3668" t="str">
        <f t="shared" si="7"/>
        <v>NA</v>
      </c>
      <c r="H32" s="3081" t="str">
        <f t="shared" si="8"/>
        <v>NA</v>
      </c>
      <c r="I32" s="3081" t="str">
        <f t="shared" si="9"/>
        <v>NA</v>
      </c>
      <c r="J32" s="3194" t="s">
        <v>199</v>
      </c>
      <c r="K32" s="3194" t="s">
        <v>199</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t="s">
        <v>199</v>
      </c>
      <c r="E34" s="3461" t="s">
        <v>199</v>
      </c>
      <c r="F34" s="3461" t="s">
        <v>199</v>
      </c>
      <c r="G34" s="3668" t="str">
        <f t="shared" si="7"/>
        <v>NA</v>
      </c>
      <c r="H34" s="3081" t="str">
        <f t="shared" si="8"/>
        <v>NA</v>
      </c>
      <c r="I34" s="3081" t="str">
        <f t="shared" si="9"/>
        <v>NA</v>
      </c>
      <c r="J34" s="3194" t="s">
        <v>199</v>
      </c>
      <c r="K34" s="3194" t="s">
        <v>199</v>
      </c>
      <c r="L34" s="3194" t="s">
        <v>199</v>
      </c>
      <c r="M34" s="3460" t="s">
        <v>199</v>
      </c>
    </row>
    <row r="35" spans="2:13" ht="18" customHeight="1" x14ac:dyDescent="0.2">
      <c r="B35" s="2634" t="s">
        <v>686</v>
      </c>
      <c r="C35" s="2636" t="s">
        <v>686</v>
      </c>
      <c r="D35" s="3461" t="s">
        <v>199</v>
      </c>
      <c r="E35" s="3461" t="s">
        <v>199</v>
      </c>
      <c r="F35" s="3461" t="s">
        <v>199</v>
      </c>
      <c r="G35" s="3668" t="str">
        <f t="shared" si="7"/>
        <v>NA</v>
      </c>
      <c r="H35" s="3081" t="str">
        <f t="shared" si="8"/>
        <v>NA</v>
      </c>
      <c r="I35" s="3081" t="str">
        <f t="shared" si="9"/>
        <v>NA</v>
      </c>
      <c r="J35" s="3194" t="s">
        <v>199</v>
      </c>
      <c r="K35" s="3194" t="s">
        <v>199</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NO</v>
      </c>
      <c r="E40" s="3461" t="str">
        <f t="shared" si="13"/>
        <v>NO</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NO</v>
      </c>
      <c r="L40" s="3461" t="str">
        <f t="shared" si="17"/>
        <v>NO</v>
      </c>
      <c r="M40" s="3460" t="str">
        <f t="shared" ref="M40" si="18">IF(M14="NO","NO","IE")</f>
        <v>NO</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NO</v>
      </c>
      <c r="F42" s="3461" t="str">
        <f t="shared" si="13"/>
        <v>NO</v>
      </c>
      <c r="G42" s="3668" t="str">
        <f t="shared" si="14"/>
        <v>NA</v>
      </c>
      <c r="H42" s="3668" t="str">
        <f t="shared" si="15"/>
        <v>NA</v>
      </c>
      <c r="I42" s="3668" t="str">
        <f t="shared" si="16"/>
        <v>NA</v>
      </c>
      <c r="J42" s="3461" t="str">
        <f t="shared" ref="J42:L42" si="21">IF(J16="NO","NO","IE")</f>
        <v>NO</v>
      </c>
      <c r="K42" s="3461" t="str">
        <f t="shared" si="21"/>
        <v>NO</v>
      </c>
      <c r="L42" s="3461" t="str">
        <f t="shared" si="21"/>
        <v>NO</v>
      </c>
      <c r="M42" s="3460" t="str">
        <f t="shared" ref="M42" si="22">IF(M16="NO","NO","IE")</f>
        <v>NO</v>
      </c>
    </row>
    <row r="43" spans="2:13" ht="18" customHeight="1" x14ac:dyDescent="0.2">
      <c r="B43" s="2634" t="s">
        <v>676</v>
      </c>
      <c r="C43" s="2636" t="s">
        <v>676</v>
      </c>
      <c r="D43" s="3461" t="str">
        <f t="shared" si="13"/>
        <v>NO</v>
      </c>
      <c r="E43" s="3461" t="str">
        <f t="shared" si="13"/>
        <v>NO</v>
      </c>
      <c r="F43" s="3461" t="str">
        <f t="shared" si="13"/>
        <v>NO</v>
      </c>
      <c r="G43" s="3668" t="str">
        <f t="shared" si="14"/>
        <v>NA</v>
      </c>
      <c r="H43" s="3668" t="str">
        <f t="shared" si="15"/>
        <v>NA</v>
      </c>
      <c r="I43" s="3668" t="str">
        <f t="shared" si="16"/>
        <v>NA</v>
      </c>
      <c r="J43" s="3461" t="str">
        <f t="shared" ref="J43:L43" si="23">IF(J17="NO","NO","IE")</f>
        <v>NO</v>
      </c>
      <c r="K43" s="3461" t="str">
        <f t="shared" si="23"/>
        <v>NO</v>
      </c>
      <c r="L43" s="3461" t="str">
        <f t="shared" si="23"/>
        <v>NO</v>
      </c>
      <c r="M43" s="3460" t="str">
        <f t="shared" ref="M43" si="24">IF(M17="NO","NO","IE")</f>
        <v>NO</v>
      </c>
    </row>
    <row r="44" spans="2:13" ht="18" customHeight="1" x14ac:dyDescent="0.2">
      <c r="B44" s="2634" t="s">
        <v>677</v>
      </c>
      <c r="C44" s="2636" t="s">
        <v>677</v>
      </c>
      <c r="D44" s="3461" t="str">
        <f t="shared" si="13"/>
        <v>NO</v>
      </c>
      <c r="E44" s="3461" t="str">
        <f t="shared" si="13"/>
        <v>NO</v>
      </c>
      <c r="F44" s="3461" t="str">
        <f t="shared" si="13"/>
        <v>NO</v>
      </c>
      <c r="G44" s="3668" t="str">
        <f t="shared" si="14"/>
        <v>NA</v>
      </c>
      <c r="H44" s="3668" t="str">
        <f t="shared" si="15"/>
        <v>NA</v>
      </c>
      <c r="I44" s="3668" t="str">
        <f t="shared" si="16"/>
        <v>NA</v>
      </c>
      <c r="J44" s="3461" t="str">
        <f t="shared" ref="J44:L44" si="25">IF(J18="NO","NO","IE")</f>
        <v>NO</v>
      </c>
      <c r="K44" s="3461" t="str">
        <f t="shared" si="25"/>
        <v>NO</v>
      </c>
      <c r="L44" s="3461" t="str">
        <f t="shared" si="25"/>
        <v>NO</v>
      </c>
      <c r="M44" s="3460" t="str">
        <f t="shared" ref="M44" si="26">IF(M18="NO","NO","IE")</f>
        <v>NO</v>
      </c>
    </row>
    <row r="45" spans="2:13" ht="18" customHeight="1" x14ac:dyDescent="0.2">
      <c r="B45" s="2634" t="s">
        <v>679</v>
      </c>
      <c r="C45" s="2636" t="s">
        <v>679</v>
      </c>
      <c r="D45" s="3461" t="str">
        <f t="shared" si="13"/>
        <v>NO</v>
      </c>
      <c r="E45" s="3461" t="str">
        <f t="shared" si="13"/>
        <v>NO</v>
      </c>
      <c r="F45" s="3461" t="str">
        <f t="shared" si="13"/>
        <v>NO</v>
      </c>
      <c r="G45" s="3668" t="str">
        <f t="shared" si="14"/>
        <v>NA</v>
      </c>
      <c r="H45" s="3668" t="str">
        <f t="shared" si="15"/>
        <v>NA</v>
      </c>
      <c r="I45" s="3668" t="str">
        <f t="shared" si="16"/>
        <v>NA</v>
      </c>
      <c r="J45" s="3461" t="str">
        <f t="shared" ref="J45:L45" si="27">IF(J19="NO","NO","IE")</f>
        <v>NO</v>
      </c>
      <c r="K45" s="3461" t="str">
        <f t="shared" si="27"/>
        <v>NO</v>
      </c>
      <c r="L45" s="3461" t="str">
        <f t="shared" si="27"/>
        <v>NO</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NO</v>
      </c>
      <c r="E47" s="3461" t="str">
        <f t="shared" si="13"/>
        <v>NO</v>
      </c>
      <c r="F47" s="3461" t="str">
        <f t="shared" si="13"/>
        <v>NO</v>
      </c>
      <c r="G47" s="3668" t="str">
        <f t="shared" si="14"/>
        <v>NA</v>
      </c>
      <c r="H47" s="3668" t="str">
        <f t="shared" si="15"/>
        <v>NA</v>
      </c>
      <c r="I47" s="3668" t="str">
        <f t="shared" si="16"/>
        <v>NA</v>
      </c>
      <c r="J47" s="3461" t="str">
        <f t="shared" ref="J47:L47" si="31">IF(J21="NO","NO","IE")</f>
        <v>NO</v>
      </c>
      <c r="K47" s="3461" t="str">
        <f t="shared" si="31"/>
        <v>NO</v>
      </c>
      <c r="L47" s="3461" t="str">
        <f t="shared" si="31"/>
        <v>NO</v>
      </c>
      <c r="M47" s="3460" t="str">
        <f t="shared" ref="M47" si="32">IF(M21="NO","NO","IE")</f>
        <v>NO</v>
      </c>
    </row>
    <row r="48" spans="2:13" ht="18" customHeight="1" x14ac:dyDescent="0.2">
      <c r="B48" s="2634" t="s">
        <v>686</v>
      </c>
      <c r="C48" s="2636" t="s">
        <v>686</v>
      </c>
      <c r="D48" s="3461" t="str">
        <f t="shared" si="13"/>
        <v>NO</v>
      </c>
      <c r="E48" s="3461" t="str">
        <f t="shared" si="13"/>
        <v>NO</v>
      </c>
      <c r="F48" s="3461" t="str">
        <f t="shared" si="13"/>
        <v>NO</v>
      </c>
      <c r="G48" s="3668" t="str">
        <f t="shared" si="14"/>
        <v>NA</v>
      </c>
      <c r="H48" s="3668" t="str">
        <f t="shared" si="15"/>
        <v>NA</v>
      </c>
      <c r="I48" s="3668" t="str">
        <f t="shared" si="16"/>
        <v>NA</v>
      </c>
      <c r="J48" s="3461" t="str">
        <f t="shared" ref="J48:L48" si="33">IF(J22="NO","NO","IE")</f>
        <v>NO</v>
      </c>
      <c r="K48" s="3461" t="str">
        <f t="shared" si="33"/>
        <v>NO</v>
      </c>
      <c r="L48" s="3461" t="str">
        <f t="shared" si="33"/>
        <v>NO</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t="str">
        <f>IF(SUM(J52:J63)=0,"NO",SUM(J52:J63))</f>
        <v>NO</v>
      </c>
      <c r="K51" s="3081" t="str">
        <f>IF(SUM(K52:K63)=0,"NO",SUM(K52:K63))</f>
        <v>NO</v>
      </c>
      <c r="L51" s="3081" t="str">
        <f>IF(SUM(L52:L63)=0,"NO",SUM(L52:L63))</f>
        <v>NO</v>
      </c>
      <c r="M51" s="3193" t="str">
        <f>IF(SUM(M52:M63)=0,"NO",SUM(M52:M63))</f>
        <v>NO</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t="s">
        <v>199</v>
      </c>
      <c r="E53" s="3461" t="s">
        <v>199</v>
      </c>
      <c r="F53" s="3461" t="s">
        <v>199</v>
      </c>
      <c r="G53" s="3081" t="str">
        <f t="shared" ref="G53:G63" si="39">IF(SUM(D53)=0,"NA",J53/D53)</f>
        <v>NA</v>
      </c>
      <c r="H53" s="3081" t="str">
        <f t="shared" ref="H53:H63" si="40">IF(SUM(E53)=0,"NA",K53/E53)</f>
        <v>NA</v>
      </c>
      <c r="I53" s="3081" t="str">
        <f t="shared" ref="I53:I63" si="41">IF(SUM(F53)=0,"NA",L53/F53)</f>
        <v>NA</v>
      </c>
      <c r="J53" s="3194" t="s">
        <v>199</v>
      </c>
      <c r="K53" s="3194" t="s">
        <v>199</v>
      </c>
      <c r="L53" s="3194" t="s">
        <v>199</v>
      </c>
      <c r="M53" s="3460" t="s">
        <v>199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t="s">
        <v>199</v>
      </c>
      <c r="F55" s="3461" t="s">
        <v>199</v>
      </c>
      <c r="G55" s="3081" t="str">
        <f t="shared" si="39"/>
        <v>NA</v>
      </c>
      <c r="H55" s="3081" t="str">
        <f t="shared" si="40"/>
        <v>NA</v>
      </c>
      <c r="I55" s="3081" t="str">
        <f t="shared" si="41"/>
        <v>NA</v>
      </c>
      <c r="J55" s="3194" t="s">
        <v>199</v>
      </c>
      <c r="K55" s="3194" t="s">
        <v>199</v>
      </c>
      <c r="L55" s="3194" t="s">
        <v>199</v>
      </c>
      <c r="M55" s="3460" t="s">
        <v>199</v>
      </c>
    </row>
    <row r="56" spans="2:13" ht="18" customHeight="1" x14ac:dyDescent="0.2">
      <c r="B56" s="2634" t="s">
        <v>676</v>
      </c>
      <c r="C56" s="2636" t="s">
        <v>676</v>
      </c>
      <c r="D56" s="3461" t="s">
        <v>199</v>
      </c>
      <c r="E56" s="3461" t="s">
        <v>199</v>
      </c>
      <c r="F56" s="3461" t="s">
        <v>199</v>
      </c>
      <c r="G56" s="3081" t="str">
        <f t="shared" si="39"/>
        <v>NA</v>
      </c>
      <c r="H56" s="3081" t="str">
        <f t="shared" si="40"/>
        <v>NA</v>
      </c>
      <c r="I56" s="3081" t="str">
        <f t="shared" si="41"/>
        <v>NA</v>
      </c>
      <c r="J56" s="3194" t="s">
        <v>199</v>
      </c>
      <c r="K56" s="3194" t="s">
        <v>199</v>
      </c>
      <c r="L56" s="3194" t="s">
        <v>199</v>
      </c>
      <c r="M56" s="3460" t="s">
        <v>199</v>
      </c>
    </row>
    <row r="57" spans="2:13" ht="18" customHeight="1" x14ac:dyDescent="0.2">
      <c r="B57" s="2634" t="s">
        <v>677</v>
      </c>
      <c r="C57" s="2636" t="s">
        <v>677</v>
      </c>
      <c r="D57" s="3461" t="s">
        <v>199</v>
      </c>
      <c r="E57" s="3461" t="s">
        <v>199</v>
      </c>
      <c r="F57" s="3461" t="s">
        <v>199</v>
      </c>
      <c r="G57" s="3081" t="str">
        <f t="shared" si="39"/>
        <v>NA</v>
      </c>
      <c r="H57" s="3081" t="str">
        <f t="shared" si="40"/>
        <v>NA</v>
      </c>
      <c r="I57" s="3081" t="str">
        <f t="shared" si="41"/>
        <v>NA</v>
      </c>
      <c r="J57" s="3194" t="s">
        <v>199</v>
      </c>
      <c r="K57" s="3194" t="s">
        <v>199</v>
      </c>
      <c r="L57" s="3194" t="s">
        <v>199</v>
      </c>
      <c r="M57" s="3460" t="s">
        <v>199</v>
      </c>
    </row>
    <row r="58" spans="2:13" ht="18" customHeight="1" x14ac:dyDescent="0.2">
      <c r="B58" s="2634" t="s">
        <v>679</v>
      </c>
      <c r="C58" s="2636" t="s">
        <v>679</v>
      </c>
      <c r="D58" s="3461" t="s">
        <v>199</v>
      </c>
      <c r="E58" s="3461" t="s">
        <v>199</v>
      </c>
      <c r="F58" s="3461" t="s">
        <v>199</v>
      </c>
      <c r="G58" s="3081" t="str">
        <f t="shared" si="39"/>
        <v>NA</v>
      </c>
      <c r="H58" s="3081" t="str">
        <f t="shared" si="40"/>
        <v>NA</v>
      </c>
      <c r="I58" s="3081" t="str">
        <f t="shared" si="41"/>
        <v>NA</v>
      </c>
      <c r="J58" s="3194" t="s">
        <v>199</v>
      </c>
      <c r="K58" s="3194" t="s">
        <v>199</v>
      </c>
      <c r="L58" s="3194" t="s">
        <v>199</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t="s">
        <v>199</v>
      </c>
      <c r="E60" s="3461" t="s">
        <v>199</v>
      </c>
      <c r="F60" s="3461" t="s">
        <v>199</v>
      </c>
      <c r="G60" s="3081" t="str">
        <f t="shared" si="39"/>
        <v>NA</v>
      </c>
      <c r="H60" s="3081" t="str">
        <f t="shared" si="40"/>
        <v>NA</v>
      </c>
      <c r="I60" s="3081" t="str">
        <f t="shared" si="41"/>
        <v>NA</v>
      </c>
      <c r="J60" s="3194" t="s">
        <v>199</v>
      </c>
      <c r="K60" s="3194" t="s">
        <v>199</v>
      </c>
      <c r="L60" s="3194" t="s">
        <v>199</v>
      </c>
      <c r="M60" s="3460" t="s">
        <v>199</v>
      </c>
    </row>
    <row r="61" spans="2:13" ht="18" customHeight="1" x14ac:dyDescent="0.2">
      <c r="B61" s="2634" t="s">
        <v>686</v>
      </c>
      <c r="C61" s="2636" t="s">
        <v>686</v>
      </c>
      <c r="D61" s="3461" t="s">
        <v>199</v>
      </c>
      <c r="E61" s="3461" t="s">
        <v>199</v>
      </c>
      <c r="F61" s="3461" t="s">
        <v>199</v>
      </c>
      <c r="G61" s="3081" t="str">
        <f t="shared" si="39"/>
        <v>NA</v>
      </c>
      <c r="H61" s="3081" t="str">
        <f t="shared" si="40"/>
        <v>NA</v>
      </c>
      <c r="I61" s="3081" t="str">
        <f t="shared" si="41"/>
        <v>NA</v>
      </c>
      <c r="J61" s="3194" t="s">
        <v>199</v>
      </c>
      <c r="K61" s="3194" t="s">
        <v>199</v>
      </c>
      <c r="L61" s="3194" t="s">
        <v>199</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t="str">
        <f>IF(SUM(J65:J76)=0,"NO",SUM(J65:J76))</f>
        <v>NO</v>
      </c>
      <c r="K64" s="3081" t="str">
        <f>IF(SUM(K65:K76)=0,"NO",SUM(K65:K76))</f>
        <v>NO</v>
      </c>
      <c r="L64" s="3081" t="str">
        <f>IF(SUM(L65:L76)=0,"NO",SUM(L65:L76))</f>
        <v>NO</v>
      </c>
      <c r="M64" s="3193" t="str">
        <f>IF(SUM(M65:M76)=0,"NO",SUM(M65:M76))</f>
        <v>NO</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t="s">
        <v>199</v>
      </c>
      <c r="E66" s="3461" t="s">
        <v>199</v>
      </c>
      <c r="F66" s="3461" t="s">
        <v>199</v>
      </c>
      <c r="G66" s="3081" t="str">
        <f t="shared" ref="G66:G76" si="42">IF(SUM(D66)=0,"NA",J66/D66)</f>
        <v>NA</v>
      </c>
      <c r="H66" s="3081" t="str">
        <f t="shared" ref="H66:H76" si="43">IF(SUM(E66)=0,"NA",K66/E66)</f>
        <v>NA</v>
      </c>
      <c r="I66" s="3081" t="str">
        <f t="shared" ref="I66:I76" si="44">IF(SUM(F66)=0,"NA",L66/F66)</f>
        <v>NA</v>
      </c>
      <c r="J66" s="3194" t="s">
        <v>199</v>
      </c>
      <c r="K66" s="3194" t="s">
        <v>199</v>
      </c>
      <c r="L66" s="3194" t="s">
        <v>199</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t="s">
        <v>199</v>
      </c>
      <c r="E68" s="3461" t="s">
        <v>199</v>
      </c>
      <c r="F68" s="3461" t="s">
        <v>199</v>
      </c>
      <c r="G68" s="3081" t="str">
        <f t="shared" si="42"/>
        <v>NA</v>
      </c>
      <c r="H68" s="3081" t="str">
        <f t="shared" si="43"/>
        <v>NA</v>
      </c>
      <c r="I68" s="3081" t="str">
        <f t="shared" si="44"/>
        <v>NA</v>
      </c>
      <c r="J68" s="3194" t="s">
        <v>199</v>
      </c>
      <c r="K68" s="3194" t="s">
        <v>199</v>
      </c>
      <c r="L68" s="3194" t="s">
        <v>199</v>
      </c>
      <c r="M68" s="3460" t="s">
        <v>199</v>
      </c>
    </row>
    <row r="69" spans="2:13" ht="18" customHeight="1" x14ac:dyDescent="0.2">
      <c r="B69" s="2634" t="s">
        <v>676</v>
      </c>
      <c r="C69" s="2636" t="s">
        <v>676</v>
      </c>
      <c r="D69" s="3461" t="s">
        <v>199</v>
      </c>
      <c r="E69" s="3461" t="s">
        <v>199</v>
      </c>
      <c r="F69" s="3461" t="s">
        <v>199</v>
      </c>
      <c r="G69" s="3081" t="str">
        <f t="shared" si="42"/>
        <v>NA</v>
      </c>
      <c r="H69" s="3081" t="str">
        <f t="shared" si="43"/>
        <v>NA</v>
      </c>
      <c r="I69" s="3081" t="str">
        <f t="shared" si="44"/>
        <v>NA</v>
      </c>
      <c r="J69" s="3194" t="s">
        <v>199</v>
      </c>
      <c r="K69" s="3194" t="s">
        <v>199</v>
      </c>
      <c r="L69" s="3194" t="s">
        <v>199</v>
      </c>
      <c r="M69" s="3460" t="s">
        <v>199</v>
      </c>
    </row>
    <row r="70" spans="2:13" ht="18" customHeight="1" x14ac:dyDescent="0.2">
      <c r="B70" s="2634" t="s">
        <v>677</v>
      </c>
      <c r="C70" s="2636" t="s">
        <v>677</v>
      </c>
      <c r="D70" s="3461" t="s">
        <v>199</v>
      </c>
      <c r="E70" s="3461" t="s">
        <v>199</v>
      </c>
      <c r="F70" s="3461" t="s">
        <v>199</v>
      </c>
      <c r="G70" s="3081" t="str">
        <f t="shared" si="42"/>
        <v>NA</v>
      </c>
      <c r="H70" s="3081" t="str">
        <f t="shared" si="43"/>
        <v>NA</v>
      </c>
      <c r="I70" s="3081" t="str">
        <f t="shared" si="44"/>
        <v>NA</v>
      </c>
      <c r="J70" s="3194" t="s">
        <v>199</v>
      </c>
      <c r="K70" s="3194" t="s">
        <v>199</v>
      </c>
      <c r="L70" s="3194" t="s">
        <v>199</v>
      </c>
      <c r="M70" s="3460" t="s">
        <v>199</v>
      </c>
    </row>
    <row r="71" spans="2:13" ht="18" customHeight="1" x14ac:dyDescent="0.2">
      <c r="B71" s="2634" t="s">
        <v>679</v>
      </c>
      <c r="C71" s="2636" t="s">
        <v>679</v>
      </c>
      <c r="D71" s="3461" t="s">
        <v>199</v>
      </c>
      <c r="E71" s="3461" t="s">
        <v>199</v>
      </c>
      <c r="F71" s="3461" t="s">
        <v>199</v>
      </c>
      <c r="G71" s="3081" t="str">
        <f t="shared" si="42"/>
        <v>NA</v>
      </c>
      <c r="H71" s="3081" t="str">
        <f t="shared" si="43"/>
        <v>NA</v>
      </c>
      <c r="I71" s="3081" t="str">
        <f t="shared" si="44"/>
        <v>NA</v>
      </c>
      <c r="J71" s="3194" t="s">
        <v>199</v>
      </c>
      <c r="K71" s="3194" t="s">
        <v>199</v>
      </c>
      <c r="L71" s="3194" t="s">
        <v>199</v>
      </c>
      <c r="M71" s="3460" t="s">
        <v>199</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t="s">
        <v>199</v>
      </c>
      <c r="E73" s="3461" t="s">
        <v>199</v>
      </c>
      <c r="F73" s="3461" t="s">
        <v>199</v>
      </c>
      <c r="G73" s="3081" t="str">
        <f t="shared" si="42"/>
        <v>NA</v>
      </c>
      <c r="H73" s="3081" t="str">
        <f t="shared" si="43"/>
        <v>NA</v>
      </c>
      <c r="I73" s="3081" t="str">
        <f t="shared" si="44"/>
        <v>NA</v>
      </c>
      <c r="J73" s="3194" t="s">
        <v>199</v>
      </c>
      <c r="K73" s="3194" t="s">
        <v>199</v>
      </c>
      <c r="L73" s="3194" t="s">
        <v>199</v>
      </c>
      <c r="M73" s="3460" t="s">
        <v>199</v>
      </c>
    </row>
    <row r="74" spans="2:13" ht="18" customHeight="1" x14ac:dyDescent="0.2">
      <c r="B74" s="2634" t="s">
        <v>686</v>
      </c>
      <c r="C74" s="2636" t="s">
        <v>686</v>
      </c>
      <c r="D74" s="3461" t="s">
        <v>199</v>
      </c>
      <c r="E74" s="3461" t="s">
        <v>199</v>
      </c>
      <c r="F74" s="3461" t="s">
        <v>199</v>
      </c>
      <c r="G74" s="3081" t="str">
        <f t="shared" si="42"/>
        <v>NA</v>
      </c>
      <c r="H74" s="3081" t="str">
        <f t="shared" si="43"/>
        <v>NA</v>
      </c>
      <c r="I74" s="3081" t="str">
        <f t="shared" si="44"/>
        <v>NA</v>
      </c>
      <c r="J74" s="3194" t="s">
        <v>199</v>
      </c>
      <c r="K74" s="3194" t="s">
        <v>199</v>
      </c>
      <c r="L74" s="3194" t="s">
        <v>199</v>
      </c>
      <c r="M74" s="3460" t="s">
        <v>199</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t="str">
        <f>IF(SUM(J78:J89)=0,"NO",SUM(J78:J89))</f>
        <v>NO</v>
      </c>
      <c r="K77" s="3081" t="str">
        <f>IF(SUM(K78:K89)=0,"NO",SUM(K78:K89))</f>
        <v>NO</v>
      </c>
      <c r="L77" s="3081" t="str">
        <f>IF(SUM(L78:L89)=0,"NO",SUM(L78:L89))</f>
        <v>NO</v>
      </c>
      <c r="M77" s="3193" t="str">
        <f>IF(SUM(M78:M89)=0,"NO",SUM(M78:M89))</f>
        <v>NO</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t="s">
        <v>199</v>
      </c>
      <c r="E79" s="3461" t="s">
        <v>199</v>
      </c>
      <c r="F79" s="3461" t="s">
        <v>199</v>
      </c>
      <c r="G79" s="3081" t="str">
        <f t="shared" ref="G79:G89" si="45">IF(SUM(D79)=0,"NA",J79/D79)</f>
        <v>NA</v>
      </c>
      <c r="H79" s="3081" t="str">
        <f t="shared" ref="H79:H89" si="46">IF(SUM(E79)=0,"NA",K79/E79)</f>
        <v>NA</v>
      </c>
      <c r="I79" s="3081" t="str">
        <f t="shared" ref="I79:I89" si="47">IF(SUM(F79)=0,"NA",L79/F79)</f>
        <v>NA</v>
      </c>
      <c r="J79" s="3194" t="s">
        <v>199</v>
      </c>
      <c r="K79" s="3194" t="s">
        <v>199</v>
      </c>
      <c r="L79" s="3194" t="s">
        <v>199</v>
      </c>
      <c r="M79" s="3460" t="s">
        <v>199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t="s">
        <v>199</v>
      </c>
      <c r="E81" s="3461" t="s">
        <v>199</v>
      </c>
      <c r="F81" s="3461" t="s">
        <v>199</v>
      </c>
      <c r="G81" s="3081" t="str">
        <f t="shared" si="45"/>
        <v>NA</v>
      </c>
      <c r="H81" s="3081" t="str">
        <f t="shared" si="46"/>
        <v>NA</v>
      </c>
      <c r="I81" s="3081" t="str">
        <f t="shared" si="47"/>
        <v>NA</v>
      </c>
      <c r="J81" s="3194" t="s">
        <v>199</v>
      </c>
      <c r="K81" s="3194" t="s">
        <v>199</v>
      </c>
      <c r="L81" s="3194" t="s">
        <v>199</v>
      </c>
      <c r="M81" s="3460" t="s">
        <v>199</v>
      </c>
    </row>
    <row r="82" spans="2:13" ht="18" customHeight="1" x14ac:dyDescent="0.2">
      <c r="B82" s="2634" t="s">
        <v>676</v>
      </c>
      <c r="C82" s="2636" t="s">
        <v>676</v>
      </c>
      <c r="D82" s="3461" t="s">
        <v>199</v>
      </c>
      <c r="E82" s="3461" t="s">
        <v>199</v>
      </c>
      <c r="F82" s="3461" t="s">
        <v>199</v>
      </c>
      <c r="G82" s="3081" t="str">
        <f t="shared" si="45"/>
        <v>NA</v>
      </c>
      <c r="H82" s="3081" t="str">
        <f t="shared" si="46"/>
        <v>NA</v>
      </c>
      <c r="I82" s="3081" t="str">
        <f t="shared" si="47"/>
        <v>NA</v>
      </c>
      <c r="J82" s="3194" t="s">
        <v>199</v>
      </c>
      <c r="K82" s="3194" t="s">
        <v>199</v>
      </c>
      <c r="L82" s="3194" t="s">
        <v>199</v>
      </c>
      <c r="M82" s="3460" t="s">
        <v>199</v>
      </c>
    </row>
    <row r="83" spans="2:13" ht="18" customHeight="1" x14ac:dyDescent="0.2">
      <c r="B83" s="2634" t="s">
        <v>677</v>
      </c>
      <c r="C83" s="2636" t="s">
        <v>677</v>
      </c>
      <c r="D83" s="3461" t="s">
        <v>199</v>
      </c>
      <c r="E83" s="3461" t="s">
        <v>199</v>
      </c>
      <c r="F83" s="3461" t="s">
        <v>199</v>
      </c>
      <c r="G83" s="3081" t="str">
        <f t="shared" si="45"/>
        <v>NA</v>
      </c>
      <c r="H83" s="3081" t="str">
        <f t="shared" si="46"/>
        <v>NA</v>
      </c>
      <c r="I83" s="3081" t="str">
        <f t="shared" si="47"/>
        <v>NA</v>
      </c>
      <c r="J83" s="3194" t="s">
        <v>199</v>
      </c>
      <c r="K83" s="3194" t="s">
        <v>199</v>
      </c>
      <c r="L83" s="3194" t="s">
        <v>199</v>
      </c>
      <c r="M83" s="3460" t="s">
        <v>199</v>
      </c>
    </row>
    <row r="84" spans="2:13" ht="18" customHeight="1" x14ac:dyDescent="0.2">
      <c r="B84" s="2634" t="s">
        <v>679</v>
      </c>
      <c r="C84" s="2636" t="s">
        <v>679</v>
      </c>
      <c r="D84" s="3461" t="s">
        <v>199</v>
      </c>
      <c r="E84" s="3461" t="s">
        <v>199</v>
      </c>
      <c r="F84" s="3461" t="s">
        <v>199</v>
      </c>
      <c r="G84" s="3081" t="str">
        <f t="shared" si="45"/>
        <v>NA</v>
      </c>
      <c r="H84" s="3081" t="str">
        <f t="shared" si="46"/>
        <v>NA</v>
      </c>
      <c r="I84" s="3081" t="str">
        <f t="shared" si="47"/>
        <v>NA</v>
      </c>
      <c r="J84" s="3194" t="s">
        <v>199</v>
      </c>
      <c r="K84" s="3194" t="s">
        <v>199</v>
      </c>
      <c r="L84" s="3194" t="s">
        <v>199</v>
      </c>
      <c r="M84" s="3460" t="s">
        <v>199</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t="s">
        <v>199</v>
      </c>
      <c r="E86" s="3461" t="s">
        <v>199</v>
      </c>
      <c r="F86" s="3461" t="s">
        <v>199</v>
      </c>
      <c r="G86" s="3081" t="str">
        <f t="shared" si="45"/>
        <v>NA</v>
      </c>
      <c r="H86" s="3081" t="str">
        <f t="shared" si="46"/>
        <v>NA</v>
      </c>
      <c r="I86" s="3081" t="str">
        <f t="shared" si="47"/>
        <v>NA</v>
      </c>
      <c r="J86" s="3194" t="s">
        <v>199</v>
      </c>
      <c r="K86" s="3194" t="s">
        <v>199</v>
      </c>
      <c r="L86" s="3194" t="s">
        <v>199</v>
      </c>
      <c r="M86" s="3460" t="s">
        <v>199</v>
      </c>
    </row>
    <row r="87" spans="2:13" ht="18" customHeight="1" x14ac:dyDescent="0.2">
      <c r="B87" s="2634" t="s">
        <v>686</v>
      </c>
      <c r="C87" s="2636" t="s">
        <v>686</v>
      </c>
      <c r="D87" s="3461" t="s">
        <v>199</v>
      </c>
      <c r="E87" s="3461" t="s">
        <v>199</v>
      </c>
      <c r="F87" s="3461" t="s">
        <v>199</v>
      </c>
      <c r="G87" s="3081" t="str">
        <f t="shared" si="45"/>
        <v>NA</v>
      </c>
      <c r="H87" s="3081" t="str">
        <f t="shared" si="46"/>
        <v>NA</v>
      </c>
      <c r="I87" s="3081" t="str">
        <f t="shared" si="47"/>
        <v>NA</v>
      </c>
      <c r="J87" s="3194" t="s">
        <v>199</v>
      </c>
      <c r="K87" s="3194" t="s">
        <v>199</v>
      </c>
      <c r="L87" s="3194" t="s">
        <v>199</v>
      </c>
      <c r="M87" s="3460" t="s">
        <v>199</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t="str">
        <f>IF(SUM(J91,J104)=0,"NO",SUM(J91,J104))</f>
        <v>NO</v>
      </c>
      <c r="K90" s="3081" t="str">
        <f t="shared" ref="K90:M90" si="48">IF(SUM(K91,K104)=0,"NO",SUM(K91,K104))</f>
        <v>NO</v>
      </c>
      <c r="L90" s="3081" t="str">
        <f t="shared" si="48"/>
        <v>NO</v>
      </c>
      <c r="M90" s="3193" t="str">
        <f t="shared" si="48"/>
        <v>NO</v>
      </c>
    </row>
    <row r="91" spans="2:13" ht="18" customHeight="1" x14ac:dyDescent="0.2">
      <c r="B91" s="104" t="s">
        <v>896</v>
      </c>
      <c r="C91" s="2524"/>
      <c r="D91" s="150"/>
      <c r="E91" s="150"/>
      <c r="F91" s="150"/>
      <c r="G91" s="2135"/>
      <c r="H91" s="2135"/>
      <c r="I91" s="2135"/>
      <c r="J91" s="3081" t="str">
        <f>IF(SUM(J92:J103)=0,"NO",SUM(J92:J103))</f>
        <v>NO</v>
      </c>
      <c r="K91" s="3081" t="str">
        <f>IF(SUM(K92:K103)=0,"NO",SUM(K92:K103))</f>
        <v>NO</v>
      </c>
      <c r="L91" s="3081" t="str">
        <f>IF(SUM(L92:L103)=0,"NO",SUM(L92:L103))</f>
        <v>NO</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t="s">
        <v>199</v>
      </c>
      <c r="E93" s="3461" t="s">
        <v>199</v>
      </c>
      <c r="F93" s="3461" t="s">
        <v>199</v>
      </c>
      <c r="G93" s="3081" t="str">
        <f t="shared" ref="G93:G103" si="49">IF(SUM(D93)=0,"NA",J93/D93)</f>
        <v>NA</v>
      </c>
      <c r="H93" s="3081" t="str">
        <f t="shared" ref="H93:H103" si="50">IF(SUM(E93)=0,"NA",K93/E93)</f>
        <v>NA</v>
      </c>
      <c r="I93" s="3081" t="str">
        <f t="shared" ref="I93:I103" si="51">IF(SUM(F93)=0,"NA",L93/F93)</f>
        <v>NA</v>
      </c>
      <c r="J93" s="3194" t="s">
        <v>199</v>
      </c>
      <c r="K93" s="3194" t="s">
        <v>199</v>
      </c>
      <c r="L93" s="3194" t="s">
        <v>199</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t="s">
        <v>199</v>
      </c>
      <c r="F95" s="3461" t="s">
        <v>199</v>
      </c>
      <c r="G95" s="3081" t="str">
        <f t="shared" si="49"/>
        <v>NA</v>
      </c>
      <c r="H95" s="3081" t="str">
        <f t="shared" si="50"/>
        <v>NA</v>
      </c>
      <c r="I95" s="3081" t="str">
        <f t="shared" si="51"/>
        <v>NA</v>
      </c>
      <c r="J95" s="3194" t="s">
        <v>199</v>
      </c>
      <c r="K95" s="3194" t="s">
        <v>199</v>
      </c>
      <c r="L95" s="3194" t="s">
        <v>199</v>
      </c>
      <c r="M95" s="3460" t="s">
        <v>199</v>
      </c>
    </row>
    <row r="96" spans="2:13" ht="18" customHeight="1" x14ac:dyDescent="0.2">
      <c r="B96" s="2634" t="s">
        <v>676</v>
      </c>
      <c r="C96" s="2636" t="s">
        <v>676</v>
      </c>
      <c r="D96" s="3461" t="s">
        <v>199</v>
      </c>
      <c r="E96" s="3461" t="s">
        <v>199</v>
      </c>
      <c r="F96" s="3461" t="s">
        <v>199</v>
      </c>
      <c r="G96" s="3081" t="str">
        <f t="shared" si="49"/>
        <v>NA</v>
      </c>
      <c r="H96" s="3081" t="str">
        <f t="shared" si="50"/>
        <v>NA</v>
      </c>
      <c r="I96" s="3081" t="str">
        <f t="shared" si="51"/>
        <v>NA</v>
      </c>
      <c r="J96" s="3194" t="s">
        <v>199</v>
      </c>
      <c r="K96" s="3194" t="s">
        <v>199</v>
      </c>
      <c r="L96" s="3194" t="s">
        <v>199</v>
      </c>
      <c r="M96" s="3460" t="s">
        <v>199</v>
      </c>
    </row>
    <row r="97" spans="2:13" ht="18" customHeight="1" x14ac:dyDescent="0.2">
      <c r="B97" s="2634" t="s">
        <v>677</v>
      </c>
      <c r="C97" s="2636" t="s">
        <v>677</v>
      </c>
      <c r="D97" s="3461" t="s">
        <v>199</v>
      </c>
      <c r="E97" s="3461" t="s">
        <v>199</v>
      </c>
      <c r="F97" s="3461" t="s">
        <v>199</v>
      </c>
      <c r="G97" s="3081" t="str">
        <f t="shared" si="49"/>
        <v>NA</v>
      </c>
      <c r="H97" s="3081" t="str">
        <f t="shared" si="50"/>
        <v>NA</v>
      </c>
      <c r="I97" s="3081" t="str">
        <f t="shared" si="51"/>
        <v>NA</v>
      </c>
      <c r="J97" s="3194" t="s">
        <v>199</v>
      </c>
      <c r="K97" s="3194" t="s">
        <v>199</v>
      </c>
      <c r="L97" s="3194" t="s">
        <v>199</v>
      </c>
      <c r="M97" s="3460" t="s">
        <v>199</v>
      </c>
    </row>
    <row r="98" spans="2:13" ht="18" customHeight="1" x14ac:dyDescent="0.2">
      <c r="B98" s="2634" t="s">
        <v>679</v>
      </c>
      <c r="C98" s="2636" t="s">
        <v>679</v>
      </c>
      <c r="D98" s="3461" t="s">
        <v>199</v>
      </c>
      <c r="E98" s="3461" t="s">
        <v>199</v>
      </c>
      <c r="F98" s="3461" t="s">
        <v>199</v>
      </c>
      <c r="G98" s="3081" t="str">
        <f t="shared" si="49"/>
        <v>NA</v>
      </c>
      <c r="H98" s="3081" t="str">
        <f t="shared" si="50"/>
        <v>NA</v>
      </c>
      <c r="I98" s="3081" t="str">
        <f t="shared" si="51"/>
        <v>NA</v>
      </c>
      <c r="J98" s="3194" t="s">
        <v>199</v>
      </c>
      <c r="K98" s="3194" t="s">
        <v>199</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t="s">
        <v>199</v>
      </c>
      <c r="E100" s="3461" t="s">
        <v>199</v>
      </c>
      <c r="F100" s="3461" t="s">
        <v>199</v>
      </c>
      <c r="G100" s="3081" t="str">
        <f t="shared" si="49"/>
        <v>NA</v>
      </c>
      <c r="H100" s="3081" t="str">
        <f t="shared" si="50"/>
        <v>NA</v>
      </c>
      <c r="I100" s="3081" t="str">
        <f t="shared" si="51"/>
        <v>NA</v>
      </c>
      <c r="J100" s="3194" t="s">
        <v>199</v>
      </c>
      <c r="K100" s="3194" t="s">
        <v>199</v>
      </c>
      <c r="L100" s="3194" t="s">
        <v>199</v>
      </c>
      <c r="M100" s="3460" t="s">
        <v>199</v>
      </c>
    </row>
    <row r="101" spans="2:13" ht="18" customHeight="1" x14ac:dyDescent="0.2">
      <c r="B101" s="2634" t="s">
        <v>686</v>
      </c>
      <c r="C101" s="2636" t="s">
        <v>686</v>
      </c>
      <c r="D101" s="3461" t="s">
        <v>199</v>
      </c>
      <c r="E101" s="3461" t="s">
        <v>199</v>
      </c>
      <c r="F101" s="3461" t="s">
        <v>199</v>
      </c>
      <c r="G101" s="3081" t="str">
        <f t="shared" si="49"/>
        <v>NA</v>
      </c>
      <c r="H101" s="3081" t="str">
        <f t="shared" si="50"/>
        <v>NA</v>
      </c>
      <c r="I101" s="3081" t="str">
        <f t="shared" si="51"/>
        <v>NA</v>
      </c>
      <c r="J101" s="3194" t="s">
        <v>199</v>
      </c>
      <c r="K101" s="3194" t="s">
        <v>199</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NO</v>
      </c>
      <c r="E106" s="70" t="str">
        <f t="shared" si="52"/>
        <v>NO</v>
      </c>
      <c r="F106" s="150"/>
      <c r="G106" s="3668" t="str">
        <f t="shared" ref="G106:G116" si="53">IF(SUM(D106)=0,"NA",J106/D106)</f>
        <v>NA</v>
      </c>
      <c r="H106" s="3668" t="str">
        <f t="shared" ref="H106:H116" si="54">IF(SUM(E106)=0,"NA",K106/E106)</f>
        <v>NA</v>
      </c>
      <c r="I106" s="3669"/>
      <c r="J106" s="70" t="str">
        <f t="shared" ref="J106:K106" si="55">IF(J93="NO","NO","IE")</f>
        <v>NO</v>
      </c>
      <c r="K106" s="70" t="str">
        <f t="shared" si="55"/>
        <v>NO</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NO</v>
      </c>
      <c r="F108" s="150"/>
      <c r="G108" s="3668" t="str">
        <f t="shared" si="53"/>
        <v>NA</v>
      </c>
      <c r="H108" s="3668" t="str">
        <f t="shared" si="54"/>
        <v>NA</v>
      </c>
      <c r="I108" s="3669"/>
      <c r="J108" s="70" t="str">
        <f t="shared" ref="J108:K108" si="59">IF(J95="NO","NO","IE")</f>
        <v>NO</v>
      </c>
      <c r="K108" s="70" t="str">
        <f t="shared" si="59"/>
        <v>NO</v>
      </c>
      <c r="L108" s="3195"/>
      <c r="M108" s="3460" t="str">
        <f t="shared" ref="M108" si="60">IF(M95="NO","NO","IE")</f>
        <v>NO</v>
      </c>
    </row>
    <row r="109" spans="2:13" ht="18" customHeight="1" x14ac:dyDescent="0.2">
      <c r="B109" s="2634" t="s">
        <v>676</v>
      </c>
      <c r="C109" s="2636" t="s">
        <v>676</v>
      </c>
      <c r="D109" s="70" t="str">
        <f t="shared" si="52"/>
        <v>NO</v>
      </c>
      <c r="E109" s="70" t="str">
        <f t="shared" si="52"/>
        <v>NO</v>
      </c>
      <c r="F109" s="150"/>
      <c r="G109" s="3668" t="str">
        <f t="shared" si="53"/>
        <v>NA</v>
      </c>
      <c r="H109" s="3668" t="str">
        <f t="shared" si="54"/>
        <v>NA</v>
      </c>
      <c r="I109" s="3669"/>
      <c r="J109" s="70" t="str">
        <f t="shared" ref="J109:K109" si="61">IF(J96="NO","NO","IE")</f>
        <v>NO</v>
      </c>
      <c r="K109" s="70" t="str">
        <f t="shared" si="61"/>
        <v>NO</v>
      </c>
      <c r="L109" s="3195"/>
      <c r="M109" s="3460" t="str">
        <f t="shared" ref="M109" si="62">IF(M96="NO","NO","IE")</f>
        <v>NO</v>
      </c>
    </row>
    <row r="110" spans="2:13" ht="18" customHeight="1" x14ac:dyDescent="0.2">
      <c r="B110" s="2634" t="s">
        <v>677</v>
      </c>
      <c r="C110" s="2636" t="s">
        <v>677</v>
      </c>
      <c r="D110" s="70" t="str">
        <f t="shared" si="52"/>
        <v>NO</v>
      </c>
      <c r="E110" s="70" t="str">
        <f t="shared" si="52"/>
        <v>NO</v>
      </c>
      <c r="F110" s="150"/>
      <c r="G110" s="3668" t="str">
        <f t="shared" si="53"/>
        <v>NA</v>
      </c>
      <c r="H110" s="3668" t="str">
        <f t="shared" si="54"/>
        <v>NA</v>
      </c>
      <c r="I110" s="3669"/>
      <c r="J110" s="70" t="str">
        <f t="shared" ref="J110:K110" si="63">IF(J97="NO","NO","IE")</f>
        <v>NO</v>
      </c>
      <c r="K110" s="70" t="str">
        <f t="shared" si="63"/>
        <v>NO</v>
      </c>
      <c r="L110" s="3195"/>
      <c r="M110" s="3460" t="str">
        <f t="shared" ref="M110" si="64">IF(M97="NO","NO","IE")</f>
        <v>NO</v>
      </c>
    </row>
    <row r="111" spans="2:13" ht="18" customHeight="1" x14ac:dyDescent="0.2">
      <c r="B111" s="2634" t="s">
        <v>679</v>
      </c>
      <c r="C111" s="2636" t="s">
        <v>679</v>
      </c>
      <c r="D111" s="70" t="str">
        <f t="shared" si="52"/>
        <v>NO</v>
      </c>
      <c r="E111" s="70" t="str">
        <f t="shared" si="52"/>
        <v>NO</v>
      </c>
      <c r="F111" s="150"/>
      <c r="G111" s="3668" t="str">
        <f t="shared" si="53"/>
        <v>NA</v>
      </c>
      <c r="H111" s="3668" t="str">
        <f t="shared" si="54"/>
        <v>NA</v>
      </c>
      <c r="I111" s="3669"/>
      <c r="J111" s="70" t="str">
        <f t="shared" ref="J111:K111" si="65">IF(J98="NO","NO","IE")</f>
        <v>NO</v>
      </c>
      <c r="K111" s="70" t="str">
        <f t="shared" si="65"/>
        <v>NO</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NO</v>
      </c>
      <c r="E113" s="70" t="str">
        <f t="shared" si="52"/>
        <v>NO</v>
      </c>
      <c r="F113" s="150"/>
      <c r="G113" s="3668" t="str">
        <f t="shared" si="53"/>
        <v>NA</v>
      </c>
      <c r="H113" s="3668" t="str">
        <f t="shared" si="54"/>
        <v>NA</v>
      </c>
      <c r="I113" s="3669"/>
      <c r="J113" s="70" t="str">
        <f t="shared" ref="J113:K113" si="69">IF(J100="NO","NO","IE")</f>
        <v>NO</v>
      </c>
      <c r="K113" s="70" t="str">
        <f t="shared" si="69"/>
        <v>NO</v>
      </c>
      <c r="L113" s="3195"/>
      <c r="M113" s="3460" t="str">
        <f t="shared" ref="M113" si="70">IF(M100="NO","NO","IE")</f>
        <v>NO</v>
      </c>
    </row>
    <row r="114" spans="2:13" ht="18" customHeight="1" x14ac:dyDescent="0.2">
      <c r="B114" s="2634" t="s">
        <v>686</v>
      </c>
      <c r="C114" s="2636" t="s">
        <v>686</v>
      </c>
      <c r="D114" s="70" t="str">
        <f t="shared" si="52"/>
        <v>NO</v>
      </c>
      <c r="E114" s="70" t="str">
        <f t="shared" si="52"/>
        <v>NO</v>
      </c>
      <c r="F114" s="150"/>
      <c r="G114" s="3668" t="str">
        <f t="shared" si="53"/>
        <v>NA</v>
      </c>
      <c r="H114" s="3668" t="str">
        <f t="shared" si="54"/>
        <v>NA</v>
      </c>
      <c r="I114" s="3669"/>
      <c r="J114" s="70" t="str">
        <f t="shared" ref="J114:K114" si="71">IF(J101="NO","NO","IE")</f>
        <v>NO</v>
      </c>
      <c r="K114" s="70" t="str">
        <f t="shared" si="71"/>
        <v>NO</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t="str">
        <f>IF(SUM(J118:J129)=0,"NO",SUM(J118:J129))</f>
        <v>NO</v>
      </c>
      <c r="K117" s="3081" t="str">
        <f>IF(SUM(K118:K129)=0,"NO",SUM(K118:K129))</f>
        <v>NO</v>
      </c>
      <c r="L117" s="3081" t="str">
        <f>IF(SUM(L118:L129)=0,"NO",SUM(L118:L129))</f>
        <v>NO</v>
      </c>
      <c r="M117" s="3193" t="str">
        <f>IF(SUM(M118:M129)=0,"NO",SUM(M118:M129))</f>
        <v>NO</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t="s">
        <v>199</v>
      </c>
      <c r="E119" s="3461" t="s">
        <v>199</v>
      </c>
      <c r="F119" s="3461" t="s">
        <v>199</v>
      </c>
      <c r="G119" s="4443" t="str">
        <f t="shared" ref="G119:G129" si="77">IF(SUM(D119)=0,"NA",J119/D119)</f>
        <v>NA</v>
      </c>
      <c r="H119" s="3081" t="str">
        <f t="shared" ref="H119:H129" si="78">IF(SUM(E119)=0,"NA",K119/E119)</f>
        <v>NA</v>
      </c>
      <c r="I119" s="3081" t="str">
        <f t="shared" ref="I119:I129" si="79">IF(SUM(F119)=0,"NA",L119/F119)</f>
        <v>NA</v>
      </c>
      <c r="J119" s="3194" t="s">
        <v>199</v>
      </c>
      <c r="K119" s="3194" t="s">
        <v>199</v>
      </c>
      <c r="L119" s="3194" t="s">
        <v>199</v>
      </c>
      <c r="M119" s="3460" t="s">
        <v>199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t="s">
        <v>199</v>
      </c>
      <c r="F121" s="3461" t="s">
        <v>199</v>
      </c>
      <c r="G121" s="4443" t="str">
        <f t="shared" si="77"/>
        <v>NA</v>
      </c>
      <c r="H121" s="3081" t="str">
        <f t="shared" si="78"/>
        <v>NA</v>
      </c>
      <c r="I121" s="3081" t="str">
        <f t="shared" si="79"/>
        <v>NA</v>
      </c>
      <c r="J121" s="3194" t="s">
        <v>199</v>
      </c>
      <c r="K121" s="3194" t="s">
        <v>199</v>
      </c>
      <c r="L121" s="3194" t="s">
        <v>199</v>
      </c>
      <c r="M121" s="3460" t="s">
        <v>199</v>
      </c>
    </row>
    <row r="122" spans="2:13" ht="18" customHeight="1" x14ac:dyDescent="0.2">
      <c r="B122" s="2634" t="s">
        <v>676</v>
      </c>
      <c r="C122" s="2636" t="s">
        <v>676</v>
      </c>
      <c r="D122" s="3461" t="s">
        <v>199</v>
      </c>
      <c r="E122" s="3461" t="s">
        <v>199</v>
      </c>
      <c r="F122" s="3461" t="s">
        <v>199</v>
      </c>
      <c r="G122" s="4443" t="str">
        <f t="shared" si="77"/>
        <v>NA</v>
      </c>
      <c r="H122" s="3081" t="str">
        <f t="shared" si="78"/>
        <v>NA</v>
      </c>
      <c r="I122" s="3081" t="str">
        <f t="shared" si="79"/>
        <v>NA</v>
      </c>
      <c r="J122" s="3194" t="s">
        <v>199</v>
      </c>
      <c r="K122" s="3194" t="s">
        <v>199</v>
      </c>
      <c r="L122" s="3194" t="s">
        <v>199</v>
      </c>
      <c r="M122" s="3460" t="s">
        <v>199</v>
      </c>
    </row>
    <row r="123" spans="2:13" ht="18" customHeight="1" x14ac:dyDescent="0.2">
      <c r="B123" s="2634" t="s">
        <v>677</v>
      </c>
      <c r="C123" s="2636" t="s">
        <v>677</v>
      </c>
      <c r="D123" s="3461" t="s">
        <v>199</v>
      </c>
      <c r="E123" s="3461" t="s">
        <v>199</v>
      </c>
      <c r="F123" s="3461" t="s">
        <v>199</v>
      </c>
      <c r="G123" s="4443" t="str">
        <f t="shared" si="77"/>
        <v>NA</v>
      </c>
      <c r="H123" s="3081" t="str">
        <f t="shared" si="78"/>
        <v>NA</v>
      </c>
      <c r="I123" s="3081" t="str">
        <f t="shared" si="79"/>
        <v>NA</v>
      </c>
      <c r="J123" s="3194" t="s">
        <v>199</v>
      </c>
      <c r="K123" s="3194" t="s">
        <v>199</v>
      </c>
      <c r="L123" s="3194" t="s">
        <v>199</v>
      </c>
      <c r="M123" s="3460" t="s">
        <v>199</v>
      </c>
    </row>
    <row r="124" spans="2:13" ht="18" customHeight="1" x14ac:dyDescent="0.2">
      <c r="B124" s="2634" t="s">
        <v>679</v>
      </c>
      <c r="C124" s="2636" t="s">
        <v>679</v>
      </c>
      <c r="D124" s="3461" t="s">
        <v>199</v>
      </c>
      <c r="E124" s="3461" t="s">
        <v>199</v>
      </c>
      <c r="F124" s="3461" t="s">
        <v>199</v>
      </c>
      <c r="G124" s="4443" t="str">
        <f t="shared" si="77"/>
        <v>NA</v>
      </c>
      <c r="H124" s="3081" t="str">
        <f t="shared" si="78"/>
        <v>NA</v>
      </c>
      <c r="I124" s="3081" t="str">
        <f t="shared" si="79"/>
        <v>NA</v>
      </c>
      <c r="J124" s="3194" t="s">
        <v>199</v>
      </c>
      <c r="K124" s="3194" t="s">
        <v>199</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t="s">
        <v>199</v>
      </c>
      <c r="E126" s="3461" t="s">
        <v>199</v>
      </c>
      <c r="F126" s="3461" t="s">
        <v>199</v>
      </c>
      <c r="G126" s="4443" t="str">
        <f t="shared" si="77"/>
        <v>NA</v>
      </c>
      <c r="H126" s="3081" t="str">
        <f t="shared" si="78"/>
        <v>NA</v>
      </c>
      <c r="I126" s="3081" t="str">
        <f t="shared" si="79"/>
        <v>NA</v>
      </c>
      <c r="J126" s="3194" t="s">
        <v>199</v>
      </c>
      <c r="K126" s="3194" t="s">
        <v>199</v>
      </c>
      <c r="L126" s="3194" t="s">
        <v>199</v>
      </c>
      <c r="M126" s="3460" t="s">
        <v>199</v>
      </c>
    </row>
    <row r="127" spans="2:13" ht="18" customHeight="1" x14ac:dyDescent="0.2">
      <c r="B127" s="2634" t="s">
        <v>686</v>
      </c>
      <c r="C127" s="2636" t="s">
        <v>686</v>
      </c>
      <c r="D127" s="3461" t="s">
        <v>199</v>
      </c>
      <c r="E127" s="3461" t="s">
        <v>199</v>
      </c>
      <c r="F127" s="3461" t="s">
        <v>199</v>
      </c>
      <c r="G127" s="4443" t="str">
        <f t="shared" si="77"/>
        <v>NA</v>
      </c>
      <c r="H127" s="3081" t="str">
        <f t="shared" si="78"/>
        <v>NA</v>
      </c>
      <c r="I127" s="3081" t="str">
        <f t="shared" si="79"/>
        <v>NA</v>
      </c>
      <c r="J127" s="3194" t="s">
        <v>199</v>
      </c>
      <c r="K127" s="3194" t="s">
        <v>199</v>
      </c>
      <c r="L127" s="3194" t="s">
        <v>199</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t="str">
        <f>IF(SUM(K131,K144)=0,"NO",SUM(K131,K144))</f>
        <v>NO</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t="str">
        <f>IF(SUM(K132:K143)=0,"NO",SUM(K132:K143))</f>
        <v>NO</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t="s">
        <v>199</v>
      </c>
      <c r="F133" s="346"/>
      <c r="G133" s="3668" t="str">
        <f t="shared" ref="G133:G143" si="80">IF(SUM(D133)=0,"NA",J133/D133)</f>
        <v>NA</v>
      </c>
      <c r="H133" s="3081" t="str">
        <f t="shared" ref="H133:H143" si="81">IF(SUM(E133)=0,"NA",K133/E133)</f>
        <v>NA</v>
      </c>
      <c r="I133" s="4253"/>
      <c r="J133" s="3194" t="s">
        <v>199</v>
      </c>
      <c r="K133" s="3194" t="s">
        <v>199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t="s">
        <v>199</v>
      </c>
      <c r="F135" s="346"/>
      <c r="G135" s="3668" t="str">
        <f t="shared" si="80"/>
        <v>NA</v>
      </c>
      <c r="H135" s="3081" t="str">
        <f t="shared" si="81"/>
        <v>NA</v>
      </c>
      <c r="I135" s="4253"/>
      <c r="J135" s="3194" t="s">
        <v>199</v>
      </c>
      <c r="K135" s="3194" t="s">
        <v>199</v>
      </c>
      <c r="L135" s="3196"/>
      <c r="M135" s="3460" t="s">
        <v>199</v>
      </c>
    </row>
    <row r="136" spans="2:13" ht="18" customHeight="1" x14ac:dyDescent="0.2">
      <c r="B136" s="2634" t="s">
        <v>676</v>
      </c>
      <c r="C136" s="2636" t="s">
        <v>676</v>
      </c>
      <c r="D136" s="3461" t="s">
        <v>199</v>
      </c>
      <c r="E136" s="3461" t="s">
        <v>199</v>
      </c>
      <c r="F136" s="346"/>
      <c r="G136" s="3668" t="str">
        <f t="shared" si="80"/>
        <v>NA</v>
      </c>
      <c r="H136" s="3081" t="str">
        <f t="shared" si="81"/>
        <v>NA</v>
      </c>
      <c r="I136" s="4253"/>
      <c r="J136" s="3194" t="s">
        <v>199</v>
      </c>
      <c r="K136" s="3194" t="s">
        <v>199</v>
      </c>
      <c r="L136" s="3196"/>
      <c r="M136" s="3460" t="s">
        <v>199</v>
      </c>
    </row>
    <row r="137" spans="2:13" ht="18" customHeight="1" x14ac:dyDescent="0.2">
      <c r="B137" s="2634" t="s">
        <v>677</v>
      </c>
      <c r="C137" s="2636" t="s">
        <v>677</v>
      </c>
      <c r="D137" s="3461" t="s">
        <v>199</v>
      </c>
      <c r="E137" s="3461" t="s">
        <v>199</v>
      </c>
      <c r="F137" s="346"/>
      <c r="G137" s="3668" t="str">
        <f t="shared" si="80"/>
        <v>NA</v>
      </c>
      <c r="H137" s="3081" t="str">
        <f t="shared" si="81"/>
        <v>NA</v>
      </c>
      <c r="I137" s="4253"/>
      <c r="J137" s="3194" t="s">
        <v>199</v>
      </c>
      <c r="K137" s="3194" t="s">
        <v>199</v>
      </c>
      <c r="L137" s="3196"/>
      <c r="M137" s="3460" t="s">
        <v>199</v>
      </c>
    </row>
    <row r="138" spans="2:13" ht="18" customHeight="1" x14ac:dyDescent="0.2">
      <c r="B138" s="2634" t="s">
        <v>679</v>
      </c>
      <c r="C138" s="2636" t="s">
        <v>679</v>
      </c>
      <c r="D138" s="3461" t="s">
        <v>199</v>
      </c>
      <c r="E138" s="3461" t="s">
        <v>199</v>
      </c>
      <c r="F138" s="346"/>
      <c r="G138" s="3668" t="str">
        <f t="shared" si="80"/>
        <v>NA</v>
      </c>
      <c r="H138" s="3081" t="str">
        <f t="shared" si="81"/>
        <v>NA</v>
      </c>
      <c r="I138" s="4253"/>
      <c r="J138" s="3194" t="s">
        <v>199</v>
      </c>
      <c r="K138" s="3194" t="s">
        <v>199</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t="s">
        <v>199</v>
      </c>
      <c r="F140" s="346"/>
      <c r="G140" s="3668" t="str">
        <f t="shared" si="80"/>
        <v>NA</v>
      </c>
      <c r="H140" s="3081" t="str">
        <f t="shared" si="81"/>
        <v>NA</v>
      </c>
      <c r="I140" s="4253"/>
      <c r="J140" s="3194" t="s">
        <v>199</v>
      </c>
      <c r="K140" s="3194" t="s">
        <v>199</v>
      </c>
      <c r="L140" s="3196"/>
      <c r="M140" s="3460" t="s">
        <v>199</v>
      </c>
    </row>
    <row r="141" spans="2:13" ht="18" customHeight="1" x14ac:dyDescent="0.2">
      <c r="B141" s="2634" t="s">
        <v>686</v>
      </c>
      <c r="C141" s="2636" t="s">
        <v>686</v>
      </c>
      <c r="D141" s="3461" t="s">
        <v>199</v>
      </c>
      <c r="E141" s="3461" t="s">
        <v>199</v>
      </c>
      <c r="F141" s="346"/>
      <c r="G141" s="3668" t="str">
        <f t="shared" si="80"/>
        <v>NA</v>
      </c>
      <c r="H141" s="3081" t="str">
        <f t="shared" si="81"/>
        <v>NA</v>
      </c>
      <c r="I141" s="4253"/>
      <c r="J141" s="3194" t="s">
        <v>199</v>
      </c>
      <c r="K141" s="3194" t="s">
        <v>199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t="str">
        <f>IF(SUM(K147:K158)=0,"NO",SUM(K147:K158))</f>
        <v>NO</v>
      </c>
      <c r="L146" s="3081" t="str">
        <f>IF(SUM(L147:L158)=0,"NO",SUM(L147:L158))</f>
        <v>NO</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t="s">
        <v>199</v>
      </c>
      <c r="E148" s="3461" t="s">
        <v>199</v>
      </c>
      <c r="F148" s="3461" t="s">
        <v>199</v>
      </c>
      <c r="G148" s="3668" t="str">
        <f t="shared" ref="G148:G158" si="82">IFERROR(J148/D148,"NA")</f>
        <v>NA</v>
      </c>
      <c r="H148" s="3081" t="str">
        <f t="shared" ref="H148:H158" si="83">IF(SUM(E148)=0,"NA",K148/E148)</f>
        <v>NA</v>
      </c>
      <c r="I148" s="3081" t="str">
        <f t="shared" ref="I148:I158" si="84">IF(SUM(F148)=0,"NA",L148/F148)</f>
        <v>NA</v>
      </c>
      <c r="J148" s="3194" t="s">
        <v>199</v>
      </c>
      <c r="K148" s="3194" t="s">
        <v>199</v>
      </c>
      <c r="L148" s="3194" t="s">
        <v>199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t="s">
        <v>199</v>
      </c>
      <c r="F150" s="3461" t="s">
        <v>199</v>
      </c>
      <c r="G150" s="3668" t="str">
        <f t="shared" si="82"/>
        <v>NA</v>
      </c>
      <c r="H150" s="3081" t="str">
        <f t="shared" si="83"/>
        <v>NA</v>
      </c>
      <c r="I150" s="3081" t="str">
        <f t="shared" si="84"/>
        <v>NA</v>
      </c>
      <c r="J150" s="3194" t="s">
        <v>199</v>
      </c>
      <c r="K150" s="3194" t="s">
        <v>199</v>
      </c>
      <c r="L150" s="3194" t="s">
        <v>199</v>
      </c>
      <c r="M150" s="3460" t="s">
        <v>199</v>
      </c>
    </row>
    <row r="151" spans="2:13" ht="18" customHeight="1" x14ac:dyDescent="0.2">
      <c r="B151" s="2634" t="s">
        <v>676</v>
      </c>
      <c r="C151" s="2636" t="s">
        <v>676</v>
      </c>
      <c r="D151" s="3461" t="s">
        <v>199</v>
      </c>
      <c r="E151" s="3461" t="s">
        <v>199</v>
      </c>
      <c r="F151" s="3461" t="s">
        <v>199</v>
      </c>
      <c r="G151" s="3668" t="str">
        <f t="shared" si="82"/>
        <v>NA</v>
      </c>
      <c r="H151" s="3081" t="str">
        <f t="shared" si="83"/>
        <v>NA</v>
      </c>
      <c r="I151" s="3081" t="str">
        <f t="shared" si="84"/>
        <v>NA</v>
      </c>
      <c r="J151" s="3194" t="s">
        <v>199</v>
      </c>
      <c r="K151" s="3194" t="s">
        <v>199</v>
      </c>
      <c r="L151" s="3194" t="s">
        <v>199</v>
      </c>
      <c r="M151" s="3460" t="s">
        <v>199</v>
      </c>
    </row>
    <row r="152" spans="2:13" ht="18" customHeight="1" x14ac:dyDescent="0.2">
      <c r="B152" s="2634" t="s">
        <v>677</v>
      </c>
      <c r="C152" s="2636" t="s">
        <v>677</v>
      </c>
      <c r="D152" s="3461" t="s">
        <v>199</v>
      </c>
      <c r="E152" s="3461" t="s">
        <v>199</v>
      </c>
      <c r="F152" s="3461" t="s">
        <v>199</v>
      </c>
      <c r="G152" s="3668" t="str">
        <f t="shared" si="82"/>
        <v>NA</v>
      </c>
      <c r="H152" s="3081" t="str">
        <f t="shared" si="83"/>
        <v>NA</v>
      </c>
      <c r="I152" s="3081" t="str">
        <f t="shared" si="84"/>
        <v>NA</v>
      </c>
      <c r="J152" s="3194" t="s">
        <v>199</v>
      </c>
      <c r="K152" s="3194" t="s">
        <v>199</v>
      </c>
      <c r="L152" s="3194" t="s">
        <v>199</v>
      </c>
      <c r="M152" s="3460" t="s">
        <v>199</v>
      </c>
    </row>
    <row r="153" spans="2:13" ht="18" customHeight="1" x14ac:dyDescent="0.2">
      <c r="B153" s="2634" t="s">
        <v>679</v>
      </c>
      <c r="C153" s="2636" t="s">
        <v>679</v>
      </c>
      <c r="D153" s="3461" t="s">
        <v>199</v>
      </c>
      <c r="E153" s="3461" t="s">
        <v>199</v>
      </c>
      <c r="F153" s="3461" t="s">
        <v>199</v>
      </c>
      <c r="G153" s="3668" t="str">
        <f t="shared" si="82"/>
        <v>NA</v>
      </c>
      <c r="H153" s="3081" t="str">
        <f t="shared" si="83"/>
        <v>NA</v>
      </c>
      <c r="I153" s="3081" t="str">
        <f t="shared" si="84"/>
        <v>NA</v>
      </c>
      <c r="J153" s="3194" t="s">
        <v>199</v>
      </c>
      <c r="K153" s="3194" t="s">
        <v>199</v>
      </c>
      <c r="L153" s="3194" t="s">
        <v>199</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t="s">
        <v>199</v>
      </c>
      <c r="E155" s="3461" t="s">
        <v>199</v>
      </c>
      <c r="F155" s="3461" t="s">
        <v>199</v>
      </c>
      <c r="G155" s="3668" t="str">
        <f t="shared" si="82"/>
        <v>NA</v>
      </c>
      <c r="H155" s="3081" t="str">
        <f t="shared" si="83"/>
        <v>NA</v>
      </c>
      <c r="I155" s="3081" t="str">
        <f t="shared" si="84"/>
        <v>NA</v>
      </c>
      <c r="J155" s="3194" t="s">
        <v>199</v>
      </c>
      <c r="K155" s="3194" t="s">
        <v>199</v>
      </c>
      <c r="L155" s="3194" t="s">
        <v>199</v>
      </c>
      <c r="M155" s="3460" t="s">
        <v>199</v>
      </c>
    </row>
    <row r="156" spans="2:13" ht="18" customHeight="1" x14ac:dyDescent="0.2">
      <c r="B156" s="2634" t="s">
        <v>686</v>
      </c>
      <c r="C156" s="2636" t="s">
        <v>686</v>
      </c>
      <c r="D156" s="3461" t="s">
        <v>199</v>
      </c>
      <c r="E156" s="3461" t="s">
        <v>199</v>
      </c>
      <c r="F156" s="3461" t="s">
        <v>199</v>
      </c>
      <c r="G156" s="3668" t="str">
        <f t="shared" si="82"/>
        <v>NA</v>
      </c>
      <c r="H156" s="3081" t="str">
        <f t="shared" si="83"/>
        <v>NA</v>
      </c>
      <c r="I156" s="3081" t="str">
        <f t="shared" si="84"/>
        <v>NA</v>
      </c>
      <c r="J156" s="3194" t="s">
        <v>199</v>
      </c>
      <c r="K156" s="3194" t="s">
        <v>199</v>
      </c>
      <c r="L156" s="3194" t="s">
        <v>199</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1.6932406786209862</v>
      </c>
      <c r="K162" s="3200">
        <f t="shared" ref="K162:M162" si="90">IF(SUM(K163,K165,K175)=0,"NO",SUM(K163,K165,K175))</f>
        <v>7.9804301261589661</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1.6932406786209862</v>
      </c>
      <c r="K163" s="3197">
        <f t="shared" ref="K163:M163" si="91">K164</f>
        <v>7.3990348981757368</v>
      </c>
      <c r="L163" s="3197" t="str">
        <f t="shared" si="91"/>
        <v>NO</v>
      </c>
      <c r="M163" s="3193" t="str">
        <f t="shared" si="91"/>
        <v>NO</v>
      </c>
    </row>
    <row r="164" spans="2:13" ht="18" customHeight="1" x14ac:dyDescent="0.2">
      <c r="B164" s="2634" t="s">
        <v>905</v>
      </c>
      <c r="C164" s="2636" t="s">
        <v>905</v>
      </c>
      <c r="D164" s="4136">
        <v>11.288271190806574</v>
      </c>
      <c r="E164" s="4136">
        <v>147.98069796351473</v>
      </c>
      <c r="F164" s="2635" t="s">
        <v>199</v>
      </c>
      <c r="G164" s="3668">
        <f t="shared" ref="G164" si="92">IF(SUM(D164)=0,"NA",J164/D164)</f>
        <v>0.15</v>
      </c>
      <c r="H164" s="3081">
        <f t="shared" ref="H164" si="93">IF(SUM(E164)=0,"NA",K164/E164)</f>
        <v>0.05</v>
      </c>
      <c r="I164" s="3081" t="str">
        <f t="shared" ref="I164" si="94">IF(SUM(F164)=0,"NA",L164/F164)</f>
        <v>NA</v>
      </c>
      <c r="J164" s="3120">
        <v>1.6932406786209862</v>
      </c>
      <c r="K164" s="3120">
        <v>7.3990348981757368</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0.58139522798322929</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0.58139522798322929</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0.58139522798322929</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0.58139522798322929</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2459</v>
      </c>
    </row>
    <row r="2" spans="1:10" ht="15.75" customHeight="1" x14ac:dyDescent="0.2">
      <c r="B2" s="3" t="s">
        <v>162</v>
      </c>
      <c r="G2" s="226"/>
      <c r="H2" s="226"/>
      <c r="I2" s="226"/>
      <c r="J2" s="14" t="s">
        <v>2460</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582.01320937951778</v>
      </c>
      <c r="D10" s="2517">
        <f t="shared" ref="D10:I10" si="0">IF(SUM(D11,D21,D32:D33,D43:D48)=0,"NO",SUM(D11,D21,D32:D33,D43:D48))</f>
        <v>2861.8682856006867</v>
      </c>
      <c r="E10" s="2517">
        <f t="shared" si="0"/>
        <v>39.414720273129603</v>
      </c>
      <c r="F10" s="2517">
        <f t="shared" si="0"/>
        <v>26.929788553329907</v>
      </c>
      <c r="G10" s="2517">
        <f t="shared" si="0"/>
        <v>455.45136336696817</v>
      </c>
      <c r="H10" s="2925">
        <f t="shared" si="0"/>
        <v>26.567996196406479</v>
      </c>
      <c r="I10" s="2934" t="str">
        <f t="shared" si="0"/>
        <v>NO</v>
      </c>
      <c r="J10" s="2935">
        <f>IF(SUM(C10:E10)=0,"NO",SUM(C10)+28*SUM(D10)+265*SUM(E10))</f>
        <v>91159.226078578096</v>
      </c>
    </row>
    <row r="11" spans="1:10" ht="18" customHeight="1" x14ac:dyDescent="0.2">
      <c r="B11" s="234" t="s">
        <v>923</v>
      </c>
      <c r="C11" s="2936"/>
      <c r="D11" s="2163">
        <f>SUM(D17:D20)</f>
        <v>2585.3162725086167</v>
      </c>
      <c r="E11" s="1955"/>
      <c r="F11" s="1955"/>
      <c r="G11" s="1955"/>
      <c r="H11" s="2937"/>
      <c r="I11" s="2937"/>
      <c r="J11" s="1887">
        <f>IF(SUM(C11:E11)=0,"NO",SUM(C11)+28*SUM(D11)+265*SUM(E11))</f>
        <v>72388.855630241276</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1364.2338541575184</v>
      </c>
      <c r="E17" s="615"/>
      <c r="F17" s="615"/>
      <c r="G17" s="615"/>
      <c r="H17" s="2939"/>
      <c r="I17" s="2940"/>
      <c r="J17" s="2943">
        <f>IF(SUM(C17:E17)=0,"NO",SUM(C17)+28*SUM(D17)+265*SUM(E17))</f>
        <v>38198.547916410513</v>
      </c>
    </row>
    <row r="18" spans="2:10" ht="18" customHeight="1" x14ac:dyDescent="0.2">
      <c r="B18" s="228" t="s">
        <v>930</v>
      </c>
      <c r="C18" s="2945"/>
      <c r="D18" s="2930">
        <f>Table3.A!G24</f>
        <v>1205.1182640040661</v>
      </c>
      <c r="E18" s="615"/>
      <c r="F18" s="615"/>
      <c r="G18" s="615"/>
      <c r="H18" s="2939"/>
      <c r="I18" s="2940"/>
      <c r="J18" s="2943">
        <f t="shared" ref="J18:J22" si="1">IF(SUM(C18:E18)=0,"NO",SUM(C18)+28*SUM(D18)+265*SUM(E18))</f>
        <v>33743.31139211385</v>
      </c>
    </row>
    <row r="19" spans="2:10" ht="18" customHeight="1" x14ac:dyDescent="0.2">
      <c r="B19" s="228" t="s">
        <v>931</v>
      </c>
      <c r="C19" s="2945"/>
      <c r="D19" s="2930">
        <f>Table3.A!G27</f>
        <v>3.8668035730323891</v>
      </c>
      <c r="E19" s="615"/>
      <c r="F19" s="615"/>
      <c r="G19" s="615"/>
      <c r="H19" s="2939"/>
      <c r="I19" s="2940"/>
      <c r="J19" s="2943">
        <f t="shared" si="1"/>
        <v>108.2705000449069</v>
      </c>
    </row>
    <row r="20" spans="2:10" ht="18" customHeight="1" thickBot="1" x14ac:dyDescent="0.25">
      <c r="B20" s="1296" t="s">
        <v>932</v>
      </c>
      <c r="C20" s="2946"/>
      <c r="D20" s="2517">
        <f>Table3.A!G30</f>
        <v>12.097350774000002</v>
      </c>
      <c r="E20" s="1948"/>
      <c r="F20" s="1948"/>
      <c r="G20" s="1948"/>
      <c r="H20" s="2947"/>
      <c r="I20" s="2948"/>
      <c r="J20" s="2943">
        <f t="shared" si="1"/>
        <v>338.72582167200005</v>
      </c>
    </row>
    <row r="21" spans="2:10" ht="18" customHeight="1" x14ac:dyDescent="0.2">
      <c r="B21" s="1455" t="s">
        <v>933</v>
      </c>
      <c r="C21" s="2949"/>
      <c r="D21" s="2930">
        <f>IF(SUM(D27:D31)=0,"NO",SUM(D27:D31))</f>
        <v>245.84893086022439</v>
      </c>
      <c r="E21" s="2930">
        <f>IF(SUM(E27:E31)=0,"NO",SUM(E27:E31))</f>
        <v>0.93246402239747295</v>
      </c>
      <c r="F21" s="2160"/>
      <c r="G21" s="2160"/>
      <c r="H21" s="2930" t="str">
        <f>IF(SUM(H27:H31)=0,"NE",SUM(H27:H31))</f>
        <v>NE</v>
      </c>
      <c r="I21" s="2940"/>
      <c r="J21" s="2950">
        <f t="shared" si="1"/>
        <v>7130.8730300216139</v>
      </c>
    </row>
    <row r="22" spans="2:10" ht="18" customHeight="1" x14ac:dyDescent="0.2">
      <c r="B22" s="228" t="s">
        <v>934</v>
      </c>
      <c r="C22" s="2945"/>
      <c r="D22" s="2930">
        <f>D27</f>
        <v>118.73492303285549</v>
      </c>
      <c r="E22" s="2930">
        <f>E27</f>
        <v>0.30244974701993954</v>
      </c>
      <c r="F22" s="2951"/>
      <c r="G22" s="2951"/>
      <c r="H22" s="2930" t="str">
        <f>H27</f>
        <v>NE</v>
      </c>
      <c r="I22" s="2940"/>
      <c r="J22" s="2943">
        <f t="shared" si="1"/>
        <v>3404.727027880238</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118.73492303285549</v>
      </c>
      <c r="E27" s="2930">
        <f>'Table3.B(b)'!X15</f>
        <v>0.30244974701993954</v>
      </c>
      <c r="F27" s="615"/>
      <c r="G27" s="615"/>
      <c r="H27" s="2953" t="s">
        <v>221</v>
      </c>
      <c r="I27" s="2940"/>
      <c r="J27" s="2943">
        <f t="shared" ref="J27:J49" si="2">IF(SUM(C27:E27)=0,"NO",SUM(C27)+28*SUM(D27)+265*SUM(E27))</f>
        <v>3404.727027880238</v>
      </c>
    </row>
    <row r="28" spans="2:10" ht="18" customHeight="1" x14ac:dyDescent="0.2">
      <c r="B28" s="228" t="s">
        <v>938</v>
      </c>
      <c r="C28" s="2945"/>
      <c r="D28" s="2930">
        <f>'Table3.B(a)'!K24</f>
        <v>62.128835239748895</v>
      </c>
      <c r="E28" s="2930" t="str">
        <f>'Table3.B(b)'!X24</f>
        <v>NA</v>
      </c>
      <c r="F28" s="2951"/>
      <c r="G28" s="2951"/>
      <c r="H28" s="2953" t="s">
        <v>221</v>
      </c>
      <c r="I28" s="2940"/>
      <c r="J28" s="2943">
        <f t="shared" si="2"/>
        <v>1739.6073867129689</v>
      </c>
    </row>
    <row r="29" spans="2:10" ht="18" customHeight="1" x14ac:dyDescent="0.2">
      <c r="B29" s="228" t="s">
        <v>939</v>
      </c>
      <c r="C29" s="2945"/>
      <c r="D29" s="2930">
        <f>'Table3.B(a)'!K27</f>
        <v>61.760722062548382</v>
      </c>
      <c r="E29" s="2930">
        <f>'Table3.B(b)'!X27</f>
        <v>6.6081825205353398E-2</v>
      </c>
      <c r="F29" s="2951"/>
      <c r="G29" s="2951"/>
      <c r="H29" s="2953" t="s">
        <v>221</v>
      </c>
      <c r="I29" s="2940"/>
      <c r="J29" s="2943">
        <f t="shared" si="2"/>
        <v>1746.8119014307733</v>
      </c>
    </row>
    <row r="30" spans="2:10" ht="18" customHeight="1" x14ac:dyDescent="0.2">
      <c r="B30" s="228" t="s">
        <v>940</v>
      </c>
      <c r="C30" s="2945"/>
      <c r="D30" s="2930">
        <f>'Table3.B(a)'!K30</f>
        <v>3.2244505250715965</v>
      </c>
      <c r="E30" s="2930">
        <f>'Table3.B(b)'!X30</f>
        <v>0.18901013666005392</v>
      </c>
      <c r="F30" s="2951"/>
      <c r="G30" s="2951"/>
      <c r="H30" s="2953" t="s">
        <v>221</v>
      </c>
      <c r="I30" s="2940"/>
      <c r="J30" s="2943">
        <f t="shared" si="2"/>
        <v>140.37230091691899</v>
      </c>
    </row>
    <row r="31" spans="2:10" ht="18" customHeight="1" thickBot="1" x14ac:dyDescent="0.25">
      <c r="B31" s="1296" t="s">
        <v>941</v>
      </c>
      <c r="C31" s="2954"/>
      <c r="D31" s="2955"/>
      <c r="E31" s="2956">
        <f>SUM('Table3.B(b)'!Y47:Z47)</f>
        <v>0.37492231351212607</v>
      </c>
      <c r="F31" s="2957"/>
      <c r="G31" s="2957"/>
      <c r="H31" s="2958"/>
      <c r="I31" s="2959"/>
      <c r="J31" s="2943">
        <f t="shared" si="2"/>
        <v>99.354413080713414</v>
      </c>
    </row>
    <row r="32" spans="2:10" ht="18" customHeight="1" thickBot="1" x14ac:dyDescent="0.25">
      <c r="B32" s="2658" t="s">
        <v>942</v>
      </c>
      <c r="C32" s="2960"/>
      <c r="D32" s="2961">
        <f>Table3.C!G11</f>
        <v>19.024842145513141</v>
      </c>
      <c r="E32" s="2962"/>
      <c r="F32" s="2962"/>
      <c r="G32" s="2962"/>
      <c r="H32" s="2963" t="s">
        <v>221</v>
      </c>
      <c r="I32" s="2964"/>
      <c r="J32" s="2965">
        <f t="shared" si="2"/>
        <v>532.69558007436797</v>
      </c>
    </row>
    <row r="33" spans="2:10" ht="18" customHeight="1" x14ac:dyDescent="0.2">
      <c r="B33" s="2657" t="s">
        <v>943</v>
      </c>
      <c r="C33" s="2966"/>
      <c r="D33" s="2967" t="s">
        <v>221</v>
      </c>
      <c r="E33" s="2967">
        <f>IF(SUM(E34,E42)=0,"NO",SUM(E34,E42))</f>
        <v>38.016142312210725</v>
      </c>
      <c r="F33" s="2967" t="str">
        <f>IF(SUM(F34,F42)=0,"NO",SUM(F34,F42))</f>
        <v>NO</v>
      </c>
      <c r="G33" s="2967" t="str">
        <f>IF(SUM(G34,G42)=0,"NO",SUM(G34,G42))</f>
        <v>NO</v>
      </c>
      <c r="H33" s="2967" t="str">
        <f>IF(SUM(H34,H42)=0,"NO",SUM(H34,H42))</f>
        <v>NO</v>
      </c>
      <c r="I33" s="2968"/>
      <c r="J33" s="2969">
        <f t="shared" si="2"/>
        <v>10074.277712735842</v>
      </c>
    </row>
    <row r="34" spans="2:10" ht="18" customHeight="1" x14ac:dyDescent="0.2">
      <c r="B34" s="228" t="s">
        <v>944</v>
      </c>
      <c r="C34" s="2970"/>
      <c r="D34" s="615"/>
      <c r="E34" s="2971">
        <f>IF(SUM(E35:E41)=0,"NO",SUM(E35:E41))</f>
        <v>27.986595898492002</v>
      </c>
      <c r="F34" s="615"/>
      <c r="G34" s="615"/>
      <c r="H34" s="615"/>
      <c r="I34" s="2940"/>
      <c r="J34" s="2972">
        <f t="shared" si="2"/>
        <v>7416.4479131003809</v>
      </c>
    </row>
    <row r="35" spans="2:10" ht="18" customHeight="1" x14ac:dyDescent="0.2">
      <c r="B35" s="232" t="s">
        <v>945</v>
      </c>
      <c r="C35" s="2970"/>
      <c r="D35" s="615"/>
      <c r="E35" s="4248">
        <f>Table3.D!F11</f>
        <v>4.8447024042146847</v>
      </c>
      <c r="F35" s="615"/>
      <c r="G35" s="615"/>
      <c r="H35" s="615"/>
      <c r="I35" s="2940"/>
      <c r="J35" s="2972">
        <f t="shared" si="2"/>
        <v>1283.8461371168914</v>
      </c>
    </row>
    <row r="36" spans="2:10" ht="18" customHeight="1" x14ac:dyDescent="0.2">
      <c r="B36" s="232" t="s">
        <v>946</v>
      </c>
      <c r="C36" s="2970"/>
      <c r="D36" s="615"/>
      <c r="E36" s="4248">
        <f>Table3.D!F12</f>
        <v>0.94108829100422098</v>
      </c>
      <c r="F36" s="615"/>
      <c r="G36" s="615"/>
      <c r="H36" s="615"/>
      <c r="I36" s="2940"/>
      <c r="J36" s="2972">
        <f t="shared" si="2"/>
        <v>249.38839711611857</v>
      </c>
    </row>
    <row r="37" spans="2:10" ht="18" customHeight="1" x14ac:dyDescent="0.2">
      <c r="B37" s="232" t="s">
        <v>947</v>
      </c>
      <c r="C37" s="2970"/>
      <c r="D37" s="615"/>
      <c r="E37" s="4248">
        <f>Table3.D!F16</f>
        <v>14.355163742285017</v>
      </c>
      <c r="F37" s="615"/>
      <c r="G37" s="615"/>
      <c r="H37" s="615"/>
      <c r="I37" s="2940"/>
      <c r="J37" s="2972">
        <f t="shared" si="2"/>
        <v>3804.1183917055296</v>
      </c>
    </row>
    <row r="38" spans="2:10" ht="18" customHeight="1" x14ac:dyDescent="0.2">
      <c r="B38" s="232" t="s">
        <v>948</v>
      </c>
      <c r="C38" s="2970"/>
      <c r="D38" s="615"/>
      <c r="E38" s="4248">
        <f>Table3.D!F17</f>
        <v>4.6476603406464436</v>
      </c>
      <c r="F38" s="615"/>
      <c r="G38" s="615"/>
      <c r="H38" s="615"/>
      <c r="I38" s="2940"/>
      <c r="J38" s="2972">
        <f t="shared" si="2"/>
        <v>1231.6299902713076</v>
      </c>
    </row>
    <row r="39" spans="2:10" ht="26.25" customHeight="1" x14ac:dyDescent="0.2">
      <c r="B39" s="1708" t="s">
        <v>949</v>
      </c>
      <c r="C39" s="2970"/>
      <c r="D39" s="2951"/>
      <c r="E39" s="4248">
        <f>Table3.D!F18</f>
        <v>3.1099811203416357</v>
      </c>
      <c r="F39" s="2951"/>
      <c r="G39" s="2951"/>
      <c r="H39" s="2951"/>
      <c r="I39" s="2940"/>
      <c r="J39" s="2972">
        <f t="shared" si="2"/>
        <v>824.14499689053343</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10.029546413718725</v>
      </c>
      <c r="F42" s="2957"/>
      <c r="G42" s="2957"/>
      <c r="H42" s="2957"/>
      <c r="I42" s="2976"/>
      <c r="J42" s="2977">
        <f t="shared" si="2"/>
        <v>2657.8297996354622</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11.678240086332517</v>
      </c>
      <c r="E44" s="2984">
        <f>SUM(Table3.F!J10,Table3.F!J20,Table3.F!J23,Table3.F!J26:J27)</f>
        <v>0.46611393852140365</v>
      </c>
      <c r="F44" s="2919">
        <v>26.929788553329907</v>
      </c>
      <c r="G44" s="2919">
        <v>455.45136336696817</v>
      </c>
      <c r="H44" s="2920">
        <v>26.567996196406479</v>
      </c>
      <c r="I44" s="2985" t="s">
        <v>199</v>
      </c>
      <c r="J44" s="2986">
        <f t="shared" si="2"/>
        <v>450.51091612548242</v>
      </c>
    </row>
    <row r="45" spans="2:10" ht="18" customHeight="1" thickBot="1" x14ac:dyDescent="0.25">
      <c r="B45" s="2660" t="s">
        <v>955</v>
      </c>
      <c r="C45" s="2987">
        <f>'Table3.G-J'!E10</f>
        <v>215.34654271285109</v>
      </c>
      <c r="D45" s="2988"/>
      <c r="E45" s="2988"/>
      <c r="F45" s="2988"/>
      <c r="G45" s="2988"/>
      <c r="H45" s="2989"/>
      <c r="I45" s="2990"/>
      <c r="J45" s="2986">
        <f t="shared" si="2"/>
        <v>215.34654271285109</v>
      </c>
    </row>
    <row r="46" spans="2:10" ht="18" customHeight="1" thickBot="1" x14ac:dyDescent="0.25">
      <c r="B46" s="2660" t="s">
        <v>956</v>
      </c>
      <c r="C46" s="2987">
        <f>'Table3.G-J'!E13</f>
        <v>366.66666666666663</v>
      </c>
      <c r="D46" s="2988"/>
      <c r="E46" s="2988"/>
      <c r="F46" s="2988"/>
      <c r="G46" s="2988"/>
      <c r="H46" s="2989"/>
      <c r="I46" s="2990"/>
      <c r="J46" s="2986">
        <f t="shared" si="2"/>
        <v>366.66666666666663</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2459</v>
      </c>
      <c r="O1" s="226"/>
    </row>
    <row r="2" spans="2:16" ht="15.75" customHeight="1" x14ac:dyDescent="0.2">
      <c r="B2" s="3" t="s">
        <v>960</v>
      </c>
      <c r="G2" s="14" t="s">
        <v>2460</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24838.232</v>
      </c>
      <c r="D10" s="3208"/>
      <c r="E10" s="3208"/>
      <c r="F10" s="3109">
        <f>IF(SUM(C10)=0,"NA",G10*1000/C10)</f>
        <v>54.924756889198811</v>
      </c>
      <c r="G10" s="3209">
        <f>G15</f>
        <v>1364.2338541575184</v>
      </c>
      <c r="I10" s="275" t="s">
        <v>977</v>
      </c>
      <c r="J10" s="276" t="s">
        <v>978</v>
      </c>
      <c r="K10" s="699">
        <v>438.18535468393998</v>
      </c>
      <c r="L10" s="699">
        <v>360.74923628679358</v>
      </c>
      <c r="M10" s="3125">
        <v>541.1875</v>
      </c>
      <c r="N10" s="3125">
        <v>46.030616188684803</v>
      </c>
      <c r="O10" s="2921">
        <v>53.511156610844736</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10.664726903074463</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24838.232</v>
      </c>
      <c r="D15" s="3215"/>
      <c r="E15" s="3215"/>
      <c r="F15" s="3109">
        <f>IF(SUM(C15)=0,"NA",G15*1000/C15)</f>
        <v>54.924756889198811</v>
      </c>
      <c r="G15" s="3216">
        <f>G20</f>
        <v>1364.2338541575184</v>
      </c>
      <c r="I15" s="1780" t="s">
        <v>989</v>
      </c>
      <c r="J15" s="1853" t="s">
        <v>428</v>
      </c>
      <c r="K15" s="3408">
        <v>75</v>
      </c>
      <c r="L15" s="3408">
        <v>58.038459017549592</v>
      </c>
      <c r="M15" s="1563">
        <v>79.987854487101345</v>
      </c>
      <c r="N15" s="1563">
        <v>66.274122110961116</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1364.2338541575184</v>
      </c>
      <c r="I20" s="72"/>
      <c r="J20" s="287"/>
      <c r="K20" s="287"/>
      <c r="L20" s="287"/>
      <c r="M20" s="287"/>
      <c r="N20" s="287"/>
      <c r="O20" s="287"/>
    </row>
    <row r="21" spans="2:15" ht="18" customHeight="1" x14ac:dyDescent="0.2">
      <c r="B21" s="2652" t="s">
        <v>994</v>
      </c>
      <c r="C21" s="3239">
        <v>2561.9349999999999</v>
      </c>
      <c r="D21" s="3224">
        <v>205.30483754730628</v>
      </c>
      <c r="E21" s="3224">
        <v>6.1461740719231397</v>
      </c>
      <c r="F21" s="3109">
        <f t="shared" ref="F21:F30" si="0">IF(SUM(C21)=0,"NA",G21*1000/C21)</f>
        <v>83.406631527215183</v>
      </c>
      <c r="G21" s="3206">
        <v>213.68236854167603</v>
      </c>
      <c r="I21" s="72"/>
      <c r="J21" s="287"/>
      <c r="K21" s="287"/>
      <c r="L21" s="287"/>
      <c r="M21" s="287"/>
      <c r="N21" s="287"/>
      <c r="O21" s="287"/>
    </row>
    <row r="22" spans="2:15" ht="18" customHeight="1" x14ac:dyDescent="0.2">
      <c r="B22" s="2652" t="s">
        <v>965</v>
      </c>
      <c r="C22" s="3239">
        <v>21947.53</v>
      </c>
      <c r="D22" s="3224">
        <v>124.98393114714389</v>
      </c>
      <c r="E22" s="3224">
        <v>6.21225</v>
      </c>
      <c r="F22" s="3109">
        <f t="shared" si="0"/>
        <v>51.321525856982085</v>
      </c>
      <c r="G22" s="3206">
        <v>1126.38072839189</v>
      </c>
      <c r="I22" s="72"/>
      <c r="J22" s="287"/>
      <c r="K22" s="287"/>
      <c r="L22" s="287"/>
      <c r="M22" s="287"/>
      <c r="N22" s="287"/>
      <c r="O22" s="287"/>
    </row>
    <row r="23" spans="2:15" ht="18" customHeight="1" x14ac:dyDescent="0.2">
      <c r="B23" s="2652" t="s">
        <v>966</v>
      </c>
      <c r="C23" s="3239">
        <v>328.767</v>
      </c>
      <c r="D23" s="3224">
        <v>207.74594972092248</v>
      </c>
      <c r="E23" s="3224">
        <v>5.3539319527033342</v>
      </c>
      <c r="F23" s="3109">
        <f t="shared" si="0"/>
        <v>73.519414125969149</v>
      </c>
      <c r="G23" s="3206">
        <v>24.170757223952499</v>
      </c>
      <c r="I23" s="72"/>
      <c r="J23" s="287"/>
      <c r="K23" s="287"/>
      <c r="L23" s="287"/>
      <c r="M23" s="287"/>
      <c r="N23" s="287"/>
      <c r="O23" s="287"/>
    </row>
    <row r="24" spans="2:15" ht="18" customHeight="1" x14ac:dyDescent="0.2">
      <c r="B24" s="286" t="s">
        <v>995</v>
      </c>
      <c r="C24" s="2654">
        <f>C25</f>
        <v>173738.038</v>
      </c>
      <c r="D24" s="3225"/>
      <c r="E24" s="3225"/>
      <c r="F24" s="3109">
        <f t="shared" si="0"/>
        <v>6.9364099990818708</v>
      </c>
      <c r="G24" s="3106">
        <f>G25</f>
        <v>1205.1182640040661</v>
      </c>
      <c r="I24" s="72"/>
    </row>
    <row r="25" spans="2:15" ht="18" customHeight="1" x14ac:dyDescent="0.2">
      <c r="B25" s="282" t="s">
        <v>996</v>
      </c>
      <c r="C25" s="2654">
        <f>C26</f>
        <v>173738.038</v>
      </c>
      <c r="D25" s="3225"/>
      <c r="E25" s="3225"/>
      <c r="F25" s="3109">
        <f t="shared" si="0"/>
        <v>6.9364099990818708</v>
      </c>
      <c r="G25" s="3106">
        <f>G26</f>
        <v>1205.1182640040661</v>
      </c>
    </row>
    <row r="26" spans="2:15" ht="18" customHeight="1" x14ac:dyDescent="0.2">
      <c r="B26" s="2653" t="s">
        <v>967</v>
      </c>
      <c r="C26" s="288">
        <v>173738.038</v>
      </c>
      <c r="D26" s="3226">
        <v>17.053142573462413</v>
      </c>
      <c r="E26" s="3226">
        <v>6.1536653076342551</v>
      </c>
      <c r="F26" s="3109">
        <f t="shared" si="0"/>
        <v>6.9364099990818708</v>
      </c>
      <c r="G26" s="3207">
        <v>1205.1182640040661</v>
      </c>
    </row>
    <row r="27" spans="2:15" ht="18" customHeight="1" x14ac:dyDescent="0.2">
      <c r="B27" s="286" t="s">
        <v>997</v>
      </c>
      <c r="C27" s="2654">
        <f>C28</f>
        <v>2689.9360000000001</v>
      </c>
      <c r="D27" s="3225"/>
      <c r="E27" s="3225"/>
      <c r="F27" s="3109">
        <f t="shared" si="0"/>
        <v>1.4375076481493942</v>
      </c>
      <c r="G27" s="3106">
        <f>G28</f>
        <v>3.8668035730323891</v>
      </c>
    </row>
    <row r="28" spans="2:15" ht="18" customHeight="1" x14ac:dyDescent="0.2">
      <c r="B28" s="282" t="s">
        <v>998</v>
      </c>
      <c r="C28" s="2654">
        <f>C29</f>
        <v>2689.9360000000001</v>
      </c>
      <c r="D28" s="3225"/>
      <c r="E28" s="3225"/>
      <c r="F28" s="3109">
        <f t="shared" si="0"/>
        <v>1.4375076481493942</v>
      </c>
      <c r="G28" s="3106">
        <f>G29</f>
        <v>3.8668035730323891</v>
      </c>
    </row>
    <row r="29" spans="2:15" ht="18" customHeight="1" x14ac:dyDescent="0.2">
      <c r="B29" s="2653" t="s">
        <v>968</v>
      </c>
      <c r="C29" s="288">
        <v>2689.9360000000001</v>
      </c>
      <c r="D29" s="3226">
        <v>31.068174385167506</v>
      </c>
      <c r="E29" s="3226">
        <v>0.70000000000000007</v>
      </c>
      <c r="F29" s="3109">
        <f t="shared" si="0"/>
        <v>1.4375076481493942</v>
      </c>
      <c r="G29" s="3207">
        <v>3.8668035730323891</v>
      </c>
    </row>
    <row r="30" spans="2:15" ht="18" customHeight="1" x14ac:dyDescent="0.2">
      <c r="B30" s="286" t="s">
        <v>999</v>
      </c>
      <c r="C30" s="2654">
        <f>SUM(C32:C39)</f>
        <v>43872.492000000006</v>
      </c>
      <c r="D30" s="3225"/>
      <c r="E30" s="3225"/>
      <c r="F30" s="3109">
        <f t="shared" si="0"/>
        <v>0.27573885645702551</v>
      </c>
      <c r="G30" s="3106">
        <f>SUM(G32:G39)</f>
        <v>12.097350774000002</v>
      </c>
    </row>
    <row r="31" spans="2:15" ht="18" customHeight="1" x14ac:dyDescent="0.2">
      <c r="B31" s="1304" t="s">
        <v>498</v>
      </c>
      <c r="C31" s="3240"/>
      <c r="D31" s="3228"/>
      <c r="E31" s="3228"/>
      <c r="F31" s="3228"/>
      <c r="G31" s="3229"/>
    </row>
    <row r="32" spans="2:15" ht="18" customHeight="1" x14ac:dyDescent="0.2">
      <c r="B32" s="285" t="s">
        <v>1000</v>
      </c>
      <c r="C32" s="3234">
        <v>13.398999999999999</v>
      </c>
      <c r="D32" s="3230" t="s">
        <v>205</v>
      </c>
      <c r="E32" s="3230" t="s">
        <v>205</v>
      </c>
      <c r="F32" s="3109">
        <f t="shared" ref="F32:F41" si="1">IF(SUM(C32)=0,"NA",G32*1000/C32)</f>
        <v>76</v>
      </c>
      <c r="G32" s="3206">
        <v>1.018324</v>
      </c>
    </row>
    <row r="33" spans="2:7" ht="18" customHeight="1" x14ac:dyDescent="0.2">
      <c r="B33" s="285" t="s">
        <v>1001</v>
      </c>
      <c r="C33" s="3234">
        <v>0.68400000000000005</v>
      </c>
      <c r="D33" s="3230" t="s">
        <v>205</v>
      </c>
      <c r="E33" s="3230" t="s">
        <v>205</v>
      </c>
      <c r="F33" s="3109">
        <f t="shared" si="1"/>
        <v>45.989777777777775</v>
      </c>
      <c r="G33" s="3206">
        <v>3.1457008000000002E-2</v>
      </c>
    </row>
    <row r="34" spans="2:7" ht="18" customHeight="1" x14ac:dyDescent="0.2">
      <c r="B34" s="285" t="s">
        <v>1002</v>
      </c>
      <c r="C34" s="3234">
        <v>61.372</v>
      </c>
      <c r="D34" s="3230" t="s">
        <v>205</v>
      </c>
      <c r="E34" s="3230" t="s">
        <v>205</v>
      </c>
      <c r="F34" s="3109">
        <f t="shared" si="1"/>
        <v>19.999905820243757</v>
      </c>
      <c r="G34" s="3206">
        <v>1.2274342199999999</v>
      </c>
    </row>
    <row r="35" spans="2:7" ht="18" customHeight="1" x14ac:dyDescent="0.2">
      <c r="B35" s="285" t="s">
        <v>1003</v>
      </c>
      <c r="C35" s="3234">
        <v>660.6</v>
      </c>
      <c r="D35" s="3230" t="s">
        <v>205</v>
      </c>
      <c r="E35" s="3230" t="s">
        <v>205</v>
      </c>
      <c r="F35" s="3109">
        <f t="shared" si="1"/>
        <v>5.0000022101120187</v>
      </c>
      <c r="G35" s="3206">
        <v>3.3030014599999995</v>
      </c>
    </row>
    <row r="36" spans="2:7" ht="18" customHeight="1" x14ac:dyDescent="0.2">
      <c r="B36" s="285" t="s">
        <v>1004</v>
      </c>
      <c r="C36" s="3234">
        <v>359.27</v>
      </c>
      <c r="D36" s="3230" t="s">
        <v>205</v>
      </c>
      <c r="E36" s="3230" t="s">
        <v>205</v>
      </c>
      <c r="F36" s="3109">
        <f t="shared" si="1"/>
        <v>17.999995841567625</v>
      </c>
      <c r="G36" s="3206">
        <v>6.4668585060000003</v>
      </c>
    </row>
    <row r="37" spans="2:7" ht="18" customHeight="1" x14ac:dyDescent="0.2">
      <c r="B37" s="285" t="s">
        <v>1005</v>
      </c>
      <c r="C37" s="3234">
        <v>2.734</v>
      </c>
      <c r="D37" s="3230" t="s">
        <v>205</v>
      </c>
      <c r="E37" s="3230" t="s">
        <v>205</v>
      </c>
      <c r="F37" s="3109">
        <f t="shared" si="1"/>
        <v>10.000212143379663</v>
      </c>
      <c r="G37" s="3206">
        <v>2.734058E-2</v>
      </c>
    </row>
    <row r="38" spans="2:7" ht="18" customHeight="1" x14ac:dyDescent="0.2">
      <c r="B38" s="285" t="s">
        <v>1006</v>
      </c>
      <c r="C38" s="3241">
        <v>42770.044000000002</v>
      </c>
      <c r="D38" s="3230" t="s">
        <v>205</v>
      </c>
      <c r="E38" s="3230" t="s">
        <v>205</v>
      </c>
      <c r="F38" s="3109" t="s">
        <v>205</v>
      </c>
      <c r="G38" s="3231" t="s">
        <v>221</v>
      </c>
    </row>
    <row r="39" spans="2:7" ht="18" customHeight="1" x14ac:dyDescent="0.2">
      <c r="B39" s="285" t="s">
        <v>1007</v>
      </c>
      <c r="C39" s="2654">
        <f>SUM(C41:C45)</f>
        <v>4.3890000000000002</v>
      </c>
      <c r="D39" s="3225"/>
      <c r="E39" s="3225"/>
      <c r="F39" s="3109">
        <f t="shared" si="1"/>
        <v>5.2255639097744355</v>
      </c>
      <c r="G39" s="3106">
        <f>SUM(G41:G45)</f>
        <v>2.2934999999999997E-2</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4.0590000000000002</v>
      </c>
      <c r="D43" s="2974" t="s">
        <v>205</v>
      </c>
      <c r="E43" s="2974" t="s">
        <v>205</v>
      </c>
      <c r="F43" s="3109">
        <f t="shared" si="2"/>
        <v>4.9999999999999991</v>
      </c>
      <c r="G43" s="3170">
        <v>2.0294999999999997E-2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0.33</v>
      </c>
      <c r="D45" s="3225"/>
      <c r="E45" s="3225"/>
      <c r="F45" s="3109">
        <f>IF(SUM(C45)=0,"NA",G45*1000/C45)</f>
        <v>8</v>
      </c>
      <c r="G45" s="3106">
        <f>G46</f>
        <v>2.64E-3</v>
      </c>
    </row>
    <row r="46" spans="2:7" ht="18" customHeight="1" thickBot="1" x14ac:dyDescent="0.25">
      <c r="B46" s="2655" t="s">
        <v>1013</v>
      </c>
      <c r="C46" s="3243">
        <v>0.33</v>
      </c>
      <c r="D46" s="3115" t="s">
        <v>205</v>
      </c>
      <c r="E46" s="3115" t="s">
        <v>205</v>
      </c>
      <c r="F46" s="3232">
        <f>IF(SUM(C46)=0,"NA",G46*1000/C46)</f>
        <v>8</v>
      </c>
      <c r="G46" s="3172">
        <v>2.64E-3</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3" t="s">
        <v>1014</v>
      </c>
      <c r="C67" s="4504"/>
      <c r="D67" s="4504"/>
      <c r="E67" s="4504"/>
      <c r="F67" s="4504"/>
      <c r="G67" s="4505"/>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2459</v>
      </c>
    </row>
    <row r="2" spans="1:28" ht="17.25" customHeight="1" x14ac:dyDescent="0.2">
      <c r="B2" s="3" t="s">
        <v>1016</v>
      </c>
      <c r="J2" s="2"/>
      <c r="K2" s="14" t="s">
        <v>2460</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24838.232</v>
      </c>
      <c r="D10" s="2951"/>
      <c r="E10" s="2951"/>
      <c r="F10" s="2951"/>
      <c r="G10" s="2951"/>
      <c r="H10" s="2951"/>
      <c r="I10" s="3246"/>
      <c r="J10" s="3247">
        <f>IF(SUM(C10)=0,"NA",K10*1000/C10)</f>
        <v>4.7803290923788575</v>
      </c>
      <c r="K10" s="3248">
        <f>K15</f>
        <v>118.73492303285549</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24838.232</v>
      </c>
      <c r="D15" s="3260"/>
      <c r="E15" s="3260"/>
      <c r="F15" s="3260"/>
      <c r="G15" s="3260"/>
      <c r="H15" s="3260"/>
      <c r="I15" s="3255"/>
      <c r="J15" s="3254">
        <f>IF(SUM(C15)=0,"NA",K15*1000/C15)</f>
        <v>4.7803290923788575</v>
      </c>
      <c r="K15" s="3248">
        <f>SUM(K17:K20)</f>
        <v>118.73492303285549</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24838.232</v>
      </c>
      <c r="D20" s="3260"/>
      <c r="E20" s="3260"/>
      <c r="F20" s="3260"/>
      <c r="G20" s="3260"/>
      <c r="H20" s="3260"/>
      <c r="I20" s="3255"/>
      <c r="J20" s="3268">
        <f>IF(SUM(C20)=0,"NA",K20*1000/C20)</f>
        <v>4.7803290923788575</v>
      </c>
      <c r="K20" s="3248">
        <f>SUM(K21:K23)</f>
        <v>118.73492303285549</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2561.9349999999999</v>
      </c>
      <c r="D21" s="3290">
        <v>5.4055255675766798</v>
      </c>
      <c r="E21" s="3290">
        <v>94.53260714445004</v>
      </c>
      <c r="F21" s="3290">
        <v>6.1867287973280179E-2</v>
      </c>
      <c r="G21" s="3265">
        <f>Table3.A!K10</f>
        <v>438.18535468393998</v>
      </c>
      <c r="H21" s="3266">
        <v>2.9467296468758533</v>
      </c>
      <c r="I21" s="3267">
        <v>0.24</v>
      </c>
      <c r="J21" s="3268">
        <f>IF(SUM(C21)=0,"NA",K21*1000/C21)</f>
        <v>7.0403638255872245</v>
      </c>
      <c r="K21" s="3244">
        <v>18.036954497505807</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21947.53</v>
      </c>
      <c r="D22" s="3290" t="s">
        <v>199</v>
      </c>
      <c r="E22" s="3290">
        <v>85.639128339039132</v>
      </c>
      <c r="F22" s="3290">
        <v>14.360871660960864</v>
      </c>
      <c r="G22" s="3265">
        <f>Table3.A!L10</f>
        <v>360.74923628679358</v>
      </c>
      <c r="H22" s="3266" t="s">
        <v>205</v>
      </c>
      <c r="I22" s="3267" t="s">
        <v>205</v>
      </c>
      <c r="J22" s="3268">
        <f t="shared" ref="J22:J46" si="0">IF(SUM(C22)=0,"NA",K22*1000/C22)</f>
        <v>4.5380777352076072</v>
      </c>
      <c r="K22" s="3244">
        <v>99.599597235801014</v>
      </c>
      <c r="M22" s="1597" t="s">
        <v>1049</v>
      </c>
      <c r="N22" s="4512" t="s">
        <v>994</v>
      </c>
      <c r="O22" s="1693" t="s">
        <v>1051</v>
      </c>
      <c r="P22" s="1694" t="s">
        <v>1039</v>
      </c>
      <c r="Q22" s="4444">
        <v>2.929506308183385</v>
      </c>
      <c r="R22" s="4445" t="s">
        <v>199</v>
      </c>
      <c r="S22" s="4445">
        <v>6.3981460707363578</v>
      </c>
      <c r="T22" s="4445">
        <v>0.86812167536872586</v>
      </c>
      <c r="U22" s="4445" t="s">
        <v>199</v>
      </c>
      <c r="V22" s="4445" t="s">
        <v>274</v>
      </c>
      <c r="W22" s="4445" t="s">
        <v>199</v>
      </c>
      <c r="X22" s="4445">
        <v>89.804225945711536</v>
      </c>
      <c r="Y22" s="4446" t="s">
        <v>199</v>
      </c>
      <c r="Z22" s="4446" t="s">
        <v>199</v>
      </c>
      <c r="AA22" s="4446" t="s">
        <v>199</v>
      </c>
      <c r="AB22" s="4447" t="s">
        <v>199</v>
      </c>
    </row>
    <row r="23" spans="2:28" s="84" customFormat="1" ht="18" customHeight="1" x14ac:dyDescent="0.2">
      <c r="B23" s="2661" t="s">
        <v>966</v>
      </c>
      <c r="C23" s="3290">
        <f>Table3.A!C23</f>
        <v>328.767</v>
      </c>
      <c r="D23" s="3290" t="s">
        <v>199</v>
      </c>
      <c r="E23" s="3290">
        <v>100</v>
      </c>
      <c r="F23" s="3290" t="s">
        <v>199</v>
      </c>
      <c r="G23" s="3265">
        <f>Table3.A!M10</f>
        <v>541.1875</v>
      </c>
      <c r="H23" s="3266">
        <v>1.8177770600580716</v>
      </c>
      <c r="I23" s="3267">
        <v>0.19</v>
      </c>
      <c r="J23" s="3268">
        <f t="shared" si="0"/>
        <v>3.3408806222907814</v>
      </c>
      <c r="K23" s="3244">
        <v>1.0983712995486732</v>
      </c>
      <c r="M23" s="1667" t="s">
        <v>1061</v>
      </c>
      <c r="N23" s="4513"/>
      <c r="O23" s="1695" t="s">
        <v>1042</v>
      </c>
      <c r="P23" s="1696" t="s">
        <v>1040</v>
      </c>
      <c r="Q23" s="4448">
        <v>3.2052935352841727</v>
      </c>
      <c r="R23" s="4165" t="s">
        <v>199</v>
      </c>
      <c r="S23" s="4165">
        <v>6.0206440756886339</v>
      </c>
      <c r="T23" s="4166">
        <v>1.1127743003689077</v>
      </c>
      <c r="U23" s="4166" t="s">
        <v>199</v>
      </c>
      <c r="V23" s="4166" t="s">
        <v>274</v>
      </c>
      <c r="W23" s="4166" t="s">
        <v>199</v>
      </c>
      <c r="X23" s="4166">
        <v>89.661288088658296</v>
      </c>
      <c r="Y23" s="4166" t="s">
        <v>199</v>
      </c>
      <c r="Z23" s="4166" t="s">
        <v>199</v>
      </c>
      <c r="AA23" s="4166" t="s">
        <v>199</v>
      </c>
      <c r="AB23" s="4140" t="s">
        <v>199</v>
      </c>
    </row>
    <row r="24" spans="2:28" s="84" customFormat="1" ht="18" customHeight="1" thickBot="1" x14ac:dyDescent="0.25">
      <c r="B24" s="1646" t="s">
        <v>1062</v>
      </c>
      <c r="C24" s="4172">
        <f>C25</f>
        <v>173738.038</v>
      </c>
      <c r="D24" s="3270"/>
      <c r="E24" s="3270"/>
      <c r="F24" s="3270"/>
      <c r="G24" s="3270"/>
      <c r="H24" s="3270"/>
      <c r="I24" s="3271"/>
      <c r="J24" s="3268">
        <f t="shared" si="0"/>
        <v>0.35760064954658283</v>
      </c>
      <c r="K24" s="3248">
        <f>K25</f>
        <v>62.128835239748895</v>
      </c>
      <c r="M24" s="1659"/>
      <c r="N24" s="4513"/>
      <c r="O24" s="1697"/>
      <c r="P24" s="1696" t="s">
        <v>1041</v>
      </c>
      <c r="Q24" s="4449">
        <v>1.9583797579737265</v>
      </c>
      <c r="R24" s="4450" t="s">
        <v>199</v>
      </c>
      <c r="S24" s="4450">
        <v>8.9400035951500598</v>
      </c>
      <c r="T24" s="4451">
        <v>1.7331660858067481</v>
      </c>
      <c r="U24" s="4451" t="s">
        <v>199</v>
      </c>
      <c r="V24" s="4451" t="s">
        <v>274</v>
      </c>
      <c r="W24" s="4451" t="s">
        <v>199</v>
      </c>
      <c r="X24" s="4451">
        <v>87.368450561069466</v>
      </c>
      <c r="Y24" s="4451" t="s">
        <v>199</v>
      </c>
      <c r="Z24" s="4451" t="s">
        <v>199</v>
      </c>
      <c r="AA24" s="4451" t="s">
        <v>199</v>
      </c>
      <c r="AB24" s="4452" t="s">
        <v>199</v>
      </c>
    </row>
    <row r="25" spans="2:28" s="84" customFormat="1" ht="18" customHeight="1" x14ac:dyDescent="0.2">
      <c r="B25" s="1647" t="s">
        <v>1063</v>
      </c>
      <c r="C25" s="4172">
        <f>C26</f>
        <v>173738.038</v>
      </c>
      <c r="D25" s="3217"/>
      <c r="E25" s="3217"/>
      <c r="F25" s="3217"/>
      <c r="G25" s="3217"/>
      <c r="H25" s="3217"/>
      <c r="I25" s="3227"/>
      <c r="J25" s="3268">
        <f t="shared" si="0"/>
        <v>0.35760064954658283</v>
      </c>
      <c r="K25" s="3248">
        <f>K26</f>
        <v>62.128835239748895</v>
      </c>
      <c r="M25" s="1659"/>
      <c r="N25" s="4513"/>
      <c r="O25" s="1698" t="s">
        <v>1054</v>
      </c>
      <c r="P25" s="1694" t="s">
        <v>1039</v>
      </c>
      <c r="Q25" s="4453">
        <v>0.70001399485087445</v>
      </c>
      <c r="R25" s="4454" t="s">
        <v>199</v>
      </c>
      <c r="S25" s="4454">
        <v>5.5303308853984913E-2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173738.038</v>
      </c>
      <c r="D26" s="3290" t="s">
        <v>199</v>
      </c>
      <c r="E26" s="3290">
        <v>100</v>
      </c>
      <c r="F26" s="3290" t="s">
        <v>199</v>
      </c>
      <c r="G26" s="3272">
        <f>Table3.A!N10</f>
        <v>46.030616188684803</v>
      </c>
      <c r="H26" s="3014" t="s">
        <v>205</v>
      </c>
      <c r="I26" s="3104" t="s">
        <v>205</v>
      </c>
      <c r="J26" s="3268">
        <f t="shared" si="0"/>
        <v>0.35760064954658283</v>
      </c>
      <c r="K26" s="3244">
        <v>62.128835239748895</v>
      </c>
      <c r="M26" s="1659"/>
      <c r="N26" s="4513"/>
      <c r="O26" s="1699"/>
      <c r="P26" s="1696" t="s">
        <v>1040</v>
      </c>
      <c r="Q26" s="4448">
        <v>0.73972308747527515</v>
      </c>
      <c r="R26" s="4165" t="s">
        <v>199</v>
      </c>
      <c r="S26" s="4165">
        <v>0.12317511238238776</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2689.9360000000001</v>
      </c>
      <c r="D27" s="3217"/>
      <c r="E27" s="3217"/>
      <c r="F27" s="3217"/>
      <c r="G27" s="3217"/>
      <c r="H27" s="3217"/>
      <c r="I27" s="3227"/>
      <c r="J27" s="3268">
        <f t="shared" si="0"/>
        <v>22.959922489809564</v>
      </c>
      <c r="K27" s="3248">
        <f>K28</f>
        <v>61.760722062548382</v>
      </c>
      <c r="M27" s="1659"/>
      <c r="N27" s="4514"/>
      <c r="O27" s="1700"/>
      <c r="P27" s="1696" t="s">
        <v>1041</v>
      </c>
      <c r="Q27" s="4449">
        <v>0.8</v>
      </c>
      <c r="R27" s="4450" t="s">
        <v>199</v>
      </c>
      <c r="S27" s="4450">
        <v>0.49409638554216873</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2689.9360000000001</v>
      </c>
      <c r="D28" s="3217"/>
      <c r="E28" s="3217"/>
      <c r="F28" s="3217"/>
      <c r="G28" s="3217"/>
      <c r="H28" s="3217"/>
      <c r="I28" s="3227"/>
      <c r="J28" s="3268">
        <f t="shared" si="0"/>
        <v>22.959922489809564</v>
      </c>
      <c r="K28" s="3248">
        <f>K29</f>
        <v>61.760722062548382</v>
      </c>
      <c r="M28" s="1598"/>
      <c r="N28" s="4512"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2689.9360000000001</v>
      </c>
      <c r="D29" s="3290">
        <v>1.6149525206771553</v>
      </c>
      <c r="E29" s="3290">
        <v>98.38504747932285</v>
      </c>
      <c r="F29" s="3290" t="s">
        <v>199</v>
      </c>
      <c r="G29" s="3272">
        <f>Table3.A!O10</f>
        <v>53.511156610844736</v>
      </c>
      <c r="H29" s="3014">
        <v>0.30146158820125002</v>
      </c>
      <c r="I29" s="3104">
        <v>0.45</v>
      </c>
      <c r="J29" s="3268">
        <f t="shared" si="0"/>
        <v>22.959922489809564</v>
      </c>
      <c r="K29" s="3244">
        <v>61.760722062548382</v>
      </c>
      <c r="M29" s="1667"/>
      <c r="N29" s="4513"/>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43872.492000000006</v>
      </c>
      <c r="D30" s="3217"/>
      <c r="E30" s="3217"/>
      <c r="F30" s="3217"/>
      <c r="G30" s="3217"/>
      <c r="H30" s="3217"/>
      <c r="I30" s="3227"/>
      <c r="J30" s="3268">
        <f t="shared" si="0"/>
        <v>7.3495951063632214E-2</v>
      </c>
      <c r="K30" s="3248">
        <f>SUM(K32:K39)</f>
        <v>3.2244505250715965</v>
      </c>
      <c r="M30" s="1659"/>
      <c r="N30" s="4513"/>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3"/>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13.398999999999999</v>
      </c>
      <c r="D32" s="3290" t="s">
        <v>199</v>
      </c>
      <c r="E32" s="3290" t="s">
        <v>199</v>
      </c>
      <c r="F32" s="3290">
        <v>100</v>
      </c>
      <c r="G32" s="3274" t="s">
        <v>205</v>
      </c>
      <c r="H32" s="3274" t="s">
        <v>205</v>
      </c>
      <c r="I32" s="3274" t="s">
        <v>205</v>
      </c>
      <c r="J32" s="3268">
        <f t="shared" si="0"/>
        <v>11.569996682399513</v>
      </c>
      <c r="K32" s="3244">
        <v>0.15502638554747106</v>
      </c>
      <c r="M32" s="1659"/>
      <c r="N32" s="4513"/>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0.68400000000000005</v>
      </c>
      <c r="D33" s="3290" t="s">
        <v>199</v>
      </c>
      <c r="E33" s="3290">
        <v>41.361238169885709</v>
      </c>
      <c r="F33" s="3290">
        <v>58.638761830114291</v>
      </c>
      <c r="G33" s="3274" t="s">
        <v>205</v>
      </c>
      <c r="H33" s="3274" t="s">
        <v>205</v>
      </c>
      <c r="I33" s="3274" t="s">
        <v>205</v>
      </c>
      <c r="J33" s="3254">
        <f t="shared" si="0"/>
        <v>8.0234030231591298</v>
      </c>
      <c r="K33" s="3244">
        <v>5.4880076678408456E-3</v>
      </c>
      <c r="M33" s="1659"/>
      <c r="N33" s="4514"/>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61.372</v>
      </c>
      <c r="D34" s="3290" t="s">
        <v>199</v>
      </c>
      <c r="E34" s="3290">
        <v>100</v>
      </c>
      <c r="F34" s="3290" t="s">
        <v>199</v>
      </c>
      <c r="G34" s="3274" t="s">
        <v>205</v>
      </c>
      <c r="H34" s="3274" t="s">
        <v>205</v>
      </c>
      <c r="I34" s="3274" t="s">
        <v>205</v>
      </c>
      <c r="J34" s="3254">
        <f t="shared" si="0"/>
        <v>0.99987154809855627</v>
      </c>
      <c r="K34" s="3244">
        <v>6.1364116649904592E-2</v>
      </c>
      <c r="M34" s="1598"/>
      <c r="N34" s="4512"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660.6</v>
      </c>
      <c r="D35" s="3290" t="s">
        <v>199</v>
      </c>
      <c r="E35" s="3290">
        <v>99.840619204570373</v>
      </c>
      <c r="F35" s="3290">
        <v>0.15938079542962116</v>
      </c>
      <c r="G35" s="3274" t="s">
        <v>205</v>
      </c>
      <c r="H35" s="3274" t="s">
        <v>205</v>
      </c>
      <c r="I35" s="3274" t="s">
        <v>205</v>
      </c>
      <c r="J35" s="3254">
        <f t="shared" si="0"/>
        <v>0.35894986092822434</v>
      </c>
      <c r="K35" s="3244">
        <v>0.23712227812918499</v>
      </c>
      <c r="M35" s="1667"/>
      <c r="N35" s="4513"/>
      <c r="O35" s="1695" t="s">
        <v>1042</v>
      </c>
      <c r="P35" s="1696" t="s">
        <v>1040</v>
      </c>
      <c r="Q35" s="4448">
        <v>1.7999999999999998</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359.27</v>
      </c>
      <c r="D36" s="3290" t="s">
        <v>199</v>
      </c>
      <c r="E36" s="3290">
        <v>96.532903699810745</v>
      </c>
      <c r="F36" s="3290">
        <v>3.4670963001892527</v>
      </c>
      <c r="G36" s="3274" t="s">
        <v>205</v>
      </c>
      <c r="H36" s="3274" t="s">
        <v>205</v>
      </c>
      <c r="I36" s="3274" t="s">
        <v>205</v>
      </c>
      <c r="J36" s="3254">
        <f t="shared" si="0"/>
        <v>3.2967709166979007</v>
      </c>
      <c r="K36" s="3244">
        <v>1.1844308872420548</v>
      </c>
      <c r="M36" s="1659"/>
      <c r="N36" s="4513"/>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2.734</v>
      </c>
      <c r="D37" s="3290" t="s">
        <v>199</v>
      </c>
      <c r="E37" s="3290">
        <v>89.018338308843482</v>
      </c>
      <c r="F37" s="3290">
        <v>10.981661691156514</v>
      </c>
      <c r="G37" s="3274" t="s">
        <v>205</v>
      </c>
      <c r="H37" s="3274" t="s">
        <v>205</v>
      </c>
      <c r="I37" s="3274" t="s">
        <v>205</v>
      </c>
      <c r="J37" s="3254">
        <f t="shared" si="0"/>
        <v>1.3136270602678468</v>
      </c>
      <c r="K37" s="3244">
        <v>3.5914563827722928E-3</v>
      </c>
      <c r="M37" s="1659"/>
      <c r="N37" s="4513"/>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42770.044000000002</v>
      </c>
      <c r="D38" s="3290">
        <v>1.3170881655233784</v>
      </c>
      <c r="E38" s="3290">
        <v>98.682911834476627</v>
      </c>
      <c r="F38" s="3290" t="s">
        <v>199</v>
      </c>
      <c r="G38" s="3274" t="s">
        <v>205</v>
      </c>
      <c r="H38" s="3274" t="s">
        <v>205</v>
      </c>
      <c r="I38" s="3274" t="s">
        <v>205</v>
      </c>
      <c r="J38" s="3254">
        <f t="shared" si="0"/>
        <v>3.6844925966952193E-2</v>
      </c>
      <c r="K38" s="3244">
        <v>1.5758591047832879</v>
      </c>
      <c r="M38" s="1659"/>
      <c r="N38" s="4513"/>
      <c r="O38" s="1699"/>
      <c r="P38" s="1696" t="s">
        <v>1040</v>
      </c>
      <c r="Q38" s="4448">
        <v>0.75683420348911246</v>
      </c>
      <c r="R38" s="4165" t="s">
        <v>199</v>
      </c>
      <c r="S38" s="4165" t="s">
        <v>199</v>
      </c>
      <c r="T38" s="4166" t="s">
        <v>274</v>
      </c>
      <c r="U38" s="4166" t="s">
        <v>199</v>
      </c>
      <c r="V38" s="4166">
        <v>1.7040935590424175E-2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4.3890000000000002</v>
      </c>
      <c r="D39" s="3261"/>
      <c r="E39" s="3261"/>
      <c r="F39" s="3261"/>
      <c r="G39" s="3261"/>
      <c r="H39" s="3261"/>
      <c r="I39" s="3262"/>
      <c r="J39" s="3254">
        <f t="shared" si="0"/>
        <v>0.35732254934613605</v>
      </c>
      <c r="K39" s="3248">
        <f>SUM(K41:K45)</f>
        <v>1.5682886690801911E-3</v>
      </c>
      <c r="M39" s="1663"/>
      <c r="N39" s="4514"/>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5" t="s">
        <v>968</v>
      </c>
      <c r="N40" s="4516"/>
      <c r="O40" s="1693" t="s">
        <v>1051</v>
      </c>
      <c r="P40" s="1694" t="s">
        <v>1039</v>
      </c>
      <c r="Q40" s="4444">
        <v>87.8</v>
      </c>
      <c r="R40" s="4445" t="s">
        <v>199</v>
      </c>
      <c r="S40" s="4445" t="s">
        <v>199</v>
      </c>
      <c r="T40" s="4446" t="s">
        <v>274</v>
      </c>
      <c r="U40" s="4446" t="s">
        <v>274</v>
      </c>
      <c r="V40" s="4446">
        <v>8.5500000000000007</v>
      </c>
      <c r="W40" s="4446" t="s">
        <v>274</v>
      </c>
      <c r="X40" s="4446" t="s">
        <v>199</v>
      </c>
      <c r="Y40" s="4446" t="s">
        <v>199</v>
      </c>
      <c r="Z40" s="4446" t="s">
        <v>199</v>
      </c>
      <c r="AA40" s="4446" t="s">
        <v>199</v>
      </c>
      <c r="AB40" s="4447">
        <v>4.7000000000000011</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7"/>
      <c r="N41" s="4518"/>
      <c r="O41" s="1695" t="s">
        <v>1042</v>
      </c>
      <c r="P41" s="1696" t="s">
        <v>1040</v>
      </c>
      <c r="Q41" s="4448">
        <v>88.963322925818673</v>
      </c>
      <c r="R41" s="4165" t="s">
        <v>199</v>
      </c>
      <c r="S41" s="4165" t="s">
        <v>199</v>
      </c>
      <c r="T41" s="4166" t="s">
        <v>274</v>
      </c>
      <c r="U41" s="4166" t="s">
        <v>274</v>
      </c>
      <c r="V41" s="4166">
        <v>7.3518042874062814</v>
      </c>
      <c r="W41" s="4166" t="s">
        <v>274</v>
      </c>
      <c r="X41" s="4166" t="s">
        <v>199</v>
      </c>
      <c r="Y41" s="4166" t="s">
        <v>199</v>
      </c>
      <c r="Z41" s="4166">
        <v>0.37165901906231458</v>
      </c>
      <c r="AA41" s="4166" t="s">
        <v>199</v>
      </c>
      <c r="AB41" s="4140">
        <v>2.7294887345624215</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7"/>
      <c r="N42" s="4518"/>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4.0590000000000002</v>
      </c>
      <c r="D43" s="3290" t="s">
        <v>199</v>
      </c>
      <c r="E43" s="3290">
        <v>100</v>
      </c>
      <c r="F43" s="3290" t="s">
        <v>199</v>
      </c>
      <c r="G43" s="3274" t="s">
        <v>205</v>
      </c>
      <c r="H43" s="3274" t="s">
        <v>205</v>
      </c>
      <c r="I43" s="3274" t="s">
        <v>205</v>
      </c>
      <c r="J43" s="3254">
        <f t="shared" si="0"/>
        <v>0.35732254934613605</v>
      </c>
      <c r="K43" s="3244">
        <v>1.4503722277959662E-3</v>
      </c>
      <c r="M43" s="4517"/>
      <c r="N43" s="4518"/>
      <c r="O43" s="1698" t="s">
        <v>1054</v>
      </c>
      <c r="P43" s="1694" t="s">
        <v>1039</v>
      </c>
      <c r="Q43" s="4444">
        <v>0.7</v>
      </c>
      <c r="R43" s="4445" t="s">
        <v>199</v>
      </c>
      <c r="S43" s="4445" t="s">
        <v>199</v>
      </c>
      <c r="T43" s="4446" t="s">
        <v>274</v>
      </c>
      <c r="U43" s="4446" t="s">
        <v>274</v>
      </c>
      <c r="V43" s="4446">
        <v>1.5321637426900585E-2</v>
      </c>
      <c r="W43" s="4446" t="s">
        <v>274</v>
      </c>
      <c r="X43" s="4446" t="s">
        <v>199</v>
      </c>
      <c r="Y43" s="4446" t="s">
        <v>199</v>
      </c>
      <c r="Z43" s="4446" t="s">
        <v>199</v>
      </c>
      <c r="AA43" s="4446" t="s">
        <v>199</v>
      </c>
      <c r="AB43" s="4447">
        <v>3.212765957446808E-2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7"/>
      <c r="N44" s="4518"/>
      <c r="O44" s="1699"/>
      <c r="P44" s="1696" t="s">
        <v>1040</v>
      </c>
      <c r="Q44" s="4448">
        <v>0.7541010423885427</v>
      </c>
      <c r="R44" s="4165" t="s">
        <v>199</v>
      </c>
      <c r="S44" s="4165" t="s">
        <v>199</v>
      </c>
      <c r="T44" s="4166" t="s">
        <v>274</v>
      </c>
      <c r="U44" s="4166" t="s">
        <v>274</v>
      </c>
      <c r="V44" s="4166">
        <v>1.6525118174024273E-2</v>
      </c>
      <c r="W44" s="4166" t="s">
        <v>274</v>
      </c>
      <c r="X44" s="4166" t="s">
        <v>199</v>
      </c>
      <c r="Y44" s="4166" t="s">
        <v>199</v>
      </c>
      <c r="Z44" s="4166">
        <v>2.2559454587305194E-2</v>
      </c>
      <c r="AA44" s="4166" t="s">
        <v>199</v>
      </c>
      <c r="AB44" s="4140">
        <v>3.3946149825978517E-2</v>
      </c>
    </row>
    <row r="45" spans="2:28" s="84" customFormat="1" ht="18" customHeight="1" thickBot="1" x14ac:dyDescent="0.25">
      <c r="B45" s="2663" t="s">
        <v>1079</v>
      </c>
      <c r="C45" s="4172">
        <f>C46</f>
        <v>0.33</v>
      </c>
      <c r="D45" s="3261"/>
      <c r="E45" s="3261"/>
      <c r="F45" s="3261"/>
      <c r="G45" s="3261"/>
      <c r="H45" s="3261"/>
      <c r="I45" s="3262"/>
      <c r="J45" s="3254">
        <f t="shared" si="0"/>
        <v>0.35732254934613616</v>
      </c>
      <c r="K45" s="3248">
        <f>K46</f>
        <v>1.1791644128422493E-4</v>
      </c>
      <c r="M45" s="4519"/>
      <c r="N45" s="4520"/>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0.33</v>
      </c>
      <c r="D46" s="3021" t="s">
        <v>199</v>
      </c>
      <c r="E46" s="3021">
        <v>100</v>
      </c>
      <c r="F46" s="3021" t="s">
        <v>199</v>
      </c>
      <c r="G46" s="3021" t="s">
        <v>205</v>
      </c>
      <c r="H46" s="3021" t="s">
        <v>205</v>
      </c>
      <c r="I46" s="3275" t="s">
        <v>205</v>
      </c>
      <c r="J46" s="3276">
        <f t="shared" si="0"/>
        <v>0.35732254934613616</v>
      </c>
      <c r="K46" s="3245">
        <v>1.1791644128422493E-4</v>
      </c>
      <c r="M46" s="4515" t="s">
        <v>1080</v>
      </c>
      <c r="N46" s="4516"/>
      <c r="O46" s="1693" t="s">
        <v>1051</v>
      </c>
      <c r="P46" s="1694" t="s">
        <v>1039</v>
      </c>
      <c r="Q46" s="4444" t="s">
        <v>199</v>
      </c>
      <c r="R46" s="4445" t="s">
        <v>199</v>
      </c>
      <c r="S46" s="4445" t="s">
        <v>199</v>
      </c>
      <c r="T46" s="4446">
        <v>56.441566820824349</v>
      </c>
      <c r="U46" s="4446" t="s">
        <v>199</v>
      </c>
      <c r="V46" s="4446" t="s">
        <v>199</v>
      </c>
      <c r="W46" s="4446" t="s">
        <v>274</v>
      </c>
      <c r="X46" s="4446">
        <v>1.9256725318727403</v>
      </c>
      <c r="Y46" s="4446">
        <v>16.336376451393399</v>
      </c>
      <c r="Z46" s="4446">
        <v>0.79778344832763004</v>
      </c>
      <c r="AA46" s="4446" t="s">
        <v>199</v>
      </c>
      <c r="AB46" s="4447">
        <v>98.074327468127237</v>
      </c>
    </row>
    <row r="47" spans="2:28" s="84" customFormat="1" ht="17.25" customHeight="1" x14ac:dyDescent="0.2">
      <c r="B47" s="504" t="s">
        <v>560</v>
      </c>
      <c r="C47" s="504" t="s">
        <v>560</v>
      </c>
      <c r="D47" s="504"/>
      <c r="E47" s="504"/>
      <c r="F47" s="504"/>
      <c r="G47" s="504"/>
      <c r="H47" s="504"/>
      <c r="I47" s="504"/>
      <c r="J47" s="504"/>
      <c r="K47" s="504"/>
      <c r="M47" s="4517"/>
      <c r="N47" s="4518"/>
      <c r="O47" s="1695" t="s">
        <v>1042</v>
      </c>
      <c r="P47" s="1696" t="s">
        <v>1040</v>
      </c>
      <c r="Q47" s="4448" t="s">
        <v>199</v>
      </c>
      <c r="R47" s="4165" t="s">
        <v>199</v>
      </c>
      <c r="S47" s="4165" t="s">
        <v>199</v>
      </c>
      <c r="T47" s="4166">
        <v>47.73765121206474</v>
      </c>
      <c r="U47" s="4166" t="s">
        <v>199</v>
      </c>
      <c r="V47" s="4166" t="s">
        <v>199</v>
      </c>
      <c r="W47" s="4166" t="s">
        <v>274</v>
      </c>
      <c r="X47" s="4166">
        <v>2.4307265095998685</v>
      </c>
      <c r="Y47" s="4166">
        <v>17.959025275479775</v>
      </c>
      <c r="Z47" s="4166">
        <v>0.42273606668979402</v>
      </c>
      <c r="AA47" s="4166" t="s">
        <v>199</v>
      </c>
      <c r="AB47" s="4140">
        <v>97.569273490400136</v>
      </c>
    </row>
    <row r="48" spans="2:28" s="84" customFormat="1" ht="14.25" thickBot="1" x14ac:dyDescent="0.25">
      <c r="B48" s="311"/>
      <c r="C48" s="1648"/>
      <c r="D48" s="1648"/>
      <c r="E48" s="1648"/>
      <c r="F48" s="1648"/>
      <c r="G48" s="1648"/>
      <c r="H48" s="1648"/>
      <c r="I48" s="1648"/>
      <c r="J48" s="1648"/>
      <c r="K48" s="1648"/>
      <c r="M48" s="4517"/>
      <c r="N48" s="4518"/>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7"/>
      <c r="N49" s="4518"/>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7"/>
      <c r="N50" s="4518"/>
      <c r="O50" s="1699"/>
      <c r="P50" s="1696" t="s">
        <v>1040</v>
      </c>
      <c r="Q50" s="4448" t="s">
        <v>199</v>
      </c>
      <c r="R50" s="4165" t="s">
        <v>199</v>
      </c>
      <c r="S50" s="4165" t="s">
        <v>199</v>
      </c>
      <c r="T50" s="4166">
        <v>1.9999999999999997E-2</v>
      </c>
      <c r="U50" s="4166" t="s">
        <v>199</v>
      </c>
      <c r="V50" s="4166" t="s">
        <v>199</v>
      </c>
      <c r="W50" s="4166" t="s">
        <v>274</v>
      </c>
      <c r="X50" s="4166">
        <v>1.3984591881311246E-2</v>
      </c>
      <c r="Y50" s="4166">
        <v>9.9999999999999985E-3</v>
      </c>
      <c r="Z50" s="4166">
        <v>9.9999999999999978E-2</v>
      </c>
      <c r="AA50" s="4166" t="s">
        <v>199</v>
      </c>
      <c r="AB50" s="4140">
        <v>1.4999999999999996E-2</v>
      </c>
    </row>
    <row r="51" spans="2:28" s="84" customFormat="1" ht="14.25" thickBot="1" x14ac:dyDescent="0.25">
      <c r="B51" s="72"/>
      <c r="C51" s="311"/>
      <c r="D51" s="311"/>
      <c r="E51" s="311"/>
      <c r="F51" s="311"/>
      <c r="G51" s="311"/>
      <c r="H51" s="311"/>
      <c r="I51" s="311"/>
      <c r="J51" s="311"/>
      <c r="K51" s="311"/>
      <c r="M51" s="4519"/>
      <c r="N51" s="4520"/>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5" t="s">
        <v>1081</v>
      </c>
      <c r="N52" s="4516"/>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7"/>
      <c r="N53" s="4518"/>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7"/>
      <c r="N54" s="4518"/>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7"/>
      <c r="N55" s="4518"/>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7"/>
      <c r="N56" s="4518"/>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9"/>
      <c r="N57" s="4520"/>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5" t="s">
        <v>1082</v>
      </c>
      <c r="N58" s="4516"/>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7"/>
      <c r="N59" s="4518"/>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7"/>
      <c r="N60" s="4518"/>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7"/>
      <c r="N61" s="4518"/>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7"/>
      <c r="N62" s="4518"/>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9"/>
      <c r="N63" s="4520"/>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9" t="s">
        <v>1083</v>
      </c>
      <c r="C65" s="4510"/>
      <c r="D65" s="4510"/>
      <c r="E65" s="4510"/>
      <c r="F65" s="4510"/>
      <c r="G65" s="4510"/>
      <c r="H65" s="4510"/>
      <c r="I65" s="4510"/>
      <c r="J65" s="4510"/>
      <c r="K65" s="4511"/>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2459</v>
      </c>
    </row>
    <row r="2" spans="1:26" ht="17.25" customHeight="1" x14ac:dyDescent="0.2">
      <c r="B2" s="3" t="s">
        <v>1085</v>
      </c>
      <c r="R2" s="2"/>
      <c r="X2" s="2"/>
      <c r="Y2" s="2"/>
      <c r="Z2" s="14" t="s">
        <v>2460</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24838.232</v>
      </c>
      <c r="D10" s="3453"/>
      <c r="E10" s="3454"/>
      <c r="F10" s="3441">
        <f>F15</f>
        <v>9710106.4999407828</v>
      </c>
      <c r="G10" s="3441" t="str">
        <f t="shared" ref="G10:R10" si="0">G15</f>
        <v>NO</v>
      </c>
      <c r="H10" s="3441">
        <f t="shared" si="0"/>
        <v>17437411.910971083</v>
      </c>
      <c r="I10" s="3441">
        <f t="shared" si="0"/>
        <v>11757741.521727247</v>
      </c>
      <c r="J10" s="3441" t="str">
        <f t="shared" si="0"/>
        <v>NO</v>
      </c>
      <c r="K10" s="3441">
        <f t="shared" si="0"/>
        <v>24755428.374487836</v>
      </c>
      <c r="L10" s="3441" t="str">
        <f t="shared" si="0"/>
        <v>NO</v>
      </c>
      <c r="M10" s="3441">
        <f t="shared" si="0"/>
        <v>1047328636.7843249</v>
      </c>
      <c r="N10" s="3441" t="str">
        <f t="shared" si="0"/>
        <v>NO</v>
      </c>
      <c r="O10" s="3441" t="str">
        <f t="shared" si="0"/>
        <v>NO</v>
      </c>
      <c r="P10" s="3441" t="str">
        <f t="shared" si="0"/>
        <v>NO</v>
      </c>
      <c r="Q10" s="3441" t="str">
        <f t="shared" si="0"/>
        <v>NO</v>
      </c>
      <c r="R10" s="3441">
        <f t="shared" si="0"/>
        <v>1110989325.0914519</v>
      </c>
      <c r="S10" s="2670"/>
      <c r="T10" s="2671"/>
      <c r="U10" s="3419">
        <f>IF(SUM(X10)=0,"NA",X10*1000/C10)</f>
        <v>1.2176782430405656E-2</v>
      </c>
      <c r="V10" s="3411"/>
      <c r="W10" s="3412"/>
      <c r="X10" s="3278">
        <f t="shared" ref="X10" si="1">X15</f>
        <v>0.30244974701993954</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24838.232</v>
      </c>
      <c r="D15" s="3456"/>
      <c r="E15" s="3456"/>
      <c r="F15" s="2668">
        <f>F20</f>
        <v>9710106.4999407828</v>
      </c>
      <c r="G15" s="2668" t="str">
        <f t="shared" ref="G15:R15" si="2">G20</f>
        <v>NO</v>
      </c>
      <c r="H15" s="2668">
        <f t="shared" si="2"/>
        <v>17437411.910971083</v>
      </c>
      <c r="I15" s="2668">
        <f t="shared" si="2"/>
        <v>11757741.521727247</v>
      </c>
      <c r="J15" s="2668" t="str">
        <f t="shared" si="2"/>
        <v>NO</v>
      </c>
      <c r="K15" s="2668">
        <f t="shared" si="2"/>
        <v>24755428.374487836</v>
      </c>
      <c r="L15" s="2668" t="str">
        <f t="shared" si="2"/>
        <v>NO</v>
      </c>
      <c r="M15" s="2668">
        <f t="shared" si="2"/>
        <v>1047328636.7843249</v>
      </c>
      <c r="N15" s="2668" t="str">
        <f t="shared" si="2"/>
        <v>NO</v>
      </c>
      <c r="O15" s="2668" t="str">
        <f t="shared" si="2"/>
        <v>NO</v>
      </c>
      <c r="P15" s="2668" t="str">
        <f t="shared" si="2"/>
        <v>NO</v>
      </c>
      <c r="Q15" s="2668" t="str">
        <f t="shared" si="2"/>
        <v>NO</v>
      </c>
      <c r="R15" s="2668">
        <f t="shared" si="2"/>
        <v>1110989325.0914519</v>
      </c>
      <c r="S15" s="2676"/>
      <c r="T15" s="2677"/>
      <c r="U15" s="3419">
        <f>IF(SUM(X15)=0,"NA",X15*1000/C15)</f>
        <v>1.2176782430405656E-2</v>
      </c>
      <c r="V15" s="3417"/>
      <c r="W15" s="3418"/>
      <c r="X15" s="3281">
        <f t="shared" ref="X15" si="3">X20</f>
        <v>0.30244974701993954</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24838.232</v>
      </c>
      <c r="D20" s="3455"/>
      <c r="E20" s="3455"/>
      <c r="F20" s="2668">
        <f>IF(SUM(F21:F23)=0,"NO",SUM(F21:F23))</f>
        <v>9710106.4999407828</v>
      </c>
      <c r="G20" s="2668" t="str">
        <f t="shared" ref="G20:Q20" si="6">IF(SUM(G21:G23)=0,"NO",SUM(G21:G23))</f>
        <v>NO</v>
      </c>
      <c r="H20" s="2668">
        <f t="shared" si="6"/>
        <v>17437411.910971083</v>
      </c>
      <c r="I20" s="2668">
        <f t="shared" si="6"/>
        <v>11757741.521727247</v>
      </c>
      <c r="J20" s="2668" t="str">
        <f t="shared" si="6"/>
        <v>NO</v>
      </c>
      <c r="K20" s="2668">
        <f t="shared" si="6"/>
        <v>24755428.374487836</v>
      </c>
      <c r="L20" s="2668" t="str">
        <f t="shared" si="6"/>
        <v>NO</v>
      </c>
      <c r="M20" s="2668">
        <f t="shared" si="6"/>
        <v>1047328636.7843249</v>
      </c>
      <c r="N20" s="2668" t="str">
        <f t="shared" si="6"/>
        <v>NO</v>
      </c>
      <c r="O20" s="2668" t="str">
        <f t="shared" si="6"/>
        <v>NO</v>
      </c>
      <c r="P20" s="2668" t="str">
        <f t="shared" si="6"/>
        <v>NO</v>
      </c>
      <c r="Q20" s="2668" t="str">
        <f t="shared" si="6"/>
        <v>NO</v>
      </c>
      <c r="R20" s="3445">
        <f>IF(SUM(F20:Q20)=0,"NO",SUM(F20:Q20))</f>
        <v>1110989325.0914519</v>
      </c>
      <c r="S20" s="2676"/>
      <c r="T20" s="2677"/>
      <c r="U20" s="3419">
        <f t="shared" si="4"/>
        <v>1.2176782430405656E-2</v>
      </c>
      <c r="V20" s="3417"/>
      <c r="W20" s="3418"/>
      <c r="X20" s="3281">
        <f t="shared" ref="X20" si="7">IF(SUM(X21:X23)=0,"NO",SUM(X21:X23))</f>
        <v>0.30244974701993954</v>
      </c>
      <c r="Y20" s="3142"/>
      <c r="Z20" s="3420"/>
    </row>
    <row r="21" spans="2:26" ht="18" customHeight="1" x14ac:dyDescent="0.2">
      <c r="B21" s="2666" t="s">
        <v>994</v>
      </c>
      <c r="C21" s="3458">
        <f>Table3.A!C21</f>
        <v>2561.9349999999999</v>
      </c>
      <c r="D21" s="3274">
        <v>114.04880991988905</v>
      </c>
      <c r="E21" s="3457">
        <f>'Table3.B(a)'!G21</f>
        <v>438.18535468393998</v>
      </c>
      <c r="F21" s="3442">
        <v>9264508.7892000023</v>
      </c>
      <c r="G21" s="3442" t="s">
        <v>199</v>
      </c>
      <c r="H21" s="3442">
        <v>17437411.910971083</v>
      </c>
      <c r="I21" s="3442">
        <v>3180678.7419616994</v>
      </c>
      <c r="J21" s="3442" t="s">
        <v>199</v>
      </c>
      <c r="K21" s="3442" t="s">
        <v>274</v>
      </c>
      <c r="L21" s="3442" t="s">
        <v>199</v>
      </c>
      <c r="M21" s="3442">
        <v>262303092.94040006</v>
      </c>
      <c r="N21" s="3442" t="s">
        <v>199</v>
      </c>
      <c r="O21" s="3442" t="s">
        <v>199</v>
      </c>
      <c r="P21" s="3442" t="s">
        <v>199</v>
      </c>
      <c r="Q21" s="3442" t="s">
        <v>199</v>
      </c>
      <c r="R21" s="3445">
        <f t="shared" ref="R21:R46" si="8">IF(SUM(F21:Q21)=0,"NO",SUM(F21:Q21))</f>
        <v>292185692.38253284</v>
      </c>
      <c r="S21" s="2676"/>
      <c r="T21" s="2677"/>
      <c r="U21" s="3419">
        <f t="shared" si="4"/>
        <v>9.7547546125372024E-3</v>
      </c>
      <c r="V21" s="3417"/>
      <c r="W21" s="3418"/>
      <c r="X21" s="3282">
        <v>2.4991047258270498E-2</v>
      </c>
      <c r="Y21" s="3142"/>
      <c r="Z21" s="3420"/>
    </row>
    <row r="22" spans="2:26" ht="18" customHeight="1" x14ac:dyDescent="0.2">
      <c r="B22" s="2666" t="s">
        <v>965</v>
      </c>
      <c r="C22" s="3458">
        <f>Table3.A!C22</f>
        <v>21947.53</v>
      </c>
      <c r="D22" s="3274">
        <v>35.768287235804685</v>
      </c>
      <c r="E22" s="3457">
        <f>'Table3.B(a)'!G22</f>
        <v>360.74923628679358</v>
      </c>
      <c r="F22" s="3446" t="s">
        <v>199</v>
      </c>
      <c r="G22" s="3442" t="s">
        <v>199</v>
      </c>
      <c r="H22" s="3446" t="s">
        <v>199</v>
      </c>
      <c r="I22" s="3446" t="s">
        <v>199</v>
      </c>
      <c r="J22" s="3446" t="s">
        <v>199</v>
      </c>
      <c r="K22" s="3446" t="s">
        <v>199</v>
      </c>
      <c r="L22" s="3446" t="s">
        <v>199</v>
      </c>
      <c r="M22" s="3446">
        <v>785025543.84392476</v>
      </c>
      <c r="N22" s="3446" t="s">
        <v>199</v>
      </c>
      <c r="O22" s="3446" t="s">
        <v>199</v>
      </c>
      <c r="P22" s="3446" t="s">
        <v>199</v>
      </c>
      <c r="Q22" s="3446" t="s">
        <v>199</v>
      </c>
      <c r="R22" s="3445">
        <f t="shared" si="8"/>
        <v>785025543.84392476</v>
      </c>
      <c r="S22" s="2676"/>
      <c r="T22" s="2677"/>
      <c r="U22" s="3419" t="str">
        <f>IF(SUM(X22)=0,"NA",X22*1000/C22)</f>
        <v>NA</v>
      </c>
      <c r="V22" s="3417"/>
      <c r="W22" s="3418"/>
      <c r="X22" s="3282" t="s">
        <v>205</v>
      </c>
      <c r="Y22" s="3142"/>
      <c r="Z22" s="3420"/>
    </row>
    <row r="23" spans="2:26" ht="18" customHeight="1" x14ac:dyDescent="0.2">
      <c r="B23" s="2666" t="s">
        <v>966</v>
      </c>
      <c r="C23" s="3458">
        <f>Table3.A!C23</f>
        <v>328.767</v>
      </c>
      <c r="D23" s="3274">
        <v>75.297761305733857</v>
      </c>
      <c r="E23" s="3457">
        <f>'Table3.B(a)'!G23</f>
        <v>541.1875</v>
      </c>
      <c r="F23" s="3446">
        <v>445597.71074078098</v>
      </c>
      <c r="G23" s="3442" t="s">
        <v>199</v>
      </c>
      <c r="H23" s="3446" t="s">
        <v>199</v>
      </c>
      <c r="I23" s="3446">
        <v>8577062.7797655482</v>
      </c>
      <c r="J23" s="3446" t="s">
        <v>274</v>
      </c>
      <c r="K23" s="3446">
        <v>24755428.374487836</v>
      </c>
      <c r="L23" s="3446" t="s">
        <v>199</v>
      </c>
      <c r="M23" s="3446" t="s">
        <v>199</v>
      </c>
      <c r="N23" s="3446" t="s">
        <v>199</v>
      </c>
      <c r="O23" s="3446" t="s">
        <v>199</v>
      </c>
      <c r="P23" s="3446" t="s">
        <v>199</v>
      </c>
      <c r="Q23" s="3446" t="s">
        <v>199</v>
      </c>
      <c r="R23" s="3445">
        <f t="shared" si="8"/>
        <v>33778088.864994168</v>
      </c>
      <c r="S23" s="2676"/>
      <c r="T23" s="2677"/>
      <c r="U23" s="3419">
        <f t="shared" ref="U23:U30" si="9">IF(SUM(X23)=0,"NA",X23*1000/C23)</f>
        <v>0.84393719491819141</v>
      </c>
      <c r="V23" s="3417"/>
      <c r="W23" s="3418"/>
      <c r="X23" s="3282">
        <v>0.27745869976166904</v>
      </c>
      <c r="Y23" s="3142"/>
      <c r="Z23" s="3420"/>
    </row>
    <row r="24" spans="2:26" ht="18" customHeight="1" x14ac:dyDescent="0.2">
      <c r="B24" s="349" t="s">
        <v>1062</v>
      </c>
      <c r="C24" s="3281">
        <f>C25</f>
        <v>173738.038</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1216147672.4790273</v>
      </c>
      <c r="N24" s="2668" t="str">
        <f t="shared" si="10"/>
        <v>NO</v>
      </c>
      <c r="O24" s="2668" t="str">
        <f t="shared" si="10"/>
        <v>NO</v>
      </c>
      <c r="P24" s="2668" t="str">
        <f t="shared" si="10"/>
        <v>NO</v>
      </c>
      <c r="Q24" s="2668" t="str">
        <f t="shared" si="10"/>
        <v>NO</v>
      </c>
      <c r="R24" s="3445">
        <f t="shared" si="8"/>
        <v>1216147672.4790273</v>
      </c>
      <c r="S24" s="2676"/>
      <c r="T24" s="2677"/>
      <c r="U24" s="3419" t="str">
        <f t="shared" si="9"/>
        <v>NA</v>
      </c>
      <c r="V24" s="3417"/>
      <c r="W24" s="3418"/>
      <c r="X24" s="3281" t="str">
        <f t="shared" ref="X24:X25" si="11">X25</f>
        <v>NA</v>
      </c>
      <c r="Y24" s="3142"/>
      <c r="Z24" s="3420"/>
    </row>
    <row r="25" spans="2:26" ht="18" customHeight="1" x14ac:dyDescent="0.2">
      <c r="B25" s="348" t="s">
        <v>1063</v>
      </c>
      <c r="C25" s="3281">
        <f>C26</f>
        <v>173738.038</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1216147672.4790273</v>
      </c>
      <c r="N25" s="2668" t="str">
        <f t="shared" si="10"/>
        <v>NO</v>
      </c>
      <c r="O25" s="2668" t="str">
        <f t="shared" si="10"/>
        <v>NO</v>
      </c>
      <c r="P25" s="2668" t="str">
        <f t="shared" si="10"/>
        <v>NO</v>
      </c>
      <c r="Q25" s="2668" t="str">
        <f t="shared" si="10"/>
        <v>NO</v>
      </c>
      <c r="R25" s="3445">
        <f t="shared" si="8"/>
        <v>1216147672.4790273</v>
      </c>
      <c r="S25" s="2676"/>
      <c r="T25" s="2677"/>
      <c r="U25" s="3419" t="str">
        <f t="shared" si="9"/>
        <v>NA</v>
      </c>
      <c r="V25" s="3417"/>
      <c r="W25" s="3418"/>
      <c r="X25" s="3281" t="str">
        <f t="shared" si="11"/>
        <v>NA</v>
      </c>
      <c r="Y25" s="3142"/>
      <c r="Z25" s="3420"/>
    </row>
    <row r="26" spans="2:26" ht="18" customHeight="1" x14ac:dyDescent="0.2">
      <c r="B26" s="2661" t="s">
        <v>967</v>
      </c>
      <c r="C26" s="3458">
        <f>Table3.A!C26</f>
        <v>173738.038</v>
      </c>
      <c r="D26" s="3274">
        <v>6.9998929990862173</v>
      </c>
      <c r="E26" s="3457">
        <f>'Table3.B(a)'!G26</f>
        <v>46.030616188684803</v>
      </c>
      <c r="F26" s="3446" t="s">
        <v>199</v>
      </c>
      <c r="G26" s="3442" t="s">
        <v>199</v>
      </c>
      <c r="H26" s="3446" t="s">
        <v>199</v>
      </c>
      <c r="I26" s="3446" t="s">
        <v>199</v>
      </c>
      <c r="J26" s="3446" t="s">
        <v>199</v>
      </c>
      <c r="K26" s="3446" t="s">
        <v>199</v>
      </c>
      <c r="L26" s="3446" t="s">
        <v>199</v>
      </c>
      <c r="M26" s="3442">
        <v>1216147672.4790273</v>
      </c>
      <c r="N26" s="3446" t="s">
        <v>199</v>
      </c>
      <c r="O26" s="3446" t="s">
        <v>199</v>
      </c>
      <c r="P26" s="3446" t="s">
        <v>199</v>
      </c>
      <c r="Q26" s="3446" t="s">
        <v>199</v>
      </c>
      <c r="R26" s="3445">
        <f t="shared" si="8"/>
        <v>1216147672.4790273</v>
      </c>
      <c r="S26" s="2676"/>
      <c r="T26" s="2677"/>
      <c r="U26" s="3419" t="str">
        <f t="shared" si="9"/>
        <v>NA</v>
      </c>
      <c r="V26" s="3417"/>
      <c r="W26" s="3418"/>
      <c r="X26" s="3282" t="s">
        <v>205</v>
      </c>
      <c r="Y26" s="3142"/>
      <c r="Z26" s="3420"/>
    </row>
    <row r="27" spans="2:26" ht="18" customHeight="1" x14ac:dyDescent="0.2">
      <c r="B27" s="349" t="s">
        <v>1064</v>
      </c>
      <c r="C27" s="3281">
        <f>C28</f>
        <v>2689.9360000000001</v>
      </c>
      <c r="D27" s="3455"/>
      <c r="E27" s="3455"/>
      <c r="F27" s="2668">
        <f>F28</f>
        <v>40388242.04255116</v>
      </c>
      <c r="G27" s="2668" t="str">
        <f t="shared" ref="G27:G28" si="12">G28</f>
        <v>NO</v>
      </c>
      <c r="H27" s="2668" t="str">
        <f t="shared" ref="H27:H28" si="13">H28</f>
        <v>NO</v>
      </c>
      <c r="I27" s="2668" t="str">
        <f t="shared" ref="I27:I28" si="14">I28</f>
        <v>IE</v>
      </c>
      <c r="J27" s="2668" t="str">
        <f t="shared" ref="J27:J28" si="15">J28</f>
        <v>IE</v>
      </c>
      <c r="K27" s="2668">
        <f t="shared" ref="K27:K28" si="16">K28</f>
        <v>3298989.2079984602</v>
      </c>
      <c r="L27" s="2668" t="str">
        <f t="shared" ref="L27:L28" si="17">L28</f>
        <v>IE</v>
      </c>
      <c r="M27" s="2668" t="str">
        <f t="shared" ref="M27:M28" si="18">M28</f>
        <v>NO</v>
      </c>
      <c r="N27" s="2668" t="str">
        <f t="shared" ref="N27:N28" si="19">N28</f>
        <v>NO</v>
      </c>
      <c r="O27" s="2668">
        <f t="shared" ref="O27:O28" si="20">O28</f>
        <v>165850.06810867201</v>
      </c>
      <c r="P27" s="2668" t="str">
        <f t="shared" ref="P27:P28" si="21">P28</f>
        <v>NO</v>
      </c>
      <c r="Q27" s="2668">
        <f t="shared" ref="Q27:Q28" si="22">Q28</f>
        <v>1249321.9271331171</v>
      </c>
      <c r="R27" s="3445">
        <f t="shared" si="8"/>
        <v>45102403.245791413</v>
      </c>
      <c r="S27" s="2676"/>
      <c r="T27" s="2677"/>
      <c r="U27" s="3419">
        <f t="shared" si="9"/>
        <v>2.4566318754555273E-2</v>
      </c>
      <c r="V27" s="3417"/>
      <c r="W27" s="3418"/>
      <c r="X27" s="3281">
        <f t="shared" ref="X27:X28" si="23">X28</f>
        <v>6.6081825205353398E-2</v>
      </c>
      <c r="Y27" s="3142"/>
      <c r="Z27" s="3420"/>
    </row>
    <row r="28" spans="2:26" ht="18" customHeight="1" x14ac:dyDescent="0.2">
      <c r="B28" s="348" t="s">
        <v>1065</v>
      </c>
      <c r="C28" s="3281">
        <f>C29</f>
        <v>2689.9360000000001</v>
      </c>
      <c r="D28" s="3455"/>
      <c r="E28" s="3455"/>
      <c r="F28" s="2668">
        <f>F29</f>
        <v>40388242.04255116</v>
      </c>
      <c r="G28" s="2668" t="str">
        <f t="shared" si="12"/>
        <v>NO</v>
      </c>
      <c r="H28" s="2668" t="str">
        <f t="shared" si="13"/>
        <v>NO</v>
      </c>
      <c r="I28" s="2668" t="str">
        <f t="shared" si="14"/>
        <v>IE</v>
      </c>
      <c r="J28" s="2668" t="str">
        <f t="shared" si="15"/>
        <v>IE</v>
      </c>
      <c r="K28" s="2668">
        <f t="shared" si="16"/>
        <v>3298989.2079984602</v>
      </c>
      <c r="L28" s="2668" t="str">
        <f t="shared" si="17"/>
        <v>IE</v>
      </c>
      <c r="M28" s="2668" t="str">
        <f t="shared" si="18"/>
        <v>NO</v>
      </c>
      <c r="N28" s="2668" t="str">
        <f t="shared" si="19"/>
        <v>NO</v>
      </c>
      <c r="O28" s="2668">
        <f t="shared" si="20"/>
        <v>165850.06810867201</v>
      </c>
      <c r="P28" s="2668" t="str">
        <f t="shared" si="21"/>
        <v>NO</v>
      </c>
      <c r="Q28" s="2668">
        <f t="shared" si="22"/>
        <v>1249321.9271331171</v>
      </c>
      <c r="R28" s="3445">
        <f t="shared" si="8"/>
        <v>45102403.245791413</v>
      </c>
      <c r="S28" s="2676"/>
      <c r="T28" s="2677"/>
      <c r="U28" s="3419">
        <f t="shared" si="9"/>
        <v>2.4566318754555273E-2</v>
      </c>
      <c r="V28" s="3417"/>
      <c r="W28" s="3418"/>
      <c r="X28" s="3281">
        <f t="shared" si="23"/>
        <v>6.6081825205353398E-2</v>
      </c>
      <c r="Y28" s="3142"/>
      <c r="Z28" s="3420"/>
    </row>
    <row r="29" spans="2:26" ht="18" customHeight="1" x14ac:dyDescent="0.2">
      <c r="B29" s="2661" t="s">
        <v>968</v>
      </c>
      <c r="C29" s="3458">
        <f>Table3.A!C29</f>
        <v>2689.9360000000001</v>
      </c>
      <c r="D29" s="3274">
        <v>16.561313180778068</v>
      </c>
      <c r="E29" s="3457">
        <f>'Table3.B(a)'!G29</f>
        <v>53.511156610844736</v>
      </c>
      <c r="F29" s="3442">
        <v>40388242.04255116</v>
      </c>
      <c r="G29" s="3442" t="s">
        <v>199</v>
      </c>
      <c r="H29" s="3442" t="s">
        <v>199</v>
      </c>
      <c r="I29" s="3442" t="s">
        <v>274</v>
      </c>
      <c r="J29" s="3442" t="s">
        <v>274</v>
      </c>
      <c r="K29" s="3442">
        <v>3298989.2079984602</v>
      </c>
      <c r="L29" s="3442" t="s">
        <v>274</v>
      </c>
      <c r="M29" s="3442" t="s">
        <v>199</v>
      </c>
      <c r="N29" s="3442" t="s">
        <v>199</v>
      </c>
      <c r="O29" s="3442">
        <v>165850.06810867201</v>
      </c>
      <c r="P29" s="3442" t="s">
        <v>199</v>
      </c>
      <c r="Q29" s="3442">
        <v>1249321.9271331171</v>
      </c>
      <c r="R29" s="3445">
        <f t="shared" si="8"/>
        <v>45102403.245791413</v>
      </c>
      <c r="S29" s="2676"/>
      <c r="T29" s="2677"/>
      <c r="U29" s="3419">
        <f t="shared" si="9"/>
        <v>2.4566318754555273E-2</v>
      </c>
      <c r="V29" s="3417"/>
      <c r="W29" s="3418"/>
      <c r="X29" s="3282">
        <v>6.6081825205353398E-2</v>
      </c>
      <c r="Y29" s="3142"/>
      <c r="Z29" s="3420"/>
    </row>
    <row r="30" spans="2:26" ht="18" customHeight="1" x14ac:dyDescent="0.2">
      <c r="B30" s="349" t="s">
        <v>1116</v>
      </c>
      <c r="C30" s="3281">
        <f>IF(SUM(C32:C39)=0,"NO",SUM(C32:C39))</f>
        <v>43872.492000000006</v>
      </c>
      <c r="D30" s="3455"/>
      <c r="E30" s="3455"/>
      <c r="F30" s="2668" t="str">
        <f>IF(SUM(F32:F39)=0,"NO",SUM(F32:F39))</f>
        <v>NO</v>
      </c>
      <c r="G30" s="2668" t="str">
        <f t="shared" ref="G30:Q30" si="24">IF(SUM(G32:G39)=0,"NO",SUM(G32:G39))</f>
        <v>NO</v>
      </c>
      <c r="H30" s="2668" t="str">
        <f t="shared" si="24"/>
        <v>NO</v>
      </c>
      <c r="I30" s="2668">
        <f t="shared" si="24"/>
        <v>10264117.447521361</v>
      </c>
      <c r="J30" s="2668" t="str">
        <f t="shared" si="24"/>
        <v>NO</v>
      </c>
      <c r="K30" s="2668" t="str">
        <f t="shared" si="24"/>
        <v>NO</v>
      </c>
      <c r="L30" s="2668" t="str">
        <f t="shared" si="24"/>
        <v>NO</v>
      </c>
      <c r="M30" s="2668">
        <f t="shared" si="24"/>
        <v>20299740.645627614</v>
      </c>
      <c r="N30" s="2668">
        <f t="shared" si="24"/>
        <v>4098132.7789137396</v>
      </c>
      <c r="O30" s="2668">
        <f t="shared" si="24"/>
        <v>76487.712844551119</v>
      </c>
      <c r="P30" s="2668" t="str">
        <f t="shared" si="24"/>
        <v>NO</v>
      </c>
      <c r="Q30" s="2668">
        <f t="shared" si="24"/>
        <v>32526270.97514366</v>
      </c>
      <c r="R30" s="3445">
        <f t="shared" si="8"/>
        <v>67264749.56005092</v>
      </c>
      <c r="S30" s="2676"/>
      <c r="T30" s="2677"/>
      <c r="U30" s="3419">
        <f t="shared" si="9"/>
        <v>4.3081696079642316E-3</v>
      </c>
      <c r="V30" s="3417"/>
      <c r="W30" s="3418"/>
      <c r="X30" s="3281">
        <f t="shared" ref="X30" si="25">IF(SUM(X32:X39)=0,"NO",SUM(X32:X39))</f>
        <v>0.18901013666005392</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13.398999999999999</v>
      </c>
      <c r="D32" s="3274">
        <v>39.5</v>
      </c>
      <c r="E32" s="3457" t="str">
        <f>'Table3.B(a)'!G32</f>
        <v>NA</v>
      </c>
      <c r="F32" s="3442" t="s">
        <v>199</v>
      </c>
      <c r="G32" s="3442" t="s">
        <v>199</v>
      </c>
      <c r="H32" s="3442" t="s">
        <v>199</v>
      </c>
      <c r="I32" s="3442" t="s">
        <v>199</v>
      </c>
      <c r="J32" s="3442" t="s">
        <v>199</v>
      </c>
      <c r="K32" s="3442" t="s">
        <v>199</v>
      </c>
      <c r="L32" s="3442" t="s">
        <v>199</v>
      </c>
      <c r="M32" s="3442">
        <v>529260.5</v>
      </c>
      <c r="N32" s="3442" t="s">
        <v>199</v>
      </c>
      <c r="O32" s="3442" t="s">
        <v>199</v>
      </c>
      <c r="P32" s="3442" t="s">
        <v>199</v>
      </c>
      <c r="Q32" s="3442" t="s">
        <v>199</v>
      </c>
      <c r="R32" s="3445">
        <f t="shared" si="8"/>
        <v>529260.5</v>
      </c>
      <c r="S32" s="2676"/>
      <c r="T32" s="2677"/>
      <c r="U32" s="3419" t="str">
        <f>IF(SUM(X32)=0,"NA",X32*1000/C32)</f>
        <v>NA</v>
      </c>
      <c r="V32" s="3417"/>
      <c r="W32" s="3418"/>
      <c r="X32" s="3282" t="s">
        <v>205</v>
      </c>
      <c r="Y32" s="3142"/>
      <c r="Z32" s="3420"/>
    </row>
    <row r="33" spans="2:26" ht="18" customHeight="1" x14ac:dyDescent="0.2">
      <c r="B33" s="348" t="s">
        <v>1068</v>
      </c>
      <c r="C33" s="3458">
        <f>Table3.A!C33</f>
        <v>0.68400000000000005</v>
      </c>
      <c r="D33" s="3274">
        <v>39.5</v>
      </c>
      <c r="E33" s="3457" t="str">
        <f>'Table3.B(a)'!G33</f>
        <v>NA</v>
      </c>
      <c r="F33" s="3442" t="s">
        <v>199</v>
      </c>
      <c r="G33" s="3442" t="s">
        <v>199</v>
      </c>
      <c r="H33" s="3442" t="s">
        <v>199</v>
      </c>
      <c r="I33" s="3442" t="s">
        <v>199</v>
      </c>
      <c r="J33" s="3442" t="s">
        <v>199</v>
      </c>
      <c r="K33" s="3442" t="s">
        <v>199</v>
      </c>
      <c r="L33" s="3442" t="s">
        <v>199</v>
      </c>
      <c r="M33" s="3442">
        <v>27011.995999999999</v>
      </c>
      <c r="N33" s="3442" t="s">
        <v>199</v>
      </c>
      <c r="O33" s="3442" t="s">
        <v>199</v>
      </c>
      <c r="P33" s="3442" t="s">
        <v>199</v>
      </c>
      <c r="Q33" s="3442" t="s">
        <v>199</v>
      </c>
      <c r="R33" s="3445">
        <f t="shared" si="8"/>
        <v>27011.995999999999</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61.372</v>
      </c>
      <c r="D34" s="3274">
        <v>13.2</v>
      </c>
      <c r="E34" s="3457" t="str">
        <f>'Table3.B(a)'!G34</f>
        <v>NA</v>
      </c>
      <c r="F34" s="3442" t="s">
        <v>199</v>
      </c>
      <c r="G34" s="3442" t="s">
        <v>199</v>
      </c>
      <c r="H34" s="3442" t="s">
        <v>199</v>
      </c>
      <c r="I34" s="3442" t="s">
        <v>199</v>
      </c>
      <c r="J34" s="3442" t="s">
        <v>199</v>
      </c>
      <c r="K34" s="3442" t="s">
        <v>199</v>
      </c>
      <c r="L34" s="3442" t="s">
        <v>199</v>
      </c>
      <c r="M34" s="3442">
        <v>810106.58519999997</v>
      </c>
      <c r="N34" s="3442" t="s">
        <v>199</v>
      </c>
      <c r="O34" s="3442" t="s">
        <v>199</v>
      </c>
      <c r="P34" s="3442" t="s">
        <v>199</v>
      </c>
      <c r="Q34" s="3442" t="s">
        <v>199</v>
      </c>
      <c r="R34" s="3445">
        <f t="shared" si="8"/>
        <v>810106.58519999997</v>
      </c>
      <c r="S34" s="2676"/>
      <c r="T34" s="2677"/>
      <c r="U34" s="3419" t="str">
        <f t="shared" si="26"/>
        <v>NA</v>
      </c>
      <c r="V34" s="3417"/>
      <c r="W34" s="3418"/>
      <c r="X34" s="3282" t="s">
        <v>205</v>
      </c>
      <c r="Y34" s="3142"/>
      <c r="Z34" s="3420"/>
    </row>
    <row r="35" spans="2:26" ht="18" customHeight="1" x14ac:dyDescent="0.2">
      <c r="B35" s="348" t="s">
        <v>1070</v>
      </c>
      <c r="C35" s="3458">
        <f>Table3.A!C35</f>
        <v>660.6</v>
      </c>
      <c r="D35" s="3274">
        <v>7</v>
      </c>
      <c r="E35" s="3457" t="str">
        <f>'Table3.B(a)'!G35</f>
        <v>NA</v>
      </c>
      <c r="F35" s="3442" t="s">
        <v>199</v>
      </c>
      <c r="G35" s="3442" t="s">
        <v>199</v>
      </c>
      <c r="H35" s="3442" t="s">
        <v>199</v>
      </c>
      <c r="I35" s="3442" t="s">
        <v>199</v>
      </c>
      <c r="J35" s="3442" t="s">
        <v>199</v>
      </c>
      <c r="K35" s="3442" t="s">
        <v>199</v>
      </c>
      <c r="L35" s="3442" t="s">
        <v>199</v>
      </c>
      <c r="M35" s="3442">
        <v>4624202.0439999998</v>
      </c>
      <c r="N35" s="3442" t="s">
        <v>199</v>
      </c>
      <c r="O35" s="3442" t="s">
        <v>199</v>
      </c>
      <c r="P35" s="3442" t="s">
        <v>199</v>
      </c>
      <c r="Q35" s="3442" t="s">
        <v>199</v>
      </c>
      <c r="R35" s="3445">
        <f t="shared" si="8"/>
        <v>4624202.0439999998</v>
      </c>
      <c r="S35" s="2676"/>
      <c r="T35" s="2677"/>
      <c r="U35" s="3419" t="str">
        <f t="shared" si="26"/>
        <v>NA</v>
      </c>
      <c r="V35" s="3417"/>
      <c r="W35" s="3418"/>
      <c r="X35" s="3282" t="s">
        <v>205</v>
      </c>
      <c r="Y35" s="3142"/>
      <c r="Z35" s="3420"/>
    </row>
    <row r="36" spans="2:26" ht="18" customHeight="1" x14ac:dyDescent="0.2">
      <c r="B36" s="348" t="s">
        <v>1071</v>
      </c>
      <c r="C36" s="3458">
        <f>Table3.A!C36</f>
        <v>359.27</v>
      </c>
      <c r="D36" s="3274">
        <v>39.5</v>
      </c>
      <c r="E36" s="3457" t="str">
        <f>'Table3.B(a)'!G36</f>
        <v>NA</v>
      </c>
      <c r="F36" s="3442" t="s">
        <v>199</v>
      </c>
      <c r="G36" s="3442" t="s">
        <v>199</v>
      </c>
      <c r="H36" s="3442" t="s">
        <v>199</v>
      </c>
      <c r="I36" s="3442" t="s">
        <v>199</v>
      </c>
      <c r="J36" s="3442" t="s">
        <v>199</v>
      </c>
      <c r="K36" s="3442" t="s">
        <v>199</v>
      </c>
      <c r="L36" s="3442" t="s">
        <v>199</v>
      </c>
      <c r="M36" s="3442">
        <v>14191161.7215</v>
      </c>
      <c r="N36" s="3442" t="s">
        <v>199</v>
      </c>
      <c r="O36" s="3442" t="s">
        <v>199</v>
      </c>
      <c r="P36" s="3442" t="s">
        <v>199</v>
      </c>
      <c r="Q36" s="3442" t="s">
        <v>199</v>
      </c>
      <c r="R36" s="3445">
        <f t="shared" si="8"/>
        <v>14191161.7215</v>
      </c>
      <c r="S36" s="2676"/>
      <c r="T36" s="2677"/>
      <c r="U36" s="3419" t="str">
        <f t="shared" si="26"/>
        <v>NA</v>
      </c>
      <c r="V36" s="3417"/>
      <c r="W36" s="3418"/>
      <c r="X36" s="3282" t="s">
        <v>205</v>
      </c>
      <c r="Y36" s="3142"/>
      <c r="Z36" s="3420"/>
    </row>
    <row r="37" spans="2:26" ht="18" customHeight="1" x14ac:dyDescent="0.2">
      <c r="B37" s="348" t="s">
        <v>1117</v>
      </c>
      <c r="C37" s="3458">
        <f>Table3.A!C37</f>
        <v>2.734</v>
      </c>
      <c r="D37" s="3274">
        <v>13.2</v>
      </c>
      <c r="E37" s="3457" t="str">
        <f>'Table3.B(a)'!G37</f>
        <v>NA</v>
      </c>
      <c r="F37" s="3442" t="s">
        <v>199</v>
      </c>
      <c r="G37" s="3442" t="s">
        <v>199</v>
      </c>
      <c r="H37" s="3442" t="s">
        <v>199</v>
      </c>
      <c r="I37" s="3442" t="s">
        <v>199</v>
      </c>
      <c r="J37" s="3442" t="s">
        <v>199</v>
      </c>
      <c r="K37" s="3442" t="s">
        <v>199</v>
      </c>
      <c r="L37" s="3442" t="s">
        <v>199</v>
      </c>
      <c r="M37" s="3442">
        <v>36089.565599999994</v>
      </c>
      <c r="N37" s="3442" t="s">
        <v>199</v>
      </c>
      <c r="O37" s="3442" t="s">
        <v>199</v>
      </c>
      <c r="P37" s="3442" t="s">
        <v>199</v>
      </c>
      <c r="Q37" s="3442" t="s">
        <v>199</v>
      </c>
      <c r="R37" s="3445">
        <f t="shared" si="8"/>
        <v>36089.565599999994</v>
      </c>
      <c r="S37" s="2676"/>
      <c r="T37" s="2677"/>
      <c r="U37" s="3419" t="str">
        <f t="shared" si="26"/>
        <v>NA</v>
      </c>
      <c r="V37" s="3417"/>
      <c r="W37" s="3418"/>
      <c r="X37" s="3282" t="s">
        <v>205</v>
      </c>
      <c r="Y37" s="3142"/>
      <c r="Z37" s="3420"/>
    </row>
    <row r="38" spans="2:26" ht="18" customHeight="1" x14ac:dyDescent="0.2">
      <c r="B38" s="348" t="s">
        <v>1073</v>
      </c>
      <c r="C38" s="3458">
        <f>Table3.A!C38</f>
        <v>42770.044000000002</v>
      </c>
      <c r="D38" s="3274">
        <v>0.65532894540425002</v>
      </c>
      <c r="E38" s="3457" t="str">
        <f>'Table3.B(a)'!G38</f>
        <v>NA</v>
      </c>
      <c r="F38" s="3442" t="s">
        <v>199</v>
      </c>
      <c r="G38" s="3442" t="s">
        <v>199</v>
      </c>
      <c r="H38" s="3442" t="s">
        <v>199</v>
      </c>
      <c r="I38" s="3442">
        <v>10264117.447521361</v>
      </c>
      <c r="J38" s="3442" t="s">
        <v>274</v>
      </c>
      <c r="K38" s="3442" t="s">
        <v>274</v>
      </c>
      <c r="L38" s="3442" t="s">
        <v>274</v>
      </c>
      <c r="M38" s="3442">
        <v>51185.233327617265</v>
      </c>
      <c r="N38" s="3442">
        <v>4098132.7789137396</v>
      </c>
      <c r="O38" s="3442">
        <v>76487.712844551119</v>
      </c>
      <c r="P38" s="3442" t="s">
        <v>199</v>
      </c>
      <c r="Q38" s="3442">
        <v>32526270.97514366</v>
      </c>
      <c r="R38" s="3445">
        <f t="shared" si="8"/>
        <v>47016194.147750929</v>
      </c>
      <c r="S38" s="2676"/>
      <c r="T38" s="2677"/>
      <c r="U38" s="3419">
        <f t="shared" si="26"/>
        <v>4.4192177277174163E-3</v>
      </c>
      <c r="V38" s="3417"/>
      <c r="W38" s="3418"/>
      <c r="X38" s="3282">
        <v>0.18901013666005392</v>
      </c>
      <c r="Y38" s="3142"/>
      <c r="Z38" s="3420"/>
    </row>
    <row r="39" spans="2:26" ht="18" customHeight="1" x14ac:dyDescent="0.2">
      <c r="B39" s="348" t="s">
        <v>1074</v>
      </c>
      <c r="C39" s="3281">
        <f>IF(SUM(C41:C45)=0,"NO",SUM(C41:C45))</f>
        <v>4.3890000000000002</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30723</v>
      </c>
      <c r="N39" s="2668" t="str">
        <f t="shared" si="27"/>
        <v>NO</v>
      </c>
      <c r="O39" s="2668" t="str">
        <f t="shared" si="27"/>
        <v>NO</v>
      </c>
      <c r="P39" s="2668" t="str">
        <f t="shared" si="27"/>
        <v>NO</v>
      </c>
      <c r="Q39" s="2668" t="str">
        <f t="shared" si="27"/>
        <v>NO</v>
      </c>
      <c r="R39" s="3445">
        <f t="shared" si="8"/>
        <v>30723</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4.0590000000000002</v>
      </c>
      <c r="D43" s="3274">
        <v>7</v>
      </c>
      <c r="E43" s="3457" t="str">
        <f>'Table3.B(a)'!G43</f>
        <v>NA</v>
      </c>
      <c r="F43" s="3442" t="s">
        <v>199</v>
      </c>
      <c r="G43" s="3442" t="s">
        <v>199</v>
      </c>
      <c r="H43" s="3442" t="s">
        <v>199</v>
      </c>
      <c r="I43" s="3442" t="s">
        <v>199</v>
      </c>
      <c r="J43" s="3442" t="s">
        <v>199</v>
      </c>
      <c r="K43" s="3442" t="s">
        <v>199</v>
      </c>
      <c r="L43" s="3442" t="s">
        <v>199</v>
      </c>
      <c r="M43" s="3442">
        <v>28413</v>
      </c>
      <c r="N43" s="3442" t="s">
        <v>199</v>
      </c>
      <c r="O43" s="3442" t="s">
        <v>199</v>
      </c>
      <c r="P43" s="3442" t="s">
        <v>199</v>
      </c>
      <c r="Q43" s="3442" t="s">
        <v>199</v>
      </c>
      <c r="R43" s="3445">
        <f t="shared" si="8"/>
        <v>28413</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0.33</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2310</v>
      </c>
      <c r="N45" s="2668" t="str">
        <f t="shared" si="28"/>
        <v>NO</v>
      </c>
      <c r="O45" s="2668" t="str">
        <f t="shared" si="28"/>
        <v>NO</v>
      </c>
      <c r="P45" s="2668" t="str">
        <f t="shared" si="28"/>
        <v>NO</v>
      </c>
      <c r="Q45" s="2668" t="str">
        <f t="shared" si="28"/>
        <v>NO</v>
      </c>
      <c r="R45" s="3445">
        <f t="shared" si="8"/>
        <v>2310</v>
      </c>
      <c r="S45" s="2676"/>
      <c r="T45" s="2677"/>
      <c r="U45" s="3419" t="str">
        <f t="shared" si="26"/>
        <v>NA</v>
      </c>
      <c r="V45" s="3417"/>
      <c r="W45" s="3418"/>
      <c r="X45" s="3281" t="str">
        <f>X46</f>
        <v>NA</v>
      </c>
      <c r="Y45" s="3142"/>
      <c r="Z45" s="3420"/>
    </row>
    <row r="46" spans="2:26" ht="18" customHeight="1" x14ac:dyDescent="0.2">
      <c r="B46" s="2665" t="s">
        <v>1013</v>
      </c>
      <c r="C46" s="3458">
        <f>Table3.A!C46</f>
        <v>0.33</v>
      </c>
      <c r="D46" s="3274">
        <v>7</v>
      </c>
      <c r="E46" s="3457" t="str">
        <f>'Table3.B(a)'!G46</f>
        <v>NA</v>
      </c>
      <c r="F46" s="3442" t="s">
        <v>199</v>
      </c>
      <c r="G46" s="3442" t="s">
        <v>199</v>
      </c>
      <c r="H46" s="3442" t="s">
        <v>199</v>
      </c>
      <c r="I46" s="3442" t="s">
        <v>199</v>
      </c>
      <c r="J46" s="3442" t="s">
        <v>199</v>
      </c>
      <c r="K46" s="3442" t="s">
        <v>199</v>
      </c>
      <c r="L46" s="3442" t="s">
        <v>199</v>
      </c>
      <c r="M46" s="3442">
        <v>2310</v>
      </c>
      <c r="N46" s="3442" t="s">
        <v>199</v>
      </c>
      <c r="O46" s="3442" t="s">
        <v>199</v>
      </c>
      <c r="P46" s="3442" t="s">
        <v>199</v>
      </c>
      <c r="Q46" s="3442" t="s">
        <v>199</v>
      </c>
      <c r="R46" s="3445">
        <f t="shared" si="8"/>
        <v>2310</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59150974.441188373</v>
      </c>
      <c r="T47" s="3410">
        <v>165761.56733123714</v>
      </c>
      <c r="U47" s="3429"/>
      <c r="V47" s="3430">
        <f>IF(SUM(S47)=0,"NA",Y47*1000000/S47)</f>
        <v>6.289955658965664E-3</v>
      </c>
      <c r="W47" s="3431">
        <f>IF(SUM(T47)=0,"NA",Z47*1000000/T47)</f>
        <v>1.7285714285714279E-2</v>
      </c>
      <c r="X47" s="3283"/>
      <c r="Y47" s="3287">
        <v>0.37205700641968614</v>
      </c>
      <c r="Z47" s="3288">
        <v>2.8653070924399555E-3</v>
      </c>
    </row>
    <row r="48" spans="2:26" ht="18" customHeight="1" x14ac:dyDescent="0.2">
      <c r="B48" s="356" t="s">
        <v>1119</v>
      </c>
      <c r="C48" s="357"/>
      <c r="D48" s="357"/>
      <c r="E48" s="357"/>
      <c r="F48" s="3448">
        <f>IF(SUM(F30,F27,F24,F10)=0,"NO",SUM(F30,F27,F24,F10))</f>
        <v>50098348.542491943</v>
      </c>
      <c r="G48" s="3448" t="str">
        <f t="shared" ref="G48:Q48" si="29">IF(SUM(G30,G27,G24,G10)=0,"NO",SUM(G30,G27,G24,G10))</f>
        <v>NO</v>
      </c>
      <c r="H48" s="3448">
        <f t="shared" si="29"/>
        <v>17437411.910971083</v>
      </c>
      <c r="I48" s="3448">
        <f t="shared" si="29"/>
        <v>22021858.969248608</v>
      </c>
      <c r="J48" s="3448" t="str">
        <f t="shared" si="29"/>
        <v>NO</v>
      </c>
      <c r="K48" s="3448">
        <f t="shared" si="29"/>
        <v>28054417.582486294</v>
      </c>
      <c r="L48" s="3448" t="str">
        <f t="shared" si="29"/>
        <v>NO</v>
      </c>
      <c r="M48" s="3374"/>
      <c r="N48" s="3448">
        <f t="shared" si="29"/>
        <v>4098132.7789137396</v>
      </c>
      <c r="O48" s="3448">
        <f t="shared" si="29"/>
        <v>242337.78095322312</v>
      </c>
      <c r="P48" s="3374"/>
      <c r="Q48" s="3448">
        <f t="shared" si="29"/>
        <v>33775592.902276777</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1.9964315493421592E-2</v>
      </c>
      <c r="J49" s="3449" t="str">
        <f t="shared" si="30"/>
        <v>NA</v>
      </c>
      <c r="K49" s="3449" t="str">
        <f t="shared" si="30"/>
        <v>NA</v>
      </c>
      <c r="L49" s="3449" t="str">
        <f t="shared" si="30"/>
        <v>NA</v>
      </c>
      <c r="M49" s="87"/>
      <c r="N49" s="3449">
        <f t="shared" si="30"/>
        <v>1.5714285714285712E-2</v>
      </c>
      <c r="O49" s="3449" t="str">
        <f t="shared" si="30"/>
        <v>NA</v>
      </c>
      <c r="P49" s="87"/>
      <c r="Q49" s="3449">
        <f t="shared" si="30"/>
        <v>1.5837216964175245E-3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0.43965134021371521</v>
      </c>
      <c r="J50" s="3450" t="s">
        <v>274</v>
      </c>
      <c r="K50" s="3450" t="s">
        <v>274</v>
      </c>
      <c r="L50" s="3450" t="s">
        <v>274</v>
      </c>
      <c r="M50" s="3437"/>
      <c r="N50" s="3451">
        <v>6.4399229382930176E-2</v>
      </c>
      <c r="O50" s="3451" t="s">
        <v>205</v>
      </c>
      <c r="P50" s="3437"/>
      <c r="Q50" s="3451">
        <v>5.3491139288701479E-2</v>
      </c>
      <c r="R50" s="1311"/>
      <c r="S50" s="1312"/>
      <c r="T50" s="1313"/>
      <c r="U50" s="3436">
        <f>X50*1000/SUM(C10,C24,C27,C30)</f>
        <v>2.2743928781303506E-3</v>
      </c>
      <c r="V50" s="3437"/>
      <c r="W50" s="3438"/>
      <c r="X50" s="3286">
        <f>SUM(X10,X24,X27,X30)</f>
        <v>0.55754170888534682</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1" t="s">
        <v>1122</v>
      </c>
      <c r="C68" s="4522"/>
      <c r="D68" s="4522"/>
      <c r="E68" s="4522"/>
      <c r="F68" s="4522"/>
      <c r="G68" s="4522"/>
      <c r="H68" s="4522"/>
      <c r="I68" s="4522"/>
      <c r="J68" s="4522"/>
      <c r="K68" s="4522"/>
      <c r="L68" s="4522"/>
      <c r="M68" s="4522"/>
      <c r="N68" s="4522"/>
      <c r="O68" s="4522"/>
      <c r="P68" s="4522"/>
      <c r="Q68" s="4522"/>
      <c r="R68" s="4522"/>
      <c r="S68" s="4522"/>
      <c r="T68" s="4522"/>
      <c r="U68" s="4522"/>
      <c r="V68" s="4522"/>
      <c r="W68" s="4522"/>
      <c r="X68" s="4522"/>
      <c r="Y68" s="4522"/>
      <c r="Z68" s="4523"/>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2459</v>
      </c>
    </row>
    <row r="2" spans="1:9" ht="15.75" customHeight="1" x14ac:dyDescent="0.2">
      <c r="B2" s="3" t="s">
        <v>1124</v>
      </c>
      <c r="G2" s="14" t="s">
        <v>2460</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19.024842145513141</v>
      </c>
    </row>
    <row r="11" spans="1:9" ht="18" customHeight="1" x14ac:dyDescent="0.2">
      <c r="B11" s="432" t="s">
        <v>1133</v>
      </c>
      <c r="C11" s="4462">
        <v>1.1972839613287063</v>
      </c>
      <c r="D11" s="243" t="s">
        <v>199</v>
      </c>
      <c r="E11" s="283" t="s">
        <v>199</v>
      </c>
      <c r="F11" s="2330">
        <f>IF(SUM(C11)=0,"NA",G11/C11)</f>
        <v>15.889999999999999</v>
      </c>
      <c r="G11" s="3072">
        <v>19.024842145513141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1.1972839613287063</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13" workbookViewId="0">
      <selection activeCell="D18" sqref="D18"/>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2459</v>
      </c>
    </row>
    <row r="2" spans="2:10" ht="17.25" x14ac:dyDescent="0.2">
      <c r="B2" s="213" t="s">
        <v>1147</v>
      </c>
      <c r="C2" s="213"/>
      <c r="F2" s="14" t="s">
        <v>2460</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27.986595898492002</v>
      </c>
      <c r="H10" s="395" t="s">
        <v>1157</v>
      </c>
      <c r="I10" s="396" t="s">
        <v>1158</v>
      </c>
      <c r="J10" s="397">
        <v>0.21</v>
      </c>
    </row>
    <row r="11" spans="2:10" ht="24" customHeight="1" x14ac:dyDescent="0.2">
      <c r="B11" s="2453" t="s">
        <v>1159</v>
      </c>
      <c r="C11" s="2454" t="s">
        <v>1160</v>
      </c>
      <c r="D11" s="3639">
        <v>440000.00000000006</v>
      </c>
      <c r="E11" s="3634">
        <f>IF(SUM(D11)=0,"NA",F11*1000/D11/(44/28))</f>
        <v>7.006800997831155E-3</v>
      </c>
      <c r="F11" s="3390">
        <v>4.8447024042146847</v>
      </c>
      <c r="H11" s="395" t="s">
        <v>1161</v>
      </c>
      <c r="I11" s="396" t="s">
        <v>1162</v>
      </c>
      <c r="J11" s="397">
        <v>0.24</v>
      </c>
    </row>
    <row r="12" spans="2:10" ht="24" customHeight="1" x14ac:dyDescent="0.2">
      <c r="B12" s="2453" t="s">
        <v>1163</v>
      </c>
      <c r="C12" s="2455" t="s">
        <v>1164</v>
      </c>
      <c r="D12" s="3640">
        <f>IF(SUM(D13:D15)=0,"NO",SUM(D13:D15))</f>
        <v>72894.01381711576</v>
      </c>
      <c r="E12" s="3635">
        <f t="shared" ref="E12:E23" si="0">IF(SUM(D12)=0,"NA",F12*1000/D12/(44/28))</f>
        <v>8.21568652407049E-3</v>
      </c>
      <c r="F12" s="3391">
        <f>IF(SUM(F13:F15)=0,"NO",SUM(F13:F15))</f>
        <v>0.94108829100422098</v>
      </c>
      <c r="H12" s="4233" t="s">
        <v>1165</v>
      </c>
      <c r="I12" s="4234"/>
      <c r="J12" s="4235"/>
    </row>
    <row r="13" spans="2:10" ht="24" customHeight="1" thickBot="1" x14ac:dyDescent="0.25">
      <c r="B13" s="2453" t="s">
        <v>1166</v>
      </c>
      <c r="C13" s="2454" t="s">
        <v>1167</v>
      </c>
      <c r="D13" s="3641">
        <v>66795.211557885879</v>
      </c>
      <c r="E13" s="3634">
        <f t="shared" si="0"/>
        <v>8.1440740134222072E-3</v>
      </c>
      <c r="F13" s="3390">
        <v>0.85483380190939828</v>
      </c>
      <c r="H13" s="4236"/>
      <c r="I13" s="4237"/>
      <c r="J13" s="4238"/>
    </row>
    <row r="14" spans="2:10" ht="24" customHeight="1" x14ac:dyDescent="0.2">
      <c r="B14" s="2453" t="s">
        <v>1168</v>
      </c>
      <c r="C14" s="2454" t="s">
        <v>1169</v>
      </c>
      <c r="D14" s="3641">
        <v>6098.8022592298857</v>
      </c>
      <c r="E14" s="3634">
        <f t="shared" si="0"/>
        <v>8.9999999999999993E-3</v>
      </c>
      <c r="F14" s="3390">
        <v>8.6254489094822653E-2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2283776.0499089798</v>
      </c>
      <c r="E16" s="3634">
        <f t="shared" si="0"/>
        <v>4.0000000000000001E-3</v>
      </c>
      <c r="F16" s="3390">
        <v>14.355163742285017</v>
      </c>
    </row>
    <row r="17" spans="2:11" ht="24" customHeight="1" x14ac:dyDescent="0.2">
      <c r="B17" s="2453" t="s">
        <v>1176</v>
      </c>
      <c r="C17" s="2454" t="s">
        <v>1177</v>
      </c>
      <c r="D17" s="3641">
        <v>587992.45227769937</v>
      </c>
      <c r="E17" s="3634">
        <f t="shared" si="0"/>
        <v>5.0299999999999997E-3</v>
      </c>
      <c r="F17" s="3390">
        <v>4.6476603406464436</v>
      </c>
    </row>
    <row r="18" spans="2:11" ht="24" customHeight="1" x14ac:dyDescent="0.2">
      <c r="B18" s="2453" t="s">
        <v>1178</v>
      </c>
      <c r="C18" s="2454" t="s">
        <v>1179</v>
      </c>
      <c r="D18" s="3641">
        <v>482702.16945435584</v>
      </c>
      <c r="E18" s="3636">
        <f t="shared" si="0"/>
        <v>4.1000000000000003E-3</v>
      </c>
      <c r="F18" s="3392">
        <v>3.1099811203416357</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10.029546413718725</v>
      </c>
    </row>
    <row r="22" spans="2:11" ht="24" customHeight="1" x14ac:dyDescent="0.2">
      <c r="B22" s="2457" t="s">
        <v>1184</v>
      </c>
      <c r="C22" s="2454" t="s">
        <v>1185</v>
      </c>
      <c r="D22" s="3641">
        <v>543300.71338247985</v>
      </c>
      <c r="E22" s="3634">
        <f t="shared" si="0"/>
        <v>2.7598169642728018E-3</v>
      </c>
      <c r="F22" s="3390">
        <v>2.3562165400627593</v>
      </c>
    </row>
    <row r="23" spans="2:11" ht="24" customHeight="1" thickBot="1" x14ac:dyDescent="0.25">
      <c r="B23" s="406" t="s">
        <v>1186</v>
      </c>
      <c r="C23" s="407" t="s">
        <v>1187</v>
      </c>
      <c r="D23" s="3643">
        <v>443911.64558340301</v>
      </c>
      <c r="E23" s="3638">
        <f t="shared" si="0"/>
        <v>1.0999999999999998E-2</v>
      </c>
      <c r="F23" s="3394">
        <v>7.6733298736559652</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4" t="s">
        <v>1188</v>
      </c>
      <c r="C44" s="4525"/>
      <c r="D44" s="4525"/>
      <c r="E44" s="4525"/>
      <c r="F44" s="4526"/>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2459</v>
      </c>
    </row>
    <row r="2" spans="2:11" ht="15.75" customHeight="1" x14ac:dyDescent="0.25">
      <c r="B2" s="13" t="s">
        <v>1190</v>
      </c>
      <c r="K2" s="14" t="s">
        <v>2460</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4" t="s">
        <v>1203</v>
      </c>
      <c r="C27" s="4495"/>
      <c r="D27" s="4495"/>
      <c r="E27" s="4495"/>
      <c r="F27" s="4495"/>
      <c r="G27" s="4495"/>
      <c r="H27" s="4495"/>
      <c r="I27" s="4495"/>
      <c r="J27" s="4495"/>
      <c r="K27" s="4496"/>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2459</v>
      </c>
    </row>
    <row r="2" spans="2:24" ht="15.75" x14ac:dyDescent="0.25">
      <c r="B2" s="208" t="s">
        <v>1205</v>
      </c>
      <c r="C2" s="208"/>
      <c r="D2" s="208"/>
      <c r="J2" s="14" t="s">
        <v>2460</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14214495</v>
      </c>
      <c r="N9" s="4167">
        <v>4044166</v>
      </c>
      <c r="O9" s="4167">
        <v>218731</v>
      </c>
      <c r="P9" s="4168">
        <v>945652</v>
      </c>
      <c r="Q9" s="4168">
        <v>1640404</v>
      </c>
      <c r="R9" s="4168">
        <v>243883.29289812487</v>
      </c>
      <c r="S9" s="4168">
        <v>846064.99999999988</v>
      </c>
      <c r="T9" s="4168">
        <v>159863.00000000003</v>
      </c>
      <c r="U9" s="4168">
        <v>1435844.615</v>
      </c>
      <c r="V9" s="4168">
        <v>27623103.000000004</v>
      </c>
      <c r="W9" s="4168">
        <v>18485.475999999999</v>
      </c>
      <c r="X9" s="4169">
        <v>172418</v>
      </c>
    </row>
    <row r="10" spans="2:24" ht="18" customHeight="1" thickTop="1" x14ac:dyDescent="0.2">
      <c r="B10" s="430" t="s">
        <v>1226</v>
      </c>
      <c r="C10" s="374"/>
      <c r="D10" s="431"/>
      <c r="E10" s="431"/>
      <c r="F10" s="4137">
        <f>IF(SUM(F11:F14)=0,"NO",SUM(F11:F14))</f>
        <v>4961.1759530787886</v>
      </c>
      <c r="G10" s="4138">
        <f>IF(SUM($F10)=0,"NA",I10/$F10*1000)</f>
        <v>1.880507423002558</v>
      </c>
      <c r="H10" s="4139">
        <f>IF(SUM($F10)=0,"NA",J10/$F10*1000)</f>
        <v>7.5619091361585192E-2</v>
      </c>
      <c r="I10" s="3161">
        <f>IF(SUM(I11:I14)=0,"NO",SUM(I11:I14))</f>
        <v>9.3295282065864527</v>
      </c>
      <c r="J10" s="416">
        <f>IF(SUM(J11:J14)=0,"NO",SUM(J11:J14))</f>
        <v>0.37515961765676437</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2961.6795708616487</v>
      </c>
      <c r="G11" s="4141">
        <f>IF(SUM($F11)=0,"NA",I11/$F11*1000)</f>
        <v>1.8666666666666669</v>
      </c>
      <c r="H11" s="4142">
        <f>IF(SUM($F11)=0,"NA",J11/$F11*1000)</f>
        <v>7.1657142857142864E-2</v>
      </c>
      <c r="I11" s="3291">
        <v>5.5284685322750784</v>
      </c>
      <c r="J11" s="3292">
        <v>0.21222549610631472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691.75726464604554</v>
      </c>
      <c r="G12" s="4143">
        <f t="shared" ref="G12:G28" si="0">IF(SUM($F12)=0,"NA",I12/$F12*1000)</f>
        <v>1.8666666666666667</v>
      </c>
      <c r="H12" s="4142">
        <f t="shared" ref="H12:H28" si="1">IF(SUM($F12)=0,"NA",J12/$F12*1000)</f>
        <v>8.3599999999999994E-2</v>
      </c>
      <c r="I12" s="3149">
        <v>1.2912802273392849</v>
      </c>
      <c r="J12" s="3292">
        <v>5.783090732440941E-2</v>
      </c>
      <c r="L12" s="1323" t="s">
        <v>1231</v>
      </c>
      <c r="M12" s="4165">
        <v>0.328845168932628</v>
      </c>
      <c r="N12" s="4165">
        <v>0.32657216118312926</v>
      </c>
      <c r="O12" s="4165">
        <v>0.29034805305938266</v>
      </c>
      <c r="P12" s="4166">
        <v>0.27750785955160456</v>
      </c>
      <c r="Q12" s="4166">
        <v>0.34468610405445216</v>
      </c>
      <c r="R12" s="4166">
        <v>0.31687923388945083</v>
      </c>
      <c r="S12" s="4166">
        <v>0.81500000000000006</v>
      </c>
      <c r="T12" s="4166">
        <v>0.33630574815447867</v>
      </c>
      <c r="U12" s="4166">
        <v>0.32917377640660572</v>
      </c>
      <c r="V12" s="4166">
        <v>0.70129242902218469</v>
      </c>
      <c r="W12" s="4166">
        <v>0.2220226355790641</v>
      </c>
      <c r="X12" s="4140">
        <v>0.34015961910772757</v>
      </c>
    </row>
    <row r="13" spans="2:24" ht="18" customHeight="1" thickBot="1" x14ac:dyDescent="0.25">
      <c r="B13" s="432" t="s">
        <v>1232</v>
      </c>
      <c r="C13" s="433" t="s">
        <v>205</v>
      </c>
      <c r="D13" s="433" t="s">
        <v>205</v>
      </c>
      <c r="E13" s="433" t="s">
        <v>205</v>
      </c>
      <c r="F13" s="4140">
        <v>41.976326991056993</v>
      </c>
      <c r="G13" s="4143">
        <f t="shared" si="0"/>
        <v>1.9599999999999995</v>
      </c>
      <c r="H13" s="4142">
        <f t="shared" si="1"/>
        <v>5.9714285714285706E-2</v>
      </c>
      <c r="I13" s="3149">
        <v>8.2273600902471683E-2</v>
      </c>
      <c r="J13" s="3292">
        <v>2.50658638318026E-3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1265.762790580038</v>
      </c>
      <c r="G14" s="4145">
        <f t="shared" si="0"/>
        <v>1.9178205143455109</v>
      </c>
      <c r="H14" s="4146">
        <f t="shared" si="1"/>
        <v>8.1055177641811471E-2</v>
      </c>
      <c r="I14" s="3168">
        <f>IF(SUM(I15:I19)=0,"NO",SUM(I15:I19))</f>
        <v>2.4275058460696175</v>
      </c>
      <c r="J14" s="3064">
        <f>IF(SUM(J15:J19)=0,"NO",SUM(J15:J19))</f>
        <v>0.10259662784286</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151.15729674279973</v>
      </c>
      <c r="G15" s="4147">
        <f t="shared" si="0"/>
        <v>1.8666666666666667</v>
      </c>
      <c r="H15" s="4148">
        <f t="shared" si="1"/>
        <v>9.5542857142857138E-2</v>
      </c>
      <c r="I15" s="3293">
        <v>0.28216028725322617</v>
      </c>
      <c r="J15" s="3292">
        <v>1.4442000008797778E-2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339.14611680414725</v>
      </c>
      <c r="G16" s="4149">
        <f t="shared" si="0"/>
        <v>1.8666666666666667</v>
      </c>
      <c r="H16" s="4150">
        <f t="shared" si="1"/>
        <v>7.1657142857142864E-2</v>
      </c>
      <c r="I16" s="3294">
        <v>0.63307275136774155</v>
      </c>
      <c r="J16" s="3292">
        <v>2.430224174128004E-2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47.659841635300964</v>
      </c>
      <c r="G17" s="4149">
        <f t="shared" si="0"/>
        <v>1.8666666666666669</v>
      </c>
      <c r="H17" s="4150">
        <f t="shared" si="1"/>
        <v>7.1657142857142864E-2</v>
      </c>
      <c r="I17" s="3294">
        <v>8.8965037719228479E-2</v>
      </c>
      <c r="J17" s="3292">
        <v>3.4151680806095664E-3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693.73539628799983</v>
      </c>
      <c r="G18" s="4149">
        <f t="shared" si="0"/>
        <v>1.96</v>
      </c>
      <c r="H18" s="4150">
        <f t="shared" si="1"/>
        <v>8.3600000000000008E-2</v>
      </c>
      <c r="I18" s="3294">
        <v>1.3597213767244796</v>
      </c>
      <c r="J18" s="3292">
        <v>5.7996279129676795E-2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34.064139109790226</v>
      </c>
      <c r="G19" s="4149">
        <f t="shared" si="0"/>
        <v>1.8666666666666674</v>
      </c>
      <c r="H19" s="4150">
        <f t="shared" si="1"/>
        <v>7.1657142857142878E-2</v>
      </c>
      <c r="I19" s="3294">
        <v>6.3586393004941774E-2</v>
      </c>
      <c r="J19" s="3292">
        <v>2.4409388824958257E-3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270.40438546066571</v>
      </c>
      <c r="G20" s="4153">
        <f t="shared" si="0"/>
        <v>1.8666666666666669</v>
      </c>
      <c r="H20" s="4154">
        <f t="shared" si="1"/>
        <v>0.10748571428571428</v>
      </c>
      <c r="I20" s="3187">
        <f>I21</f>
        <v>0.5047548528599094</v>
      </c>
      <c r="J20" s="442">
        <f>J21</f>
        <v>2.9064608517229269E-2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270.40438546066571</v>
      </c>
      <c r="G21" s="4156">
        <f t="shared" si="0"/>
        <v>1.8666666666666669</v>
      </c>
      <c r="H21" s="4146">
        <f t="shared" si="1"/>
        <v>0.10748571428571428</v>
      </c>
      <c r="I21" s="3168">
        <f>I22</f>
        <v>0.5047548528599094</v>
      </c>
      <c r="J21" s="3064">
        <f>J22</f>
        <v>2.9064608517229269E-2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270.40438546066571</v>
      </c>
      <c r="G22" s="4158">
        <f t="shared" si="0"/>
        <v>1.8666666666666669</v>
      </c>
      <c r="H22" s="4159">
        <f t="shared" si="1"/>
        <v>0.10748571428571428</v>
      </c>
      <c r="I22" s="3295">
        <v>0.5047548528599094</v>
      </c>
      <c r="J22" s="3296">
        <v>2.9064608517229269E-2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929.84990400000015</v>
      </c>
      <c r="G26" s="4163">
        <f t="shared" si="0"/>
        <v>1.8666666666666669</v>
      </c>
      <c r="H26" s="4164">
        <f t="shared" si="1"/>
        <v>5.971428571428572E-2</v>
      </c>
      <c r="I26" s="3297">
        <v>1.7357198208000004</v>
      </c>
      <c r="J26" s="3298">
        <v>5.5525322838857152E-2</v>
      </c>
      <c r="L26" s="159"/>
    </row>
    <row r="27" spans="2:24" ht="18" customHeight="1" x14ac:dyDescent="0.2">
      <c r="B27" s="439" t="s">
        <v>1242</v>
      </c>
      <c r="C27" s="440"/>
      <c r="D27" s="441"/>
      <c r="E27" s="441"/>
      <c r="F27" s="4152">
        <f>IF(SUM(F28:F29)=0,"NO",SUM(F28:F29))</f>
        <v>57.899900982534298</v>
      </c>
      <c r="G27" s="4153">
        <f t="shared" si="0"/>
        <v>1.8693849946100132</v>
      </c>
      <c r="H27" s="4154">
        <f t="shared" si="1"/>
        <v>0.10992055945782611</v>
      </c>
      <c r="I27" s="3187">
        <f>IF(SUM(I28:I29)=0,"NO",SUM(I28:I29))</f>
        <v>0.10823720608615518</v>
      </c>
      <c r="J27" s="442">
        <f>IF(SUM(J28:J29)=0,"NO",SUM(J28:J29))</f>
        <v>6.3643895085529062E-3</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1.6863312724052288</v>
      </c>
      <c r="G28" s="4149">
        <f t="shared" si="0"/>
        <v>1.96</v>
      </c>
      <c r="H28" s="4150">
        <f t="shared" si="1"/>
        <v>0.19108571428571428</v>
      </c>
      <c r="I28" s="3294">
        <v>3.3052092939142483E-3</v>
      </c>
      <c r="J28" s="3292">
        <v>3.2223381570989059E-4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56.213569710129072</v>
      </c>
      <c r="G29" s="4149">
        <f t="shared" ref="G29" si="2">IF(SUM($F29)=0,"NA",I29/$F29*1000)</f>
        <v>1.8666666666666669</v>
      </c>
      <c r="H29" s="4150">
        <f t="shared" ref="H29" si="3">IF(SUM($F29)=0,"NA",J29/$F29*1000)</f>
        <v>0.10748571428571428</v>
      </c>
      <c r="I29" s="3294">
        <v>0.10493199679224094</v>
      </c>
      <c r="J29" s="3292">
        <v>6.042155692843016E-3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1" t="s">
        <v>1243</v>
      </c>
      <c r="C41" s="4522"/>
      <c r="D41" s="4522"/>
      <c r="E41" s="4522"/>
      <c r="F41" s="4522"/>
      <c r="G41" s="4522"/>
      <c r="H41" s="4522"/>
      <c r="I41" s="4522"/>
      <c r="J41" s="4523"/>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2459</v>
      </c>
    </row>
    <row r="2" spans="2:5" s="83" customFormat="1" ht="17.25" x14ac:dyDescent="0.3">
      <c r="B2" s="208" t="s">
        <v>1353</v>
      </c>
      <c r="C2" s="208"/>
      <c r="E2" s="14" t="s">
        <v>2460</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215.34654271285109</v>
      </c>
    </row>
    <row r="11" spans="2:5" s="83" customFormat="1" ht="18" customHeight="1" x14ac:dyDescent="0.2">
      <c r="B11" s="1858" t="s">
        <v>1361</v>
      </c>
      <c r="C11" s="4175">
        <v>477712.52494683425</v>
      </c>
      <c r="D11" s="3534">
        <f>IF(SUM(C11)=0,"NA",E11*1000/(44/12)/C11)</f>
        <v>0.10799999999999997</v>
      </c>
      <c r="E11" s="3395">
        <v>189.17415987894631</v>
      </c>
    </row>
    <row r="12" spans="2:5" s="83" customFormat="1" ht="18" customHeight="1" x14ac:dyDescent="0.2">
      <c r="B12" s="1858" t="s">
        <v>1362</v>
      </c>
      <c r="C12" s="4175">
        <v>57796.944057205867</v>
      </c>
      <c r="D12" s="3534">
        <f t="shared" ref="D12:D16" si="0">IF(SUM(C12)=0,"NA",E12*1000/(44/12)/C12)</f>
        <v>0.12350000000000021</v>
      </c>
      <c r="E12" s="3395">
        <v>26.172382833904766</v>
      </c>
    </row>
    <row r="13" spans="2:5" s="83" customFormat="1" ht="18" customHeight="1" x14ac:dyDescent="0.2">
      <c r="B13" s="853" t="s">
        <v>1363</v>
      </c>
      <c r="C13" s="4176">
        <v>500000</v>
      </c>
      <c r="D13" s="4177">
        <f t="shared" si="0"/>
        <v>0.2</v>
      </c>
      <c r="E13" s="3396">
        <v>366.66666666666663</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2459</v>
      </c>
    </row>
    <row r="2" spans="2:10" ht="15.75" customHeight="1" x14ac:dyDescent="0.25">
      <c r="B2" s="13" t="s">
        <v>162</v>
      </c>
      <c r="I2" s="14" t="s">
        <v>2460</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153350.00396199466</v>
      </c>
      <c r="D10" s="4269">
        <f t="shared" ref="D10:H10" si="0">IF(SUM(D11,D14,D17,D20,D23,D26,D29:D30)=0,"NO",SUM(D11,D14,D17,D20,D23,D26,D29:D30))</f>
        <v>736.69294206813959</v>
      </c>
      <c r="E10" s="4269">
        <f t="shared" si="0"/>
        <v>16.188041506546817</v>
      </c>
      <c r="F10" s="4269">
        <f t="shared" si="0"/>
        <v>810.17821988840149</v>
      </c>
      <c r="G10" s="4269">
        <f t="shared" si="0"/>
        <v>22935.144142072601</v>
      </c>
      <c r="H10" s="4270">
        <f t="shared" si="0"/>
        <v>1101.9842851399324</v>
      </c>
      <c r="I10" s="4271">
        <f>IF(SUM(C10:E10)=0,"NO",SUM(C10)+28*SUM(D10)+265*SUM(E10))</f>
        <v>178267.23733913747</v>
      </c>
      <c r="J10" s="4259"/>
    </row>
    <row r="11" spans="2:10" ht="18" customHeight="1" x14ac:dyDescent="0.2">
      <c r="B11" s="464" t="s">
        <v>1252</v>
      </c>
      <c r="C11" s="4272">
        <f>IF(SUM(C12:C13)=0,"NO",SUM(C12:C13))</f>
        <v>-13132.69831950849</v>
      </c>
      <c r="D11" s="4272">
        <f t="shared" ref="D11:H11" si="1">IF(SUM(D12:D13)=0,"NO",SUM(D12:D13))</f>
        <v>240.31573030424929</v>
      </c>
      <c r="E11" s="4272">
        <f t="shared" si="1"/>
        <v>4.9755500626910081</v>
      </c>
      <c r="F11" s="4272">
        <f t="shared" si="1"/>
        <v>262.63745966100856</v>
      </c>
      <c r="G11" s="4272">
        <f t="shared" si="1"/>
        <v>7067.392629607959</v>
      </c>
      <c r="H11" s="4273">
        <f t="shared" si="1"/>
        <v>243.18647795925807</v>
      </c>
      <c r="I11" s="4274">
        <f t="shared" ref="I11:I32" si="2">IF(SUM(C11:E11)=0,"NO",SUM(C11)+28*SUM(D11)+265*SUM(E11))</f>
        <v>-5085.3371043763927</v>
      </c>
    </row>
    <row r="12" spans="2:10" ht="18" customHeight="1" x14ac:dyDescent="0.2">
      <c r="B12" s="465" t="s">
        <v>1253</v>
      </c>
      <c r="C12" s="4275">
        <f>IF(SUM(Table4.A!U11,'Table4(IV)'!J12)=0,"NO",SUM(Table4.A!U11,'Table4(IV)'!J12))</f>
        <v>-6956.1145874882768</v>
      </c>
      <c r="D12" s="4275">
        <f>'Table4(IV)'!K12</f>
        <v>239.6656261086037</v>
      </c>
      <c r="E12" s="4275">
        <f>IF(SUM('Table4(III)'!I12,'Table4(IV)'!L12)=0,"NO",SUM('Table4(III)'!I12,'Table4(IV)'!L12))</f>
        <v>4.5484339445826905</v>
      </c>
      <c r="F12" s="4276">
        <v>262.1818731563443</v>
      </c>
      <c r="G12" s="4276">
        <v>7052.6169292190789</v>
      </c>
      <c r="H12" s="4277">
        <v>241.98278467990389</v>
      </c>
      <c r="I12" s="4278">
        <f t="shared" si="2"/>
        <v>959.85793886704005</v>
      </c>
    </row>
    <row r="13" spans="2:10" ht="18" customHeight="1" thickBot="1" x14ac:dyDescent="0.25">
      <c r="B13" s="466" t="s">
        <v>1254</v>
      </c>
      <c r="C13" s="4279">
        <f>IF(SUM(Table4.A!U16,'Table4(IV)'!J19)=0,"NO",SUM(Table4.A!U16,'Table4(IV)'!J19))</f>
        <v>-6176.5837320202127</v>
      </c>
      <c r="D13" s="4279">
        <f>'Table4(IV)'!K19</f>
        <v>0.65010419564559463</v>
      </c>
      <c r="E13" s="4279">
        <f>IF(SUM('Table4(III)'!I13,'Table4(IV)'!L19)=0,"NO",SUM('Table4(III)'!I13,'Table4(IV)'!L19))</f>
        <v>0.42711611810831773</v>
      </c>
      <c r="F13" s="4280">
        <v>0.45558650466428335</v>
      </c>
      <c r="G13" s="4280">
        <v>14.775700388879688</v>
      </c>
      <c r="H13" s="4281">
        <v>1.2036932793541859</v>
      </c>
      <c r="I13" s="4282">
        <f t="shared" si="2"/>
        <v>-6045.1950432434323</v>
      </c>
    </row>
    <row r="14" spans="2:10" ht="18" customHeight="1" x14ac:dyDescent="0.2">
      <c r="B14" s="464" t="s">
        <v>1255</v>
      </c>
      <c r="C14" s="4272">
        <f>IF(SUM(C15:C16)=0,"NO",SUM(C15:C16))</f>
        <v>34547.320297364073</v>
      </c>
      <c r="D14" s="4272">
        <f t="shared" ref="D14" si="3">IF(SUM(D15:D16)=0,"NO",SUM(D15:D16))</f>
        <v>23.02205712224827</v>
      </c>
      <c r="E14" s="4272">
        <f t="shared" ref="E14" si="4">IF(SUM(E15:E16)=0,"NO",SUM(E15:E16))</f>
        <v>0.52541536381525189</v>
      </c>
      <c r="F14" s="4272">
        <f t="shared" ref="F14" si="5">IF(SUM(F15:F16)=0,"NO",SUM(F15:F16))</f>
        <v>17.33506086883575</v>
      </c>
      <c r="G14" s="4272">
        <f t="shared" ref="G14" si="6">IF(SUM(G15:G16)=0,"NO",SUM(G15:G16))</f>
        <v>678.93751791074749</v>
      </c>
      <c r="H14" s="4273">
        <f t="shared" ref="H14" si="7">IF(SUM(H15:H16)=0,"NO",SUM(H15:H16))</f>
        <v>82.069370296903557</v>
      </c>
      <c r="I14" s="4283">
        <f t="shared" si="2"/>
        <v>35331.172968198065</v>
      </c>
    </row>
    <row r="15" spans="2:10" ht="18" customHeight="1" x14ac:dyDescent="0.2">
      <c r="B15" s="465" t="s">
        <v>1256</v>
      </c>
      <c r="C15" s="4275">
        <f>IF(SUM(Table4.B!S11,'Table4(IV)'!J26)=0,"NO",SUM(Table4.B!S11,'Table4(IV)'!J26))</f>
        <v>17640.683147110663</v>
      </c>
      <c r="D15" s="4275" t="str">
        <f>'Table4(IV)'!K26</f>
        <v>IE</v>
      </c>
      <c r="E15" s="4275" t="str">
        <f>'Table4(IV)'!L26</f>
        <v>IE</v>
      </c>
      <c r="F15" s="4276" t="s">
        <v>274</v>
      </c>
      <c r="G15" s="4276" t="s">
        <v>274</v>
      </c>
      <c r="H15" s="4277" t="s">
        <v>274</v>
      </c>
      <c r="I15" s="4278">
        <f t="shared" si="2"/>
        <v>17640.683147110663</v>
      </c>
    </row>
    <row r="16" spans="2:10" ht="18" customHeight="1" thickBot="1" x14ac:dyDescent="0.25">
      <c r="B16" s="466" t="s">
        <v>1257</v>
      </c>
      <c r="C16" s="4279">
        <f>IF(SUM(Table4.B!S13,'Table4(IV)'!J31)=0,"IE",SUM(Table4.B!S13,'Table4(IV)'!J31))</f>
        <v>16906.637150253413</v>
      </c>
      <c r="D16" s="4279">
        <f>'Table4(IV)'!K31</f>
        <v>23.02205712224827</v>
      </c>
      <c r="E16" s="4279">
        <f>IF(SUM('Table4(III)'!I21,'Table4(IV)'!L31)=0,"IE",SUM('Table4(III)'!I21,'Table4(IV)'!L31))</f>
        <v>0.52541536381525189</v>
      </c>
      <c r="F16" s="4280">
        <v>17.33506086883575</v>
      </c>
      <c r="G16" s="4280">
        <v>678.93751791074749</v>
      </c>
      <c r="H16" s="4281">
        <v>82.069370296903557</v>
      </c>
      <c r="I16" s="4282">
        <f t="shared" si="2"/>
        <v>17690.489821087409</v>
      </c>
    </row>
    <row r="17" spans="2:9" ht="18" customHeight="1" x14ac:dyDescent="0.2">
      <c r="B17" s="464" t="s">
        <v>1258</v>
      </c>
      <c r="C17" s="4272">
        <f>IF(SUM(C18:C19)=0,"NO",SUM(C18:C19))</f>
        <v>129951.71841814725</v>
      </c>
      <c r="D17" s="4272">
        <f t="shared" ref="D17" si="8">IF(SUM(D18:D19)=0,"NO",SUM(D18:D19))</f>
        <v>382.5923130443627</v>
      </c>
      <c r="E17" s="4272">
        <f t="shared" ref="E17" si="9">IF(SUM(E18:E19)=0,"NO",SUM(E18:E19))</f>
        <v>10.253159465212009</v>
      </c>
      <c r="F17" s="4272">
        <f t="shared" ref="F17" si="10">IF(SUM(F18:F19)=0,"NO",SUM(F18:F19))</f>
        <v>505.05906985394535</v>
      </c>
      <c r="G17" s="4272">
        <f t="shared" ref="G17" si="11">IF(SUM(G18:G19)=0,"NO",SUM(G18:G19))</f>
        <v>14509.370567758453</v>
      </c>
      <c r="H17" s="4273">
        <f t="shared" ref="H17" si="12">IF(SUM(H18:H19)=0,"NO",SUM(H18:H19))</f>
        <v>752.58501068663782</v>
      </c>
      <c r="I17" s="4283">
        <f t="shared" si="2"/>
        <v>143381.39044167061</v>
      </c>
    </row>
    <row r="18" spans="2:9" ht="18" customHeight="1" x14ac:dyDescent="0.2">
      <c r="B18" s="465" t="s">
        <v>1259</v>
      </c>
      <c r="C18" s="4275">
        <f>IF(SUM(Table4.C!S11,'Table4(IV)'!J37)=0,"IE",SUM(Table4.C!S11,'Table4(IV)'!J37))</f>
        <v>-11032.117845765621</v>
      </c>
      <c r="D18" s="4275">
        <f>'Table4(IV)'!K37</f>
        <v>177.60772348327529</v>
      </c>
      <c r="E18" s="4275">
        <f>IF(SUM('Table4(III)'!I29,'Table4(IV)'!L37)=0,"NO",SUM('Table4(III)'!I29,'Table4(IV)'!L37))</f>
        <v>6.1779852705601233</v>
      </c>
      <c r="F18" s="4276">
        <v>349.73843615874449</v>
      </c>
      <c r="G18" s="4276">
        <v>8452.3822559026157</v>
      </c>
      <c r="H18" s="4277">
        <v>25.401819129007578</v>
      </c>
      <c r="I18" s="4278">
        <f t="shared" si="2"/>
        <v>-4421.9354915354797</v>
      </c>
    </row>
    <row r="19" spans="2:9" ht="18" customHeight="1" thickBot="1" x14ac:dyDescent="0.25">
      <c r="B19" s="466" t="s">
        <v>1260</v>
      </c>
      <c r="C19" s="4279">
        <f>IF(SUM(Table4.C!S15,'Table4(IV)'!J42)=0,"IE",SUM(Table4.C!S15,'Table4(IV)'!J42))</f>
        <v>140983.83626391288</v>
      </c>
      <c r="D19" s="4279">
        <f>'Table4(IV)'!K42</f>
        <v>204.9845895610874</v>
      </c>
      <c r="E19" s="4279">
        <f>IF(SUM('Table4(III)'!I30,'Table4(IV)'!L42)=0,"NO",SUM('Table4(III)'!I30,'Table4(IV)'!L42))</f>
        <v>4.0751741946518862</v>
      </c>
      <c r="F19" s="4280">
        <v>155.32063369520085</v>
      </c>
      <c r="G19" s="4280">
        <v>6056.9883118558373</v>
      </c>
      <c r="H19" s="4281">
        <v>727.18319155763027</v>
      </c>
      <c r="I19" s="4282">
        <f t="shared" si="2"/>
        <v>147803.32593320607</v>
      </c>
    </row>
    <row r="20" spans="2:9" ht="18" customHeight="1" x14ac:dyDescent="0.2">
      <c r="B20" s="464" t="s">
        <v>1261</v>
      </c>
      <c r="C20" s="4272">
        <f>IF(SUM(C21:C22)=0,"NO",SUM(C21:C22))</f>
        <v>1783.0929076139928</v>
      </c>
      <c r="D20" s="4272">
        <f t="shared" ref="D20" si="13">IF(SUM(D21:D22)=0,"NO",SUM(D21:D22))</f>
        <v>84.076949093280405</v>
      </c>
      <c r="E20" s="4272">
        <f t="shared" ref="E20" si="14">IF(SUM(E21:E22)=0,"NO",SUM(E21:E22))</f>
        <v>0.2823977966740186</v>
      </c>
      <c r="F20" s="4272">
        <f t="shared" ref="F20" si="15">IF(SUM(F21:F22)=0,"NO",SUM(F21:F22))</f>
        <v>20.112311637017378</v>
      </c>
      <c r="G20" s="4272">
        <f t="shared" ref="G20" si="16">IF(SUM(G21:G22)=0,"NO",SUM(G21:G22))</f>
        <v>482.27150433954711</v>
      </c>
      <c r="H20" s="4273">
        <f t="shared" ref="H20" si="17">IF(SUM(H21:H22)=0,"NO",SUM(H21:H22))</f>
        <v>0.30945754861787605</v>
      </c>
      <c r="I20" s="4283">
        <f t="shared" si="2"/>
        <v>4212.0828983444599</v>
      </c>
    </row>
    <row r="21" spans="2:9" ht="18" customHeight="1" x14ac:dyDescent="0.2">
      <c r="B21" s="465" t="s">
        <v>1262</v>
      </c>
      <c r="C21" s="4275">
        <f>IF(SUM(Table4.D!S11,'Table4(IV)'!J49)=0,"IE",SUM(Table4.D!S11,'Table4(IV)'!J49))</f>
        <v>640.53575138390261</v>
      </c>
      <c r="D21" s="4275">
        <f>IF(SUM('Table4(IV)'!K49,'Table4(II)'!J270)=0,"NO",SUM('Table4(IV)'!K49,'Table4(II)'!J270))</f>
        <v>44.049989018347176</v>
      </c>
      <c r="E21" s="4275">
        <f>IF(SUM('Table4(II)'!I270,'Table4(III)'!I38,'Table4(IV)'!L49)=0,"NO",SUM('Table4(II)'!I270,'Table4(III)'!I38,'Table4(IV)'!L49))</f>
        <v>0.2823977966740186</v>
      </c>
      <c r="F21" s="4276">
        <v>20.112311637017378</v>
      </c>
      <c r="G21" s="4276">
        <v>482.27150433954711</v>
      </c>
      <c r="H21" s="4277">
        <v>0.30945754861787605</v>
      </c>
      <c r="I21" s="4278">
        <f t="shared" si="2"/>
        <v>1948.7708600162384</v>
      </c>
    </row>
    <row r="22" spans="2:9" ht="18" customHeight="1" thickBot="1" x14ac:dyDescent="0.25">
      <c r="B22" s="466" t="s">
        <v>1263</v>
      </c>
      <c r="C22" s="4279">
        <f>IF(SUM(Table4.D!S23,'Table4(II)'!H320,'Table4(IV)'!J54)=0,"NO",SUM(Table4.D!S23,'Table4(II)'!H320,'Table4(IV)'!J54))</f>
        <v>1142.5571562300902</v>
      </c>
      <c r="D22" s="4279">
        <f>IF(SUM('Table4(IV)'!K54,'Table4(II)'!J320)=0,"NO",SUM('Table4(IV)'!K54,'Table4(II)'!J320))</f>
        <v>40.026960074933235</v>
      </c>
      <c r="E22" s="4279" t="str">
        <f>IF(SUM('Table4(II)'!I320,'Table4(III)'!I39,'Table4(IV)'!L54)=0,"NO",SUM('Table4(II)'!I320,'Table4(III)'!I39,'Table4(IV)'!L54))</f>
        <v>NO</v>
      </c>
      <c r="F22" s="4280" t="s">
        <v>274</v>
      </c>
      <c r="G22" s="4280" t="s">
        <v>274</v>
      </c>
      <c r="H22" s="4281" t="s">
        <v>274</v>
      </c>
      <c r="I22" s="4282">
        <f t="shared" si="2"/>
        <v>2263.3120383282208</v>
      </c>
    </row>
    <row r="23" spans="2:9" ht="18" customHeight="1" x14ac:dyDescent="0.2">
      <c r="B23" s="464" t="s">
        <v>1264</v>
      </c>
      <c r="C23" s="4272">
        <f>IF(SUM(C24:C25)=0,"NO",SUM(C24:C25))</f>
        <v>7337.8786786846822</v>
      </c>
      <c r="D23" s="4272">
        <f t="shared" ref="D23" si="18">IF(SUM(D24:D25)=0,"NO",SUM(D24:D25))</f>
        <v>6.6858925039989572</v>
      </c>
      <c r="E23" s="4272">
        <f t="shared" ref="E23" si="19">IF(SUM(E24:E25)=0,"NO",SUM(E24:E25))</f>
        <v>0.13876076672595797</v>
      </c>
      <c r="F23" s="4272">
        <f>IF(SUM(F24:F25)=0,"NO",SUM(F24:F25))</f>
        <v>5.0343178675944538</v>
      </c>
      <c r="G23" s="4272">
        <f t="shared" ref="G23" si="20">IF(SUM(G24:G25)=0,"NO",SUM(G24:G25))</f>
        <v>197.17192245589521</v>
      </c>
      <c r="H23" s="4273">
        <f t="shared" ref="H23" si="21">IF(SUM(H24:H25)=0,"NO",SUM(H24:H25))</f>
        <v>23.833968648514805</v>
      </c>
      <c r="I23" s="4283">
        <f t="shared" si="2"/>
        <v>7561.8552719790323</v>
      </c>
    </row>
    <row r="24" spans="2:9" ht="18" customHeight="1" thickBot="1" x14ac:dyDescent="0.25">
      <c r="B24" s="465" t="s">
        <v>1265</v>
      </c>
      <c r="C24" s="4275">
        <f>IF(SUM(Table4.E!S11,'Table4(IV)'!J60)=0,"IE",SUM(Table4.E!S11,'Table4(IV)'!J60))</f>
        <v>-25.436781230008819</v>
      </c>
      <c r="D24" s="4275" t="str">
        <f>'Table4(IV)'!K60</f>
        <v>IE</v>
      </c>
      <c r="E24" s="4275">
        <f>IF(SUM('Table4(III)'!I47,'Table4(IV)'!L60)=0,"IE",SUM('Table4(III)'!I47,'Table4(IV)'!L60))</f>
        <v>2.5307030396339632E-4</v>
      </c>
      <c r="F24" s="4280" t="s">
        <v>274</v>
      </c>
      <c r="G24" s="4280" t="s">
        <v>274</v>
      </c>
      <c r="H24" s="4281" t="s">
        <v>274</v>
      </c>
      <c r="I24" s="4278">
        <f t="shared" si="2"/>
        <v>-25.369717599458518</v>
      </c>
    </row>
    <row r="25" spans="2:9" ht="18" customHeight="1" thickBot="1" x14ac:dyDescent="0.25">
      <c r="B25" s="466" t="s">
        <v>1266</v>
      </c>
      <c r="C25" s="4279">
        <f>IF(SUM(Table4.E!S13,'Table4(IV)'!J65)=0,"IE",SUM(Table4.E!S13,'Table4(IV)'!J65))</f>
        <v>7363.315459914691</v>
      </c>
      <c r="D25" s="4279">
        <f>'Table4(IV)'!K65</f>
        <v>6.6858925039989572</v>
      </c>
      <c r="E25" s="4279">
        <f>IF(SUM('Table4(III)'!I48,'Table4(IV)'!L65)=0,"NO",SUM('Table4(III)'!I48,'Table4(IV)'!L65))</f>
        <v>0.13850769642199456</v>
      </c>
      <c r="F25" s="4280">
        <v>5.0343178675944538</v>
      </c>
      <c r="G25" s="4280">
        <v>197.17192245589521</v>
      </c>
      <c r="H25" s="4281">
        <v>23.833968648514805</v>
      </c>
      <c r="I25" s="4282">
        <f t="shared" si="2"/>
        <v>7587.2249895784907</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-7137.3080203068521</v>
      </c>
      <c r="D29" s="4288"/>
      <c r="E29" s="4288"/>
      <c r="F29" s="4288"/>
      <c r="G29" s="4288"/>
      <c r="H29" s="4289"/>
      <c r="I29" s="4290">
        <f t="shared" si="2"/>
        <v>-7137.3080203068521</v>
      </c>
    </row>
    <row r="30" spans="2:9" ht="18" customHeight="1" x14ac:dyDescent="0.2">
      <c r="B30" s="1167" t="s">
        <v>1271</v>
      </c>
      <c r="C30" s="4291" t="str">
        <f>IF(SUM(C31:C32)=0,"NO",SUM(C31:C32))</f>
        <v>NO</v>
      </c>
      <c r="D30" s="4291" t="str">
        <f t="shared" ref="D30" si="27">IF(SUM(D31:D32)=0,"NO",SUM(D31:D32))</f>
        <v>NO</v>
      </c>
      <c r="E30" s="4291">
        <f t="shared" ref="E30" si="28">IF(SUM(E31:E32)=0,"NO",SUM(E31:E32))</f>
        <v>1.2758051428571431E-2</v>
      </c>
      <c r="F30" s="4291" t="str">
        <f t="shared" ref="F30" si="29">IF(SUM(F31:F32)=0,"NO",SUM(F31:F32))</f>
        <v>NO</v>
      </c>
      <c r="G30" s="4291" t="str">
        <f t="shared" ref="G30" si="30">IF(SUM(G31:G32)=0,"NO",SUM(G31:G32))</f>
        <v>NO</v>
      </c>
      <c r="H30" s="4292" t="str">
        <f t="shared" ref="H30" si="31">IF(SUM(H31:H32)=0,"NO",SUM(H31:H32))</f>
        <v>NO</v>
      </c>
      <c r="I30" s="4293">
        <f t="shared" si="2"/>
        <v>3.3808836285714294</v>
      </c>
    </row>
    <row r="31" spans="2:9" ht="18" customHeight="1" x14ac:dyDescent="0.2">
      <c r="B31" s="2693" t="s">
        <v>1272</v>
      </c>
      <c r="C31" s="4294" t="s">
        <v>199</v>
      </c>
      <c r="D31" s="4294" t="s">
        <v>199</v>
      </c>
      <c r="E31" s="4294">
        <v>1.2758051428571431E-2</v>
      </c>
      <c r="F31" s="4294" t="s">
        <v>199</v>
      </c>
      <c r="G31" s="4294" t="s">
        <v>199</v>
      </c>
      <c r="H31" s="4295" t="s">
        <v>199</v>
      </c>
      <c r="I31" s="4296">
        <f t="shared" si="2"/>
        <v>3.3808836285714294</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4" t="s">
        <v>1276</v>
      </c>
      <c r="C60" s="4495"/>
      <c r="D60" s="4495"/>
      <c r="E60" s="4495"/>
      <c r="F60" s="4495"/>
      <c r="G60" s="4495"/>
      <c r="H60" s="4495"/>
      <c r="I60" s="4496"/>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C19" sqref="C19"/>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2459</v>
      </c>
    </row>
    <row r="2" spans="2:10" ht="16.350000000000001" customHeight="1" x14ac:dyDescent="0.2">
      <c r="B2" s="3" t="s">
        <v>162</v>
      </c>
      <c r="I2" s="14"/>
      <c r="J2" s="14" t="s">
        <v>2460</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258952.01190728179</v>
      </c>
      <c r="D10" s="4489">
        <f t="shared" ref="D10:I10" si="0">IF(SUM(D11,D37,D47)=0,"NO",SUM(D11,D37,D47))</f>
        <v>1310.3254018992955</v>
      </c>
      <c r="E10" s="4489">
        <f t="shared" si="0"/>
        <v>6.5822252886058914</v>
      </c>
      <c r="F10" s="4489">
        <f t="shared" si="0"/>
        <v>1555.2536257430033</v>
      </c>
      <c r="G10" s="4489">
        <f t="shared" si="0"/>
        <v>5262.8719420722582</v>
      </c>
      <c r="H10" s="4489">
        <f t="shared" si="0"/>
        <v>798.55565194226097</v>
      </c>
      <c r="I10" s="4490">
        <f t="shared" si="0"/>
        <v>560.29188011979056</v>
      </c>
      <c r="J10" s="4427">
        <f t="shared" ref="J10:J40" si="1">IF(SUM(C10:E10)=0,"NO",SUM(C10,IFERROR(28*D10,0),IFERROR(265*E10,0)))</f>
        <v>297385.4128619426</v>
      </c>
    </row>
    <row r="11" spans="2:10" s="83" customFormat="1" ht="18" customHeight="1" thickBot="1" x14ac:dyDescent="0.25">
      <c r="B11" s="18" t="s">
        <v>174</v>
      </c>
      <c r="C11" s="3010">
        <f>IF(SUM(C12,C16,C24,C30,C34)=0,"NO",SUM(C12,C16,C24,C30,C34))</f>
        <v>251679.28872254479</v>
      </c>
      <c r="D11" s="3010">
        <f t="shared" ref="D11:I11" si="2">IF(SUM(D12,D16,D24,D30,D34)=0,"NO",SUM(D12,D16,D24,D30,D34))</f>
        <v>131.64849530369341</v>
      </c>
      <c r="E11" s="3010">
        <f t="shared" si="2"/>
        <v>6.4471737052587219</v>
      </c>
      <c r="F11" s="3010">
        <f t="shared" si="2"/>
        <v>1551.0907917052798</v>
      </c>
      <c r="G11" s="3010">
        <f t="shared" si="2"/>
        <v>5238.7261046534622</v>
      </c>
      <c r="H11" s="3010">
        <f t="shared" si="2"/>
        <v>619.22966598668847</v>
      </c>
      <c r="I11" s="3011">
        <f t="shared" si="2"/>
        <v>560.29188011979056</v>
      </c>
      <c r="J11" s="3012">
        <f t="shared" si="1"/>
        <v>257073.94762294178</v>
      </c>
    </row>
    <row r="12" spans="2:10" s="83" customFormat="1" ht="18" customHeight="1" x14ac:dyDescent="0.2">
      <c r="B12" s="26" t="s">
        <v>175</v>
      </c>
      <c r="C12" s="3010">
        <f>IF(SUM(C13:C15)=0,"NO",SUM(C13:C15))</f>
        <v>142550.6880303224</v>
      </c>
      <c r="D12" s="3010">
        <f t="shared" ref="D12:I12" si="3">IF(SUM(D13:D15)=0,"NO",SUM(D13:D15))</f>
        <v>6.1186320590812233</v>
      </c>
      <c r="E12" s="3010">
        <f t="shared" si="3"/>
        <v>1.7009294785985118</v>
      </c>
      <c r="F12" s="3010">
        <f t="shared" si="3"/>
        <v>497.22413598484798</v>
      </c>
      <c r="G12" s="3010">
        <f t="shared" si="3"/>
        <v>69.848222145047913</v>
      </c>
      <c r="H12" s="3010">
        <f>IF(SUM(H13:H15)=0,"NO",SUM(H13:H15))</f>
        <v>9.9195002545177626</v>
      </c>
      <c r="I12" s="3011">
        <f t="shared" si="3"/>
        <v>408.55299865570981</v>
      </c>
      <c r="J12" s="3012">
        <f t="shared" si="1"/>
        <v>143172.75603980527</v>
      </c>
    </row>
    <row r="13" spans="2:10" s="83" customFormat="1" ht="18" customHeight="1" x14ac:dyDescent="0.2">
      <c r="B13" s="20" t="s">
        <v>176</v>
      </c>
      <c r="C13" s="3013">
        <f>'Table1.A(a)s1'!H24</f>
        <v>129096.60814965157</v>
      </c>
      <c r="D13" s="3013">
        <f>'Table1.A(a)s1'!I24</f>
        <v>1.3567494030445448</v>
      </c>
      <c r="E13" s="3013">
        <f>'Table1.A(a)s1'!J24</f>
        <v>1.508934034451336</v>
      </c>
      <c r="F13" s="3014">
        <v>398.37966041071019</v>
      </c>
      <c r="G13" s="3014">
        <v>46.596979901158321</v>
      </c>
      <c r="H13" s="3014">
        <v>3.472337303929141</v>
      </c>
      <c r="I13" s="3015">
        <v>391.61187371610953</v>
      </c>
      <c r="J13" s="3016">
        <f t="shared" si="1"/>
        <v>129534.46465206642</v>
      </c>
    </row>
    <row r="14" spans="2:10" s="83" customFormat="1" ht="18" customHeight="1" x14ac:dyDescent="0.2">
      <c r="B14" s="20" t="s">
        <v>177</v>
      </c>
      <c r="C14" s="3013">
        <f>'Table1.A(a)s1'!H53</f>
        <v>5512.0702874936887</v>
      </c>
      <c r="D14" s="3013">
        <f>'Table1.A(a)s1'!I53</f>
        <v>6.1983798545454466E-2</v>
      </c>
      <c r="E14" s="3013">
        <f>'Table1.A(a)s1'!J53</f>
        <v>4.540906770909086E-2</v>
      </c>
      <c r="F14" s="3014">
        <v>31.411227669090877</v>
      </c>
      <c r="G14" s="3014">
        <v>4.3133939927272689</v>
      </c>
      <c r="H14" s="3014">
        <v>7.2726363127272653E-2</v>
      </c>
      <c r="I14" s="3015">
        <v>4.3583084210526266</v>
      </c>
      <c r="J14" s="3016">
        <f t="shared" si="1"/>
        <v>5525.8392367958704</v>
      </c>
    </row>
    <row r="15" spans="2:10" s="83" customFormat="1" ht="18" customHeight="1" thickBot="1" x14ac:dyDescent="0.25">
      <c r="B15" s="21" t="s">
        <v>178</v>
      </c>
      <c r="C15" s="3017">
        <f>'Table1.A(a)s1'!H60</f>
        <v>7942.0095931771411</v>
      </c>
      <c r="D15" s="3017">
        <f>'Table1.A(a)s1'!I60</f>
        <v>4.6998988574912239</v>
      </c>
      <c r="E15" s="3017">
        <f>'Table1.A(a)s1'!J60</f>
        <v>0.14658637643808511</v>
      </c>
      <c r="F15" s="3018">
        <v>67.433247905046926</v>
      </c>
      <c r="G15" s="3018">
        <v>18.937848251162322</v>
      </c>
      <c r="H15" s="3018">
        <v>6.3744365874613491</v>
      </c>
      <c r="I15" s="3019">
        <v>12.582816518547668</v>
      </c>
      <c r="J15" s="3020">
        <f t="shared" si="1"/>
        <v>8112.4521509429878</v>
      </c>
    </row>
    <row r="16" spans="2:10" s="83" customFormat="1" ht="18" customHeight="1" x14ac:dyDescent="0.2">
      <c r="B16" s="25" t="s">
        <v>179</v>
      </c>
      <c r="C16" s="3010">
        <f>IF(SUM(C17:C23)=0,"NO",SUM(C17:C23))</f>
        <v>35866.538631108211</v>
      </c>
      <c r="D16" s="3010">
        <f t="shared" ref="D16:I16" si="4">IF(SUM(D17:D23)=0,"NO",SUM(D17:D23))</f>
        <v>2.0601759875475625</v>
      </c>
      <c r="E16" s="3010">
        <f t="shared" si="4"/>
        <v>1.134710846917538</v>
      </c>
      <c r="F16" s="3010">
        <f t="shared" si="4"/>
        <v>489.65028701797826</v>
      </c>
      <c r="G16" s="3010">
        <f t="shared" si="4"/>
        <v>163.67831876735977</v>
      </c>
      <c r="H16" s="3010">
        <f t="shared" si="4"/>
        <v>71.036113398548565</v>
      </c>
      <c r="I16" s="3011">
        <f t="shared" si="4"/>
        <v>108.1075225959341</v>
      </c>
      <c r="J16" s="3012">
        <f t="shared" si="1"/>
        <v>36224.921933192687</v>
      </c>
    </row>
    <row r="17" spans="2:10" s="83" customFormat="1" ht="18" customHeight="1" x14ac:dyDescent="0.2">
      <c r="B17" s="20" t="s">
        <v>180</v>
      </c>
      <c r="C17" s="3013">
        <f>'Table1.A(a)s2'!H17</f>
        <v>2722.848026994081</v>
      </c>
      <c r="D17" s="3013">
        <f>'Table1.A(a)s2'!I17</f>
        <v>8.4992418258270017E-2</v>
      </c>
      <c r="E17" s="3013">
        <f>'Table1.A(a)s2'!J17</f>
        <v>3.4340092874442535E-2</v>
      </c>
      <c r="F17" s="3014">
        <v>29.850400667264388</v>
      </c>
      <c r="G17" s="3014">
        <v>6.6671043670768579</v>
      </c>
      <c r="H17" s="3014">
        <v>2.2681716689632934</v>
      </c>
      <c r="I17" s="3015">
        <v>11.913782790823209</v>
      </c>
      <c r="J17" s="3016">
        <f t="shared" si="1"/>
        <v>2734.3279393170396</v>
      </c>
    </row>
    <row r="18" spans="2:10" s="83" customFormat="1" ht="18" customHeight="1" x14ac:dyDescent="0.2">
      <c r="B18" s="20" t="s">
        <v>181</v>
      </c>
      <c r="C18" s="3013">
        <f>'Table1.A(a)s2'!H24</f>
        <v>11150.134838780814</v>
      </c>
      <c r="D18" s="3013">
        <f>'Table1.A(a)s2'!I24</f>
        <v>0.21833058967967806</v>
      </c>
      <c r="E18" s="3013">
        <f>'Table1.A(a)s2'!J24</f>
        <v>0.12405644379789114</v>
      </c>
      <c r="F18" s="3014">
        <v>67.143986485669615</v>
      </c>
      <c r="G18" s="3014">
        <v>12.110316736195255</v>
      </c>
      <c r="H18" s="3014">
        <v>1.3594323161991122</v>
      </c>
      <c r="I18" s="3015">
        <v>61.766981661562617</v>
      </c>
      <c r="J18" s="3016">
        <f t="shared" si="1"/>
        <v>11189.123052898287</v>
      </c>
    </row>
    <row r="19" spans="2:10" s="83" customFormat="1" ht="18" customHeight="1" x14ac:dyDescent="0.2">
      <c r="B19" s="20" t="s">
        <v>182</v>
      </c>
      <c r="C19" s="3013">
        <f>'Table1.A(a)s2'!H31</f>
        <v>5624.6781507447249</v>
      </c>
      <c r="D19" s="3013">
        <f>'Table1.A(a)s2'!I31</f>
        <v>0.39245906633834488</v>
      </c>
      <c r="E19" s="3013">
        <f>'Table1.A(a)s2'!J31</f>
        <v>8.9902990939559668E-2</v>
      </c>
      <c r="F19" s="3014">
        <v>45.425042104602873</v>
      </c>
      <c r="G19" s="3014">
        <v>30.773919578472036</v>
      </c>
      <c r="H19" s="3014">
        <v>24.1377194953483</v>
      </c>
      <c r="I19" s="3015">
        <v>4.574716621839702</v>
      </c>
      <c r="J19" s="3016">
        <f t="shared" si="1"/>
        <v>5659.4912972011816</v>
      </c>
    </row>
    <row r="20" spans="2:10" s="83" customFormat="1" ht="18" customHeight="1" x14ac:dyDescent="0.2">
      <c r="B20" s="20" t="s">
        <v>183</v>
      </c>
      <c r="C20" s="3013">
        <f>'Table1.A(a)s2'!H38</f>
        <v>1289.6062581323667</v>
      </c>
      <c r="D20" s="3013">
        <f>'Table1.A(a)s2'!I38</f>
        <v>0.16742446753246756</v>
      </c>
      <c r="E20" s="3013">
        <f>'Table1.A(a)s2'!J38</f>
        <v>0.11263538181818183</v>
      </c>
      <c r="F20" s="3014">
        <v>4.9319342424242425</v>
      </c>
      <c r="G20" s="3014">
        <v>4.0039765800865803</v>
      </c>
      <c r="H20" s="3014">
        <v>0.13653003722943724</v>
      </c>
      <c r="I20" s="3015">
        <v>1.5133411740890688</v>
      </c>
      <c r="J20" s="3016">
        <f t="shared" si="1"/>
        <v>1324.1425194050939</v>
      </c>
    </row>
    <row r="21" spans="2:10" s="83" customFormat="1" ht="18" customHeight="1" x14ac:dyDescent="0.2">
      <c r="B21" s="20" t="s">
        <v>184</v>
      </c>
      <c r="C21" s="3013">
        <f>'Table1.A(a)s2'!H45</f>
        <v>2895.9460068201715</v>
      </c>
      <c r="D21" s="3013">
        <f>'Table1.A(a)s2'!I45</f>
        <v>0.71484646283529629</v>
      </c>
      <c r="E21" s="3013">
        <f>'Table1.A(a)s2'!J45</f>
        <v>0.46947940664350429</v>
      </c>
      <c r="F21" s="3014">
        <v>20.028587735628353</v>
      </c>
      <c r="G21" s="3014">
        <v>18.329961152267188</v>
      </c>
      <c r="H21" s="3014">
        <v>1.0038271274844484</v>
      </c>
      <c r="I21" s="3015">
        <v>7.2474572469635632</v>
      </c>
      <c r="J21" s="3016">
        <f t="shared" si="1"/>
        <v>3040.3737505400882</v>
      </c>
    </row>
    <row r="22" spans="2:10" s="83" customFormat="1" ht="18" customHeight="1" x14ac:dyDescent="0.2">
      <c r="B22" s="20" t="s">
        <v>185</v>
      </c>
      <c r="C22" s="3013">
        <f>'Table1.A(a)s2'!H52</f>
        <v>5500.9888800095177</v>
      </c>
      <c r="D22" s="3013">
        <f>'Table1.A(a)s2'!I52</f>
        <v>0.14572418925082048</v>
      </c>
      <c r="E22" s="3013">
        <f>'Table1.A(a)s2'!J52</f>
        <v>4.033965665887608E-2</v>
      </c>
      <c r="F22" s="3014">
        <v>75.795498273096811</v>
      </c>
      <c r="G22" s="3014">
        <v>11.857243856282594</v>
      </c>
      <c r="H22" s="3014">
        <v>4.3565047113152637</v>
      </c>
      <c r="I22" s="3015">
        <v>10.540414871794878</v>
      </c>
      <c r="J22" s="3016">
        <f t="shared" si="1"/>
        <v>5515.7591663231424</v>
      </c>
    </row>
    <row r="23" spans="2:10" s="83" customFormat="1" ht="18" customHeight="1" thickBot="1" x14ac:dyDescent="0.25">
      <c r="B23" s="3039" t="s">
        <v>186</v>
      </c>
      <c r="C23" s="3013">
        <f>'Table1.A(a)s2'!H59</f>
        <v>6682.3364696265344</v>
      </c>
      <c r="D23" s="3013">
        <f>'Table1.A(a)s2'!I59</f>
        <v>0.33639879365268521</v>
      </c>
      <c r="E23" s="3013">
        <f>'Table1.A(a)s2'!J59</f>
        <v>0.26395687418508246</v>
      </c>
      <c r="F23" s="3014">
        <v>246.47483750929197</v>
      </c>
      <c r="G23" s="3014">
        <v>79.93579649697925</v>
      </c>
      <c r="H23" s="3014">
        <v>37.773928042008713</v>
      </c>
      <c r="I23" s="3015">
        <v>10.55082822886107</v>
      </c>
      <c r="J23" s="3016">
        <f t="shared" si="1"/>
        <v>6761.7042075078571</v>
      </c>
    </row>
    <row r="24" spans="2:10" s="83" customFormat="1" ht="18" customHeight="1" x14ac:dyDescent="0.2">
      <c r="B24" s="25" t="s">
        <v>187</v>
      </c>
      <c r="C24" s="3010">
        <f>IF(SUM(C25:C29)=0,"NO",SUM(C25:C29))</f>
        <v>59818.854504549039</v>
      </c>
      <c r="D24" s="3010">
        <f t="shared" ref="D24:I24" si="5">IF(SUM(D25:D29)=0,"NO",SUM(D25:D29))</f>
        <v>26.345084452755309</v>
      </c>
      <c r="E24" s="3010">
        <f t="shared" si="5"/>
        <v>3.0681889642603744</v>
      </c>
      <c r="F24" s="3010">
        <f t="shared" si="5"/>
        <v>361.44922480394467</v>
      </c>
      <c r="G24" s="3010">
        <f t="shared" si="5"/>
        <v>3915.0502143912036</v>
      </c>
      <c r="H24" s="3010">
        <f t="shared" si="5"/>
        <v>377.6735277242451</v>
      </c>
      <c r="I24" s="3011">
        <f t="shared" si="5"/>
        <v>36.262719229362709</v>
      </c>
      <c r="J24" s="3012">
        <f t="shared" si="1"/>
        <v>61369.586944755189</v>
      </c>
    </row>
    <row r="25" spans="2:10" s="83" customFormat="1" ht="18" customHeight="1" x14ac:dyDescent="0.2">
      <c r="B25" s="20" t="s">
        <v>188</v>
      </c>
      <c r="C25" s="1884">
        <f>'Table1.A(a)s3'!H16</f>
        <v>2614.8881951356798</v>
      </c>
      <c r="D25" s="1884">
        <f>'Table1.A(a)s3'!I16</f>
        <v>2.0374282795583468E-2</v>
      </c>
      <c r="E25" s="1884">
        <f>'Table1.A(a)s3'!J16</f>
        <v>2.9889379936353551E-2</v>
      </c>
      <c r="F25" s="3014">
        <v>8.9873575687836116</v>
      </c>
      <c r="G25" s="3014">
        <v>5.7158510048697933</v>
      </c>
      <c r="H25" s="3014">
        <v>0.55868134409391146</v>
      </c>
      <c r="I25" s="3015">
        <v>0.30933500275680009</v>
      </c>
      <c r="J25" s="3016">
        <f t="shared" si="1"/>
        <v>2623.3793607370899</v>
      </c>
    </row>
    <row r="26" spans="2:10" s="83" customFormat="1" ht="18" customHeight="1" x14ac:dyDescent="0.2">
      <c r="B26" s="20" t="s">
        <v>189</v>
      </c>
      <c r="C26" s="1884">
        <f>'Table1.A(a)s3'!H20</f>
        <v>52645.374779282094</v>
      </c>
      <c r="D26" s="1884">
        <f>'Table1.A(a)s3'!I20</f>
        <v>22.41800579982031</v>
      </c>
      <c r="E26" s="1884">
        <f>'Table1.A(a)s3'!J20</f>
        <v>2.2388821724708223</v>
      </c>
      <c r="F26" s="3014">
        <v>269.88362569497338</v>
      </c>
      <c r="G26" s="3014">
        <v>3702.2724561251957</v>
      </c>
      <c r="H26" s="3014">
        <v>341.22721089529716</v>
      </c>
      <c r="I26" s="3015">
        <v>9.0255696681579369</v>
      </c>
      <c r="J26" s="3016">
        <f t="shared" si="1"/>
        <v>53866.382717381835</v>
      </c>
    </row>
    <row r="27" spans="2:10" s="83" customFormat="1" ht="18" customHeight="1" x14ac:dyDescent="0.2">
      <c r="B27" s="20" t="s">
        <v>190</v>
      </c>
      <c r="C27" s="1884">
        <f>'Table1.A(a)s3'!H81</f>
        <v>1733.5200000000002</v>
      </c>
      <c r="D27" s="1884">
        <f>'Table1.A(a)s3'!I81</f>
        <v>9.9199999999999997E-2</v>
      </c>
      <c r="E27" s="1884">
        <f>'Table1.A(a)s3'!J81</f>
        <v>0.74399999999999999</v>
      </c>
      <c r="F27" s="3014">
        <v>37.944000000000003</v>
      </c>
      <c r="G27" s="3014">
        <v>5.0096000000000007</v>
      </c>
      <c r="H27" s="3014">
        <v>1.7608000000000001</v>
      </c>
      <c r="I27" s="3015">
        <v>1.414035087719298</v>
      </c>
      <c r="J27" s="3016">
        <f t="shared" si="1"/>
        <v>1933.4576000000002</v>
      </c>
    </row>
    <row r="28" spans="2:10" s="83" customFormat="1" ht="18" customHeight="1" x14ac:dyDescent="0.2">
      <c r="B28" s="20" t="s">
        <v>191</v>
      </c>
      <c r="C28" s="1884">
        <f>'Table1.A(a)s3'!H88</f>
        <v>2523.2011716982402</v>
      </c>
      <c r="D28" s="1884">
        <f>'Table1.A(a)s3'!I88</f>
        <v>3.7388814420977221</v>
      </c>
      <c r="E28" s="1884">
        <f>'Table1.A(a)s3'!J88</f>
        <v>5.4792953017744311E-2</v>
      </c>
      <c r="F28" s="3014">
        <v>43.464088585007843</v>
      </c>
      <c r="G28" s="3014">
        <v>197.81164802023267</v>
      </c>
      <c r="H28" s="3014">
        <v>33.496412978879505</v>
      </c>
      <c r="I28" s="3015">
        <v>25.509074928475037</v>
      </c>
      <c r="J28" s="3016">
        <f t="shared" si="1"/>
        <v>2642.4099846266786</v>
      </c>
    </row>
    <row r="29" spans="2:10" s="83" customFormat="1" ht="18" customHeight="1" thickBot="1" x14ac:dyDescent="0.25">
      <c r="B29" s="22" t="s">
        <v>192</v>
      </c>
      <c r="C29" s="1888">
        <f>'Table1.A(a)s3'!H99</f>
        <v>301.87035843302601</v>
      </c>
      <c r="D29" s="1888">
        <f>'Table1.A(a)s3'!I99</f>
        <v>6.8622928041692968E-2</v>
      </c>
      <c r="E29" s="1888">
        <f>'Table1.A(a)s3'!J99</f>
        <v>6.2445883545444308E-4</v>
      </c>
      <c r="F29" s="3021">
        <v>1.170152955179762</v>
      </c>
      <c r="G29" s="3021">
        <v>4.2406592409055071</v>
      </c>
      <c r="H29" s="3021">
        <v>0.63042250597454053</v>
      </c>
      <c r="I29" s="3022">
        <v>4.7045422536321655E-3</v>
      </c>
      <c r="J29" s="3023">
        <f t="shared" si="1"/>
        <v>303.95728200958882</v>
      </c>
    </row>
    <row r="30" spans="2:10" ht="18" customHeight="1" x14ac:dyDescent="0.2">
      <c r="B30" s="26" t="s">
        <v>193</v>
      </c>
      <c r="C30" s="3010">
        <f>IF(SUM(C31:C33)=0,"NO",SUM(C31:C33))</f>
        <v>13024.212038643214</v>
      </c>
      <c r="D30" s="3010">
        <f t="shared" ref="D30" si="6">IF(SUM(D31:D33)=0,"NO",SUM(D31:D33))</f>
        <v>97.098418812831753</v>
      </c>
      <c r="E30" s="3010">
        <f t="shared" ref="E30" si="7">IF(SUM(E31:E33)=0,"NO",SUM(E31:E33))</f>
        <v>0.53214797381676537</v>
      </c>
      <c r="F30" s="3010">
        <f t="shared" ref="F30" si="8">IF(SUM(F31:F33)=0,"NO",SUM(F31:F33))</f>
        <v>198.36036237624756</v>
      </c>
      <c r="G30" s="3010">
        <f t="shared" ref="G30" si="9">IF(SUM(G31:G33)=0,"NO",SUM(G31:G33))</f>
        <v>1084.2346034130701</v>
      </c>
      <c r="H30" s="3010">
        <f t="shared" ref="H30" si="10">IF(SUM(H31:H33)=0,"NO",SUM(H31:H33))</f>
        <v>160.09076931222785</v>
      </c>
      <c r="I30" s="3011">
        <f t="shared" ref="I30" si="11">IF(SUM(I31:I33)=0,"NO",SUM(I31:I33))</f>
        <v>7.1768312165339516</v>
      </c>
      <c r="J30" s="3024">
        <f t="shared" si="1"/>
        <v>15883.986978463947</v>
      </c>
    </row>
    <row r="31" spans="2:10" ht="18" customHeight="1" x14ac:dyDescent="0.2">
      <c r="B31" s="20" t="s">
        <v>194</v>
      </c>
      <c r="C31" s="3013">
        <f>'Table1.A(a)s4'!H17</f>
        <v>3591.6438090367897</v>
      </c>
      <c r="D31" s="3013">
        <f>'Table1.A(a)s4'!I17</f>
        <v>5.7170469805194808E-2</v>
      </c>
      <c r="E31" s="3013">
        <f>'Table1.A(a)s4'!J17</f>
        <v>7.0611845995670997E-2</v>
      </c>
      <c r="F31" s="3014">
        <v>6.7962427053030297</v>
      </c>
      <c r="G31" s="3014">
        <v>2.1364436846320336</v>
      </c>
      <c r="H31" s="3014">
        <v>0.48786395531385268</v>
      </c>
      <c r="I31" s="3015">
        <v>3.4475004116059371</v>
      </c>
      <c r="J31" s="3016">
        <f t="shared" si="1"/>
        <v>3611.9567213801879</v>
      </c>
    </row>
    <row r="32" spans="2:10" ht="18" customHeight="1" x14ac:dyDescent="0.2">
      <c r="B32" s="20" t="s">
        <v>195</v>
      </c>
      <c r="C32" s="3013">
        <f>'Table1.A(a)s4'!H38</f>
        <v>6026.6382296064248</v>
      </c>
      <c r="D32" s="3013">
        <f>'Table1.A(a)s4'!I38</f>
        <v>96.861315009693215</v>
      </c>
      <c r="E32" s="3013">
        <f>'Table1.A(a)s4'!J38</f>
        <v>0.28051708020204674</v>
      </c>
      <c r="F32" s="3014">
        <v>8.2703101471350333</v>
      </c>
      <c r="G32" s="3014">
        <v>1025.3844454427237</v>
      </c>
      <c r="H32" s="3014">
        <v>134.25652440453305</v>
      </c>
      <c r="I32" s="3015">
        <v>0.97962319089292604</v>
      </c>
      <c r="J32" s="3016">
        <f t="shared" si="1"/>
        <v>8813.0920761313773</v>
      </c>
    </row>
    <row r="33" spans="2:10" ht="18" customHeight="1" thickBot="1" x14ac:dyDescent="0.25">
      <c r="B33" s="20" t="s">
        <v>196</v>
      </c>
      <c r="C33" s="3013">
        <f>'Table1.A(a)s4'!H59</f>
        <v>3405.9300000000003</v>
      </c>
      <c r="D33" s="3013">
        <f>'Table1.A(a)s4'!I59</f>
        <v>0.17993333333333331</v>
      </c>
      <c r="E33" s="3013">
        <f>'Table1.A(a)s4'!J59</f>
        <v>0.18101904761904761</v>
      </c>
      <c r="F33" s="3014">
        <v>183.2938095238095</v>
      </c>
      <c r="G33" s="3014">
        <v>56.713714285714296</v>
      </c>
      <c r="H33" s="3014">
        <v>25.346380952380951</v>
      </c>
      <c r="I33" s="3015">
        <v>2.749707614035088</v>
      </c>
      <c r="J33" s="3016">
        <f t="shared" si="1"/>
        <v>3458.9381809523816</v>
      </c>
    </row>
    <row r="34" spans="2:10" ht="18" customHeight="1" x14ac:dyDescent="0.2">
      <c r="B34" s="25" t="s">
        <v>197</v>
      </c>
      <c r="C34" s="3010">
        <f>IF(SUM(C35:C36)=0,"NO",SUM(C35:C36))</f>
        <v>418.99551792193483</v>
      </c>
      <c r="D34" s="3010">
        <f t="shared" ref="D34:E34" si="12">IF(SUM(D35:D36)=0,"NO",SUM(D35:D36))</f>
        <v>2.6183991477554305E-2</v>
      </c>
      <c r="E34" s="3010">
        <f t="shared" si="12"/>
        <v>1.1196441665532852E-2</v>
      </c>
      <c r="F34" s="3010">
        <f t="shared" ref="F34:I34" si="13">IF(SUM(F35:F36)=0,"NO",SUM(F35:F36))</f>
        <v>4.4067815222614115</v>
      </c>
      <c r="G34" s="3010">
        <f t="shared" si="13"/>
        <v>5.9147459367815376</v>
      </c>
      <c r="H34" s="3010">
        <f t="shared" si="13"/>
        <v>0.50975529714912982</v>
      </c>
      <c r="I34" s="3011">
        <f t="shared" si="13"/>
        <v>0.19180842224998346</v>
      </c>
      <c r="J34" s="3012">
        <f t="shared" si="1"/>
        <v>422.69572672467257</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418.99551792193483</v>
      </c>
      <c r="D36" s="3025">
        <f>'Table1.A(a)s4'!I108</f>
        <v>2.6183991477554305E-2</v>
      </c>
      <c r="E36" s="3025">
        <f>'Table1.A(a)s4'!J108</f>
        <v>1.1196441665532852E-2</v>
      </c>
      <c r="F36" s="3021">
        <v>4.4067815222614115</v>
      </c>
      <c r="G36" s="3021">
        <v>5.9147459367815376</v>
      </c>
      <c r="H36" s="3021">
        <v>0.50975529714912982</v>
      </c>
      <c r="I36" s="3022">
        <v>0.19180842224998346</v>
      </c>
      <c r="J36" s="3023">
        <f t="shared" si="1"/>
        <v>422.69572672467257</v>
      </c>
    </row>
    <row r="37" spans="2:10" ht="18" customHeight="1" thickBot="1" x14ac:dyDescent="0.25">
      <c r="B37" s="18" t="s">
        <v>201</v>
      </c>
      <c r="C37" s="3010">
        <f>IF(SUM(C38,C42)=0,"NO",SUM(C38,C42))</f>
        <v>7272.7231847369876</v>
      </c>
      <c r="D37" s="3010">
        <f t="shared" ref="D37:I37" si="14">IF(SUM(D38,D42)=0,"NO",SUM(D38,D42))</f>
        <v>1178.6769065956021</v>
      </c>
      <c r="E37" s="3010">
        <f t="shared" si="14"/>
        <v>0.13505158334716988</v>
      </c>
      <c r="F37" s="3010">
        <f t="shared" si="14"/>
        <v>4.1628340377234334</v>
      </c>
      <c r="G37" s="3010">
        <f t="shared" si="14"/>
        <v>24.14583741879591</v>
      </c>
      <c r="H37" s="3010">
        <f t="shared" si="14"/>
        <v>179.32598595557243</v>
      </c>
      <c r="I37" s="3011" t="str">
        <f t="shared" si="14"/>
        <v>NO</v>
      </c>
      <c r="J37" s="3012">
        <f t="shared" si="1"/>
        <v>40311.465239000841</v>
      </c>
    </row>
    <row r="38" spans="2:10" ht="18" customHeight="1" x14ac:dyDescent="0.2">
      <c r="B38" s="26" t="s">
        <v>202</v>
      </c>
      <c r="C38" s="3010">
        <f>IF(SUM(C39:C41)=0,"NO",SUM(C39:C41))</f>
        <v>1183.8805823664284</v>
      </c>
      <c r="D38" s="3010">
        <f t="shared" ref="D38" si="15">IF(SUM(D39:D41)=0,"NO",SUM(D39:D41))</f>
        <v>871.21359774724669</v>
      </c>
      <c r="E38" s="3010">
        <f t="shared" ref="E38" si="16">IF(SUM(E39:E41)=0,"NO",SUM(E39:E41))</f>
        <v>5.3299565513660411E-7</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25577.861460533186</v>
      </c>
    </row>
    <row r="39" spans="2:10" ht="18" customHeight="1" x14ac:dyDescent="0.2">
      <c r="B39" s="20" t="s">
        <v>203</v>
      </c>
      <c r="C39" s="3013">
        <f>'Table1.B.1'!G10</f>
        <v>1183.8805823664284</v>
      </c>
      <c r="D39" s="3013">
        <f>'Table1.B.1'!F10</f>
        <v>871.21359774724669</v>
      </c>
      <c r="E39" s="3014">
        <v>5.3299565513660411E-7</v>
      </c>
      <c r="F39" s="3014" t="s">
        <v>199</v>
      </c>
      <c r="G39" s="3014" t="s">
        <v>199</v>
      </c>
      <c r="H39" s="3014" t="s">
        <v>199</v>
      </c>
      <c r="I39" s="2940"/>
      <c r="J39" s="3016">
        <f t="shared" si="1"/>
        <v>25577.861460533186</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6088.8426023705597</v>
      </c>
      <c r="D42" s="3010">
        <f t="shared" ref="D42:I42" si="21">IF(SUM(D43:D46)=0,"NO",SUM(D43:D46))</f>
        <v>307.46330884835538</v>
      </c>
      <c r="E42" s="4491">
        <f t="shared" si="21"/>
        <v>0.13505105035151474</v>
      </c>
      <c r="F42" s="3010">
        <f t="shared" si="21"/>
        <v>4.1628340377234334</v>
      </c>
      <c r="G42" s="3010">
        <f t="shared" si="21"/>
        <v>24.14583741879591</v>
      </c>
      <c r="H42" s="3010">
        <f t="shared" si="21"/>
        <v>179.32598595557243</v>
      </c>
      <c r="I42" s="3011" t="str">
        <f t="shared" si="21"/>
        <v>NO</v>
      </c>
      <c r="J42" s="3012">
        <f t="shared" ref="J42:J59" si="22">IF(SUM(C42:E42)=0,"NO",SUM(C42,IFERROR(28*D42,0),IFERROR(265*E42,0)))</f>
        <v>14733.603778467663</v>
      </c>
    </row>
    <row r="43" spans="2:10" ht="18" customHeight="1" x14ac:dyDescent="0.2">
      <c r="B43" s="20" t="s">
        <v>208</v>
      </c>
      <c r="C43" s="3013">
        <f>'Table1.B.2'!I10</f>
        <v>393.89749285694324</v>
      </c>
      <c r="D43" s="3013">
        <f>'Table1.B.2'!J10</f>
        <v>3.1183950275781536</v>
      </c>
      <c r="E43" s="4492">
        <f>'Table1.B.2'!K10</f>
        <v>1.1920853502942905E-2</v>
      </c>
      <c r="F43" s="3014">
        <v>0.21811119999999998</v>
      </c>
      <c r="G43" s="3014">
        <v>1.26504496</v>
      </c>
      <c r="H43" s="3014">
        <v>89.495945599999999</v>
      </c>
      <c r="I43" s="3015" t="s">
        <v>199</v>
      </c>
      <c r="J43" s="3016">
        <f t="shared" si="22"/>
        <v>484.37157980741142</v>
      </c>
    </row>
    <row r="44" spans="2:10" ht="18" customHeight="1" x14ac:dyDescent="0.2">
      <c r="B44" s="20" t="s">
        <v>209</v>
      </c>
      <c r="C44" s="3013">
        <f>SUM('Table1.B.2'!I21)</f>
        <v>84.546373705096045</v>
      </c>
      <c r="D44" s="3013">
        <f>'Table1.B.2'!J21</f>
        <v>200.80427180991666</v>
      </c>
      <c r="E44" s="4492">
        <f>'Table1.B.2'!K21</f>
        <v>2.1751000090130695E-3</v>
      </c>
      <c r="F44" s="3014">
        <v>4.0279629796538326E-2</v>
      </c>
      <c r="G44" s="3014">
        <v>0.23362185281992226</v>
      </c>
      <c r="H44" s="3014">
        <v>50.782608276303499</v>
      </c>
      <c r="I44" s="3015" t="s">
        <v>199</v>
      </c>
      <c r="J44" s="3016">
        <f t="shared" si="22"/>
        <v>5707.6423858851513</v>
      </c>
    </row>
    <row r="45" spans="2:10" ht="18" customHeight="1" x14ac:dyDescent="0.2">
      <c r="B45" s="20" t="s">
        <v>210</v>
      </c>
      <c r="C45" s="3013">
        <f>'Table1.B.2'!I31</f>
        <v>5610.3987358085205</v>
      </c>
      <c r="D45" s="3013">
        <f>'Table1.B.2'!J31</f>
        <v>103.54064201086059</v>
      </c>
      <c r="E45" s="4492">
        <f>'Table1.B.2'!K31</f>
        <v>0.12095509683955875</v>
      </c>
      <c r="F45" s="3014">
        <v>3.9044432079268949</v>
      </c>
      <c r="G45" s="3014">
        <v>22.647170605975987</v>
      </c>
      <c r="H45" s="3014">
        <v>39.047432079268944</v>
      </c>
      <c r="I45" s="3015" t="s">
        <v>199</v>
      </c>
      <c r="J45" s="3016">
        <f t="shared" si="22"/>
        <v>8541.5898127751007</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6460.402</v>
      </c>
      <c r="D52" s="3013">
        <f t="shared" ref="D52:I52" si="23">IF(SUM(D53:D54)=0,"NO",SUM(D53:D54))</f>
        <v>0.20738744833333336</v>
      </c>
      <c r="E52" s="3013">
        <f t="shared" si="23"/>
        <v>7.9993873321929823E-2</v>
      </c>
      <c r="F52" s="3013">
        <f t="shared" si="23"/>
        <v>76.895369280614034</v>
      </c>
      <c r="G52" s="3013">
        <f t="shared" si="23"/>
        <v>8.8486802076315776</v>
      </c>
      <c r="H52" s="3013">
        <f t="shared" si="23"/>
        <v>5.0486217502543864</v>
      </c>
      <c r="I52" s="3034">
        <f t="shared" si="23"/>
        <v>30.231947792172743</v>
      </c>
      <c r="J52" s="3016">
        <f t="shared" si="22"/>
        <v>6487.4072249836445</v>
      </c>
    </row>
    <row r="53" spans="2:10" ht="18" customHeight="1" x14ac:dyDescent="0.2">
      <c r="B53" s="164" t="s">
        <v>218</v>
      </c>
      <c r="C53" s="3013">
        <f>Table1.D!G10</f>
        <v>4382.7120000000004</v>
      </c>
      <c r="D53" s="3013">
        <f>Table1.D!H10</f>
        <v>7.8174483333333343E-3</v>
      </c>
      <c r="E53" s="3013">
        <f>Table1.D!I10</f>
        <v>2.2973873321929825E-2</v>
      </c>
      <c r="F53" s="3014">
        <v>22.218969280614033</v>
      </c>
      <c r="G53" s="3014">
        <v>6.9302202076315771</v>
      </c>
      <c r="H53" s="3014">
        <v>3.3473517502543864</v>
      </c>
      <c r="I53" s="3015">
        <v>0.51635400000000009</v>
      </c>
      <c r="J53" s="3016">
        <f t="shared" si="22"/>
        <v>4389.0189649836448</v>
      </c>
    </row>
    <row r="54" spans="2:10" ht="18" customHeight="1" x14ac:dyDescent="0.2">
      <c r="B54" s="164" t="s">
        <v>219</v>
      </c>
      <c r="C54" s="3013">
        <f>Table1.D!G14</f>
        <v>2077.69</v>
      </c>
      <c r="D54" s="3013">
        <f>Table1.D!H14</f>
        <v>0.19957000000000003</v>
      </c>
      <c r="E54" s="3013">
        <f>Table1.D!I14</f>
        <v>5.7020000000000001E-2</v>
      </c>
      <c r="F54" s="3014">
        <v>54.676400000000001</v>
      </c>
      <c r="G54" s="3014">
        <v>1.9184600000000001</v>
      </c>
      <c r="H54" s="3014">
        <v>1.7012700000000001</v>
      </c>
      <c r="I54" s="3015">
        <v>29.715593792172744</v>
      </c>
      <c r="J54" s="3016">
        <f t="shared" si="22"/>
        <v>2098.3882599999997</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15142.26513</v>
      </c>
      <c r="D56" s="3035"/>
      <c r="E56" s="3035"/>
      <c r="F56" s="3035"/>
      <c r="G56" s="3035"/>
      <c r="H56" s="3035"/>
      <c r="I56" s="2976"/>
      <c r="J56" s="3020">
        <f t="shared" si="22"/>
        <v>15142.26513</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4" t="s">
        <v>227</v>
      </c>
      <c r="C77" s="4495"/>
      <c r="D77" s="4495"/>
      <c r="E77" s="4495"/>
      <c r="F77" s="4495"/>
      <c r="G77" s="4495"/>
      <c r="H77" s="4495"/>
      <c r="I77" s="4495"/>
      <c r="J77" s="4496"/>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2459</v>
      </c>
    </row>
    <row r="2" spans="2:13" ht="15.95" customHeight="1" x14ac:dyDescent="0.25">
      <c r="B2" s="2294" t="s">
        <v>1278</v>
      </c>
      <c r="C2" s="2294"/>
      <c r="D2" s="2294"/>
      <c r="E2" s="2294"/>
      <c r="F2" s="2294"/>
      <c r="G2" s="2294"/>
      <c r="H2" s="2294"/>
      <c r="I2" s="2292"/>
      <c r="J2" s="2292"/>
      <c r="K2" s="2292"/>
      <c r="L2" s="2292"/>
      <c r="M2" s="14" t="s">
        <v>2460</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137916.031298605</v>
      </c>
      <c r="D10" s="3491" t="s">
        <v>199</v>
      </c>
      <c r="E10" s="3491">
        <v>84.339692110000001</v>
      </c>
      <c r="F10" s="3491">
        <v>806.15658948099997</v>
      </c>
      <c r="G10" s="3491" t="s">
        <v>199</v>
      </c>
      <c r="H10" s="3491">
        <v>2.4617883780000001</v>
      </c>
      <c r="I10" s="3491" t="s">
        <v>199</v>
      </c>
      <c r="J10" s="3491">
        <v>27.070305762</v>
      </c>
      <c r="K10" s="3491" t="s">
        <v>199</v>
      </c>
      <c r="L10" s="3491" t="s">
        <v>199</v>
      </c>
      <c r="M10" s="3492">
        <f>IF(SUM(C10:L10)=0,"NO",SUM(C10:L10))</f>
        <v>138836.05967433596</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13.011278688000001</v>
      </c>
      <c r="D12" s="3491" t="s">
        <v>199</v>
      </c>
      <c r="E12" s="3491">
        <v>39528.826053311001</v>
      </c>
      <c r="F12" s="3491" t="s">
        <v>274</v>
      </c>
      <c r="G12" s="3491" t="s">
        <v>199</v>
      </c>
      <c r="H12" s="3491" t="s">
        <v>274</v>
      </c>
      <c r="I12" s="3491" t="s">
        <v>199</v>
      </c>
      <c r="J12" s="3491" t="s">
        <v>274</v>
      </c>
      <c r="K12" s="3491" t="s">
        <v>199</v>
      </c>
      <c r="L12" s="3491" t="s">
        <v>199</v>
      </c>
      <c r="M12" s="3492">
        <f t="shared" si="0"/>
        <v>39541.837331998999</v>
      </c>
    </row>
    <row r="13" spans="2:13" ht="18" customHeight="1" x14ac:dyDescent="0.2">
      <c r="B13" s="2303" t="s">
        <v>1296</v>
      </c>
      <c r="C13" s="3491">
        <v>629.77905810499999</v>
      </c>
      <c r="D13" s="3491" t="s">
        <v>199</v>
      </c>
      <c r="E13" s="3491" t="s">
        <v>274</v>
      </c>
      <c r="F13" s="3491">
        <v>514565.79335514398</v>
      </c>
      <c r="G13" s="3491" t="s">
        <v>199</v>
      </c>
      <c r="H13" s="3491" t="s">
        <v>274</v>
      </c>
      <c r="I13" s="3491" t="s">
        <v>199</v>
      </c>
      <c r="J13" s="3491" t="s">
        <v>274</v>
      </c>
      <c r="K13" s="3491" t="s">
        <v>199</v>
      </c>
      <c r="L13" s="3491" t="s">
        <v>199</v>
      </c>
      <c r="M13" s="3492">
        <f t="shared" si="0"/>
        <v>515195.572413249</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8.5144183560000002</v>
      </c>
      <c r="D15" s="3491" t="s">
        <v>199</v>
      </c>
      <c r="E15" s="3491">
        <v>0.63304705100000003</v>
      </c>
      <c r="F15" s="3491">
        <v>2.443871627</v>
      </c>
      <c r="G15" s="3491" t="s">
        <v>199</v>
      </c>
      <c r="H15" s="3491">
        <v>13457.614970500999</v>
      </c>
      <c r="I15" s="3491" t="s">
        <v>199</v>
      </c>
      <c r="J15" s="3491" t="s">
        <v>199</v>
      </c>
      <c r="K15" s="3491" t="s">
        <v>199</v>
      </c>
      <c r="L15" s="3491" t="s">
        <v>199</v>
      </c>
      <c r="M15" s="3492">
        <f t="shared" si="0"/>
        <v>13469.206307535</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4.6409460400000002</v>
      </c>
      <c r="D17" s="3491" t="s">
        <v>199</v>
      </c>
      <c r="E17" s="3491" t="s">
        <v>199</v>
      </c>
      <c r="F17" s="3491" t="s">
        <v>199</v>
      </c>
      <c r="G17" s="3491" t="s">
        <v>199</v>
      </c>
      <c r="H17" s="3491" t="s">
        <v>199</v>
      </c>
      <c r="I17" s="3491" t="s">
        <v>199</v>
      </c>
      <c r="J17" s="3491">
        <v>1089.0544810199999</v>
      </c>
      <c r="K17" s="3491" t="s">
        <v>199</v>
      </c>
      <c r="L17" s="3491" t="s">
        <v>199</v>
      </c>
      <c r="M17" s="3492">
        <f t="shared" si="0"/>
        <v>1093.6954270599999</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138571.97699979399</v>
      </c>
      <c r="D20" s="3493" t="str">
        <f t="shared" ref="D20:L20" si="1">IF(SUM(D10:D19)=0,"NO",SUM(D10:D19))</f>
        <v>NO</v>
      </c>
      <c r="E20" s="3493">
        <f t="shared" si="1"/>
        <v>39613.798792472</v>
      </c>
      <c r="F20" s="3493">
        <f t="shared" si="1"/>
        <v>515374.39381625195</v>
      </c>
      <c r="G20" s="3493" t="str">
        <f t="shared" si="1"/>
        <v>NO</v>
      </c>
      <c r="H20" s="3493">
        <f t="shared" si="1"/>
        <v>13460.076758878999</v>
      </c>
      <c r="I20" s="3493" t="str">
        <f t="shared" si="1"/>
        <v>NO</v>
      </c>
      <c r="J20" s="3493">
        <f t="shared" si="1"/>
        <v>1116.124786782</v>
      </c>
      <c r="K20" s="3493">
        <f t="shared" si="1"/>
        <v>60692.328845821001</v>
      </c>
      <c r="L20" s="3493" t="str">
        <f t="shared" si="1"/>
        <v>NO</v>
      </c>
      <c r="M20" s="3492">
        <f t="shared" si="0"/>
        <v>768828.69999999984</v>
      </c>
    </row>
    <row r="21" spans="2:13" ht="18" customHeight="1" thickBot="1" x14ac:dyDescent="0.25">
      <c r="B21" s="2305" t="s">
        <v>1304</v>
      </c>
      <c r="C21" s="3494">
        <f>IF(SUM(C20)=0,"NO",C20-M10)</f>
        <v>-264.0826745419763</v>
      </c>
      <c r="D21" s="3494" t="str">
        <f>IF(SUM(D20)=0,"NO",D20-M11)</f>
        <v>NO</v>
      </c>
      <c r="E21" s="3494">
        <f>IF(SUM(E20)=0,"NO",E20-M12)</f>
        <v>71.961460473001353</v>
      </c>
      <c r="F21" s="3494">
        <f>IF(SUM(F20)=0,"NO",F20-M13)</f>
        <v>178.8214030029485</v>
      </c>
      <c r="G21" s="3494" t="str">
        <f>IF(SUM(G20)=0,"NO",G20-M14)</f>
        <v>NO</v>
      </c>
      <c r="H21" s="3494">
        <f>IF(SUM(H20)=0,"NO",H20-M15)</f>
        <v>-9.1295486560011341</v>
      </c>
      <c r="I21" s="3494" t="str">
        <f>IF(SUM(I20)=0,"NO",I20-M16)</f>
        <v>NO</v>
      </c>
      <c r="J21" s="3494">
        <f>IF(SUM(J20)=0,"NO",J20-M17)</f>
        <v>22.429359722000072</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2459</v>
      </c>
    </row>
    <row r="2" spans="2:23" ht="15.75" x14ac:dyDescent="0.25">
      <c r="B2" s="13" t="s">
        <v>1306</v>
      </c>
      <c r="S2" s="83" t="s">
        <v>560</v>
      </c>
      <c r="U2" s="14" t="s">
        <v>2460</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138666.59716025938</v>
      </c>
      <c r="E10" s="3498">
        <f t="shared" ref="E10:U10" si="0">IF(SUM(E11,E16)=0,"IE",SUM(E11,E16))</f>
        <v>138571.97699979474</v>
      </c>
      <c r="F10" s="3499">
        <f t="shared" si="0"/>
        <v>94.62016046465186</v>
      </c>
      <c r="G10" s="3500">
        <f t="shared" ref="G10:K11" si="1">IFERROR(IF(SUM($D10)=0,"NA",N10/$D10),"NA")</f>
        <v>3.5825429147825098E-2</v>
      </c>
      <c r="H10" s="3057">
        <f t="shared" si="1"/>
        <v>-1.364578199154918E-2</v>
      </c>
      <c r="I10" s="3057">
        <f t="shared" si="1"/>
        <v>2.2179647156275923E-2</v>
      </c>
      <c r="J10" s="3057">
        <f t="shared" si="1"/>
        <v>1.6609035517781381E-2</v>
      </c>
      <c r="K10" s="3057">
        <f t="shared" si="1"/>
        <v>5.518832818037024E-3</v>
      </c>
      <c r="L10" s="3057">
        <f>IFERROR(IF(SUM(E10)=0,"NA",S10/E10),"NA")</f>
        <v>-1.8320245539874689E-2</v>
      </c>
      <c r="M10" s="3106">
        <f>IFERROR(IF(SUM(F10)=0,"NA",T10/F10),"NA")</f>
        <v>-0.24999706179253278</v>
      </c>
      <c r="N10" s="3501">
        <f t="shared" si="0"/>
        <v>4967.7903517348777</v>
      </c>
      <c r="O10" s="3502">
        <f t="shared" si="0"/>
        <v>-1892.2141543588721</v>
      </c>
      <c r="P10" s="3502">
        <f t="shared" si="0"/>
        <v>3075.5761973760059</v>
      </c>
      <c r="Q10" s="3502">
        <f t="shared" si="0"/>
        <v>2303.1184373646311</v>
      </c>
      <c r="R10" s="3502">
        <f t="shared" si="0"/>
        <v>765.27776717355903</v>
      </c>
      <c r="S10" s="3502">
        <f t="shared" si="0"/>
        <v>-2538.6726435821074</v>
      </c>
      <c r="T10" s="3503">
        <f t="shared" si="0"/>
        <v>-23.654762102500939</v>
      </c>
      <c r="U10" s="4260">
        <f t="shared" si="0"/>
        <v>-13132.69831950849</v>
      </c>
      <c r="W10" s="2422"/>
    </row>
    <row r="11" spans="2:23" ht="18" customHeight="1" x14ac:dyDescent="0.2">
      <c r="B11" s="492" t="s">
        <v>1253</v>
      </c>
      <c r="C11" s="2282"/>
      <c r="D11" s="3504">
        <f>IF(SUM(D12:D15)=0,"IE",SUM(D12:D15))</f>
        <v>135351.25949558301</v>
      </c>
      <c r="E11" s="3505">
        <f t="shared" ref="E11:U11" si="2">IF(SUM(E12:E15)=0,"IE",SUM(E12:E15))</f>
        <v>135351.25949558301</v>
      </c>
      <c r="F11" s="3506" t="str">
        <f t="shared" si="2"/>
        <v>IE</v>
      </c>
      <c r="G11" s="3500">
        <f t="shared" si="1"/>
        <v>1.7363068580571815E-2</v>
      </c>
      <c r="H11" s="3057">
        <f t="shared" si="1"/>
        <v>-1.3975402158433362E-2</v>
      </c>
      <c r="I11" s="3057">
        <f t="shared" si="1"/>
        <v>3.3876664221384528E-3</v>
      </c>
      <c r="J11" s="3057">
        <f t="shared" si="1"/>
        <v>1.3284442794406045E-2</v>
      </c>
      <c r="K11" s="3057">
        <f t="shared" si="1"/>
        <v>4.2802233308836439E-3</v>
      </c>
      <c r="L11" s="3057">
        <f t="shared" ref="L11:L28" si="3">IFERROR(IF(SUM(E11)=0,"NA",S11/E11),"NA")</f>
        <v>-6.9360450943661703E-3</v>
      </c>
      <c r="M11" s="3106" t="str">
        <f t="shared" ref="M11:M28" si="4">IFERROR(IF(SUM(F11)=0,"NA",T11/F11),"NA")</f>
        <v>NA</v>
      </c>
      <c r="N11" s="3087">
        <f t="shared" si="2"/>
        <v>2350.1132010885799</v>
      </c>
      <c r="O11" s="3087">
        <f t="shared" si="2"/>
        <v>-1891.5882841012449</v>
      </c>
      <c r="P11" s="3087">
        <f t="shared" si="2"/>
        <v>458.52491698733502</v>
      </c>
      <c r="Q11" s="3087">
        <f t="shared" si="2"/>
        <v>1798.0660639198804</v>
      </c>
      <c r="R11" s="3507">
        <f t="shared" si="2"/>
        <v>579.33361875748074</v>
      </c>
      <c r="S11" s="3507">
        <f t="shared" si="2"/>
        <v>-938.80243944062113</v>
      </c>
      <c r="T11" s="3507" t="str">
        <f t="shared" si="2"/>
        <v>IE</v>
      </c>
      <c r="U11" s="4261">
        <f t="shared" si="2"/>
        <v>-6956.1145874882768</v>
      </c>
      <c r="W11" s="2423"/>
    </row>
    <row r="12" spans="2:23" ht="18" customHeight="1" x14ac:dyDescent="0.2">
      <c r="B12" s="490"/>
      <c r="C12" s="498" t="s">
        <v>1339</v>
      </c>
      <c r="D12" s="3509">
        <f>IF(SUM(E12:F12)=0,E12,SUM(E12:F12))</f>
        <v>17570.360903149922</v>
      </c>
      <c r="E12" s="3510">
        <v>17570.360903149922</v>
      </c>
      <c r="F12" s="3496" t="s">
        <v>274</v>
      </c>
      <c r="G12" s="3500">
        <f>IFERROR(IF(SUM($D12)=0,"NA",N12/$D12),"NA")</f>
        <v>1.2507839274403052E-2</v>
      </c>
      <c r="H12" s="3057" t="str">
        <f>IFERROR(IF(SUM($D12)=0,"NA",O12/$D12),"NA")</f>
        <v>NA</v>
      </c>
      <c r="I12" s="3057">
        <f>IFERROR(IF(SUM($D12)=0,"NA",P12/$D12),"NA")</f>
        <v>1.2507839274403052E-2</v>
      </c>
      <c r="J12" s="3057">
        <f>IFERROR(IF(SUM($D12)=0,"NA",Q12/$D12),"NA")</f>
        <v>9.8287055099373979E-2</v>
      </c>
      <c r="K12" s="3057">
        <f>IFERROR(IF(SUM($D12)=0,"NA",R12/$D12),"NA")</f>
        <v>3.4767650040985233E-2</v>
      </c>
      <c r="L12" s="3057">
        <f t="shared" si="3"/>
        <v>-6.0924669781508428E-2</v>
      </c>
      <c r="M12" s="3106" t="str">
        <f t="shared" si="4"/>
        <v>NA</v>
      </c>
      <c r="N12" s="2917">
        <v>219.76725016985446</v>
      </c>
      <c r="O12" s="2917" t="s">
        <v>274</v>
      </c>
      <c r="P12" s="3087">
        <f>IF(SUM(N12:O12)=0,N12,SUM(N12:O12))</f>
        <v>219.76725016985446</v>
      </c>
      <c r="Q12" s="2917">
        <v>1726.9390302037827</v>
      </c>
      <c r="R12" s="2918">
        <v>610.88015897452567</v>
      </c>
      <c r="S12" s="2918">
        <v>-1070.4684359663352</v>
      </c>
      <c r="T12" s="2918" t="s">
        <v>274</v>
      </c>
      <c r="U12" s="4262">
        <f>IF(SUM(P12:T12)=0,P12,SUM(P12:T12)*-44/12)</f>
        <v>-5452.7660124000349</v>
      </c>
      <c r="W12" s="2424"/>
    </row>
    <row r="13" spans="2:23" ht="18" customHeight="1" x14ac:dyDescent="0.2">
      <c r="B13" s="490"/>
      <c r="C13" s="498" t="s">
        <v>1340</v>
      </c>
      <c r="D13" s="3509">
        <f t="shared" ref="D13:D15" si="5">IF(SUM(E13:F13)=0,E13,SUM(E13:F13))</f>
        <v>681.45988290815069</v>
      </c>
      <c r="E13" s="3510">
        <v>681.45988290815069</v>
      </c>
      <c r="F13" s="3496" t="s">
        <v>274</v>
      </c>
      <c r="G13" s="3500">
        <f t="shared" ref="G13:K28" si="6">IFERROR(IF(SUM($D13)=0,"NA",N13/$D13),"NA")</f>
        <v>3.1261502024556598</v>
      </c>
      <c r="H13" s="3057" t="str">
        <f t="shared" si="6"/>
        <v>NA</v>
      </c>
      <c r="I13" s="3057">
        <f t="shared" si="6"/>
        <v>3.1261502024556598</v>
      </c>
      <c r="J13" s="3057">
        <f t="shared" si="6"/>
        <v>-0.22303469912655102</v>
      </c>
      <c r="K13" s="3057">
        <f t="shared" si="6"/>
        <v>-4.9913160276236677E-2</v>
      </c>
      <c r="L13" s="3057">
        <f t="shared" si="3"/>
        <v>0.19321166194527176</v>
      </c>
      <c r="M13" s="3106" t="str">
        <f t="shared" si="4"/>
        <v>NA</v>
      </c>
      <c r="N13" s="2917">
        <v>2130.3459509187255</v>
      </c>
      <c r="O13" s="2917" t="s">
        <v>274</v>
      </c>
      <c r="P13" s="3087">
        <f t="shared" ref="P13:P15" si="7">IF(SUM(N13:O13)=0,N13,SUM(N13:O13))</f>
        <v>2130.3459509187255</v>
      </c>
      <c r="Q13" s="2917">
        <v>-151.98919995123407</v>
      </c>
      <c r="R13" s="2918">
        <v>-34.013816357420005</v>
      </c>
      <c r="S13" s="2918">
        <v>131.66599652571409</v>
      </c>
      <c r="T13" s="2918" t="s">
        <v>274</v>
      </c>
      <c r="U13" s="4262">
        <f t="shared" ref="U13:U15" si="8">IF(SUM(P13:T13)=0,P13,SUM(P13:T13)*-44/12)</f>
        <v>-7612.0327474978803</v>
      </c>
      <c r="W13" s="2424"/>
    </row>
    <row r="14" spans="2:23" ht="18" customHeight="1" x14ac:dyDescent="0.2">
      <c r="B14" s="490"/>
      <c r="C14" s="498" t="s">
        <v>1341</v>
      </c>
      <c r="D14" s="3509">
        <f t="shared" si="5"/>
        <v>117099.43870952494</v>
      </c>
      <c r="E14" s="3510">
        <v>117099.43870952494</v>
      </c>
      <c r="F14" s="3496" t="s">
        <v>274</v>
      </c>
      <c r="G14" s="3500" t="str">
        <f t="shared" si="6"/>
        <v>NA</v>
      </c>
      <c r="H14" s="3057">
        <f t="shared" si="6"/>
        <v>-1.4792691145883332E-3</v>
      </c>
      <c r="I14" s="3057">
        <f t="shared" si="6"/>
        <v>-1.4792691145883332E-3</v>
      </c>
      <c r="J14" s="3057">
        <f t="shared" si="6"/>
        <v>-1.2212195313838928E-3</v>
      </c>
      <c r="K14" s="3057">
        <f t="shared" si="6"/>
        <v>2.106992285842944E-5</v>
      </c>
      <c r="L14" s="3057" t="str">
        <f t="shared" si="3"/>
        <v>NA</v>
      </c>
      <c r="M14" s="3106" t="str">
        <f t="shared" si="4"/>
        <v>NA</v>
      </c>
      <c r="N14" s="2917" t="s">
        <v>274</v>
      </c>
      <c r="O14" s="2917">
        <v>-173.22158301862976</v>
      </c>
      <c r="P14" s="3087">
        <f t="shared" si="7"/>
        <v>-173.22158301862976</v>
      </c>
      <c r="Q14" s="2917">
        <v>-143.00412166616292</v>
      </c>
      <c r="R14" s="2918">
        <v>2.4672761403750769</v>
      </c>
      <c r="S14" s="2918" t="s">
        <v>205</v>
      </c>
      <c r="T14" s="2918" t="s">
        <v>205</v>
      </c>
      <c r="U14" s="4262">
        <f t="shared" si="8"/>
        <v>1150.4475713295312</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-1718.3667010826152</v>
      </c>
      <c r="P15" s="3087">
        <f t="shared" si="7"/>
        <v>-1718.3667010826152</v>
      </c>
      <c r="Q15" s="2917">
        <v>366.12035533349473</v>
      </c>
      <c r="R15" s="2918" t="s">
        <v>205</v>
      </c>
      <c r="S15" s="2918" t="s">
        <v>205</v>
      </c>
      <c r="T15" s="2918" t="s">
        <v>205</v>
      </c>
      <c r="U15" s="4262">
        <f t="shared" si="8"/>
        <v>4958.2366010801088</v>
      </c>
      <c r="W15" s="2424"/>
    </row>
    <row r="16" spans="2:23" ht="18" customHeight="1" x14ac:dyDescent="0.2">
      <c r="B16" s="475" t="s">
        <v>1343</v>
      </c>
      <c r="C16" s="494"/>
      <c r="D16" s="3509">
        <f>IF(SUM(D17,D19,D23,D25,D27)=0,"IE",SUM(D17,D19,D23,D25,D27))</f>
        <v>3315.3376646763722</v>
      </c>
      <c r="E16" s="3512">
        <f t="shared" ref="E16:T16" si="9">IF(SUM(E17,E19,E23,E25,E27)=0,"IE",SUM(E17,E19,E23,E25,E27))</f>
        <v>3220.7175042117206</v>
      </c>
      <c r="F16" s="3513">
        <f t="shared" si="9"/>
        <v>94.62016046465186</v>
      </c>
      <c r="G16" s="3500">
        <f t="shared" si="6"/>
        <v>0.78956577441164599</v>
      </c>
      <c r="H16" s="3057">
        <f t="shared" si="6"/>
        <v>-1.8878024531124592E-4</v>
      </c>
      <c r="I16" s="3057">
        <f t="shared" si="6"/>
        <v>0.78937699416633489</v>
      </c>
      <c r="J16" s="3057">
        <f t="shared" si="6"/>
        <v>0.152338140041024</v>
      </c>
      <c r="K16" s="3057">
        <f t="shared" si="6"/>
        <v>5.608603624217242E-2</v>
      </c>
      <c r="L16" s="3057">
        <f t="shared" si="3"/>
        <v>-0.49674341262446708</v>
      </c>
      <c r="M16" s="3106">
        <f t="shared" si="4"/>
        <v>-0.24999706179253278</v>
      </c>
      <c r="N16" s="3057">
        <f t="shared" si="9"/>
        <v>2617.6771506462978</v>
      </c>
      <c r="O16" s="3057">
        <f t="shared" si="9"/>
        <v>-0.62587025762721871</v>
      </c>
      <c r="P16" s="3057">
        <f t="shared" si="9"/>
        <v>2617.0512803886709</v>
      </c>
      <c r="Q16" s="3057">
        <f t="shared" si="9"/>
        <v>505.05237344475063</v>
      </c>
      <c r="R16" s="3514">
        <f t="shared" si="9"/>
        <v>185.94414841607829</v>
      </c>
      <c r="S16" s="3514">
        <f t="shared" si="9"/>
        <v>-1599.8702041414865</v>
      </c>
      <c r="T16" s="3514">
        <f t="shared" si="9"/>
        <v>-23.654762102500939</v>
      </c>
      <c r="U16" s="4262">
        <f>IF(SUM(U17,U19,U23,U25,U27)=0,"IE",SUM(U17,U19,U23,U25,U27))</f>
        <v>-6176.5837320202127</v>
      </c>
      <c r="W16" s="2048"/>
    </row>
    <row r="17" spans="2:23" ht="18" customHeight="1" x14ac:dyDescent="0.2">
      <c r="B17" s="477" t="s">
        <v>1344</v>
      </c>
      <c r="C17" s="494"/>
      <c r="D17" s="3509">
        <f>D18</f>
        <v>34.285865321788727</v>
      </c>
      <c r="E17" s="3512">
        <f t="shared" ref="E17:U17" si="10">E18</f>
        <v>34.285865321788727</v>
      </c>
      <c r="F17" s="3513" t="str">
        <f t="shared" si="10"/>
        <v>NO</v>
      </c>
      <c r="G17" s="3500">
        <f t="shared" si="6"/>
        <v>1.3238029271331642</v>
      </c>
      <c r="H17" s="3057" t="str">
        <f t="shared" si="6"/>
        <v>NA</v>
      </c>
      <c r="I17" s="3057">
        <f t="shared" si="6"/>
        <v>1.3238029271331642</v>
      </c>
      <c r="J17" s="3057">
        <f t="shared" si="6"/>
        <v>-7.5743329464073555E-2</v>
      </c>
      <c r="K17" s="3057">
        <f t="shared" si="6"/>
        <v>-2.4744490368025902E-2</v>
      </c>
      <c r="L17" s="3057">
        <f t="shared" si="3"/>
        <v>-0.57311092489643956</v>
      </c>
      <c r="M17" s="3106" t="str">
        <f t="shared" si="4"/>
        <v>NA</v>
      </c>
      <c r="N17" s="3057">
        <f t="shared" si="10"/>
        <v>45.387728872277364</v>
      </c>
      <c r="O17" s="3057" t="str">
        <f t="shared" si="10"/>
        <v>IE</v>
      </c>
      <c r="P17" s="3057">
        <f t="shared" si="10"/>
        <v>45.387728872277364</v>
      </c>
      <c r="Q17" s="3057">
        <f t="shared" si="10"/>
        <v>-2.596925593029098</v>
      </c>
      <c r="R17" s="3514">
        <f t="shared" si="10"/>
        <v>-0.84838626421443442</v>
      </c>
      <c r="S17" s="3514">
        <f t="shared" si="10"/>
        <v>-19.649603985445101</v>
      </c>
      <c r="T17" s="3514" t="str">
        <f t="shared" si="10"/>
        <v>NO</v>
      </c>
      <c r="U17" s="4262">
        <f t="shared" si="10"/>
        <v>-81.740314441825348</v>
      </c>
      <c r="W17" s="2048"/>
    </row>
    <row r="18" spans="2:23" ht="18" customHeight="1" x14ac:dyDescent="0.2">
      <c r="B18" s="478"/>
      <c r="C18" s="498" t="s">
        <v>409</v>
      </c>
      <c r="D18" s="3509">
        <f>IF(SUM(E18:F18)=0,E18,SUM(E18:F18))</f>
        <v>34.285865321788727</v>
      </c>
      <c r="E18" s="3510">
        <v>34.285865321788727</v>
      </c>
      <c r="F18" s="3496" t="s">
        <v>199</v>
      </c>
      <c r="G18" s="3500">
        <f t="shared" si="6"/>
        <v>1.3238029271331642</v>
      </c>
      <c r="H18" s="3057" t="str">
        <f t="shared" si="6"/>
        <v>NA</v>
      </c>
      <c r="I18" s="3057">
        <f t="shared" si="6"/>
        <v>1.3238029271331642</v>
      </c>
      <c r="J18" s="3057">
        <f t="shared" si="6"/>
        <v>-7.5743329464073555E-2</v>
      </c>
      <c r="K18" s="3057">
        <f t="shared" si="6"/>
        <v>-2.4744490368025902E-2</v>
      </c>
      <c r="L18" s="3057">
        <f t="shared" si="3"/>
        <v>-0.57311092489643956</v>
      </c>
      <c r="M18" s="3106" t="str">
        <f t="shared" si="4"/>
        <v>NA</v>
      </c>
      <c r="N18" s="2917">
        <v>45.387728872277364</v>
      </c>
      <c r="O18" s="2917" t="s">
        <v>274</v>
      </c>
      <c r="P18" s="3087">
        <f>IF(SUM(N18:O18)=0,N18,SUM(N18:O18))</f>
        <v>45.387728872277364</v>
      </c>
      <c r="Q18" s="2917">
        <v>-2.596925593029098</v>
      </c>
      <c r="R18" s="2918">
        <v>-0.84838626421443442</v>
      </c>
      <c r="S18" s="2918">
        <v>-19.649603985445101</v>
      </c>
      <c r="T18" s="2918" t="s">
        <v>199</v>
      </c>
      <c r="U18" s="4262">
        <f t="shared" ref="U18" si="11">IF(SUM(P18:T18)=0,P18,SUM(P18:T18)*-44/12)</f>
        <v>-81.740314441825348</v>
      </c>
      <c r="W18" s="2424"/>
    </row>
    <row r="19" spans="2:23" ht="18" customHeight="1" x14ac:dyDescent="0.2">
      <c r="B19" s="477" t="s">
        <v>1345</v>
      </c>
      <c r="C19" s="494"/>
      <c r="D19" s="3504">
        <f>IF(SUM(D20:D22)=0,"IE",SUM(D20:D22))</f>
        <v>3172.7079312553137</v>
      </c>
      <c r="E19" s="3512">
        <f t="shared" ref="E19:U19" si="12">IF(SUM(E20:E22)=0,"IE",SUM(E20:E22))</f>
        <v>3172.7079312553137</v>
      </c>
      <c r="F19" s="3513" t="str">
        <f t="shared" si="12"/>
        <v>IE</v>
      </c>
      <c r="G19" s="3500">
        <f t="shared" si="6"/>
        <v>0.54853649418919437</v>
      </c>
      <c r="H19" s="3057">
        <f t="shared" si="6"/>
        <v>-1.9726689981815844E-4</v>
      </c>
      <c r="I19" s="3057">
        <f t="shared" si="6"/>
        <v>0.54833922728937623</v>
      </c>
      <c r="J19" s="3057">
        <f t="shared" si="6"/>
        <v>0.18143843895330292</v>
      </c>
      <c r="K19" s="3057">
        <f t="shared" si="6"/>
        <v>5.0243788214930002E-2</v>
      </c>
      <c r="L19" s="3057">
        <f t="shared" si="3"/>
        <v>-0.49272951941243492</v>
      </c>
      <c r="M19" s="3106" t="str">
        <f t="shared" si="4"/>
        <v>NA</v>
      </c>
      <c r="N19" s="3057">
        <f t="shared" si="12"/>
        <v>1740.3460856970414</v>
      </c>
      <c r="O19" s="3057">
        <f t="shared" si="12"/>
        <v>-0.62587025762721871</v>
      </c>
      <c r="P19" s="3057">
        <f t="shared" si="12"/>
        <v>1739.7202154394142</v>
      </c>
      <c r="Q19" s="3057">
        <f t="shared" si="12"/>
        <v>575.65117430172722</v>
      </c>
      <c r="R19" s="3514">
        <f t="shared" si="12"/>
        <v>159.40886536582067</v>
      </c>
      <c r="S19" s="3514">
        <f t="shared" si="12"/>
        <v>-1563.2868542034514</v>
      </c>
      <c r="T19" s="3514" t="str">
        <f t="shared" si="12"/>
        <v>IE</v>
      </c>
      <c r="U19" s="4262">
        <f t="shared" si="12"/>
        <v>-3342.1424699795389</v>
      </c>
      <c r="W19" s="2048"/>
    </row>
    <row r="20" spans="2:23" ht="18" customHeight="1" x14ac:dyDescent="0.2">
      <c r="B20" s="486"/>
      <c r="C20" s="498" t="s">
        <v>1346</v>
      </c>
      <c r="D20" s="3509">
        <f>IF(SUM(E20:F20)=0,E20,SUM(E20:F20))</f>
        <v>782.72915206230982</v>
      </c>
      <c r="E20" s="3510">
        <v>782.72915206230982</v>
      </c>
      <c r="F20" s="3496" t="s">
        <v>199</v>
      </c>
      <c r="G20" s="3500">
        <f t="shared" si="6"/>
        <v>1.2695739014483662</v>
      </c>
      <c r="H20" s="3057" t="str">
        <f t="shared" si="6"/>
        <v>NA</v>
      </c>
      <c r="I20" s="3057">
        <f t="shared" si="6"/>
        <v>1.2695739014483662</v>
      </c>
      <c r="J20" s="3057">
        <f t="shared" si="6"/>
        <v>-4.5060827081505141E-2</v>
      </c>
      <c r="K20" s="3057">
        <f t="shared" si="6"/>
        <v>-1.1733623577490573E-2</v>
      </c>
      <c r="L20" s="3057">
        <f t="shared" si="3"/>
        <v>-0.77383464155936865</v>
      </c>
      <c r="M20" s="3106" t="str">
        <f t="shared" si="4"/>
        <v>NA</v>
      </c>
      <c r="N20" s="2917">
        <v>993.73250336111823</v>
      </c>
      <c r="O20" s="2917" t="s">
        <v>274</v>
      </c>
      <c r="P20" s="3087">
        <f>IF(SUM(N20:O20)=0,N20,SUM(N20:O20))</f>
        <v>993.73250336111823</v>
      </c>
      <c r="Q20" s="2917">
        <v>-35.270422972732888</v>
      </c>
      <c r="R20" s="2918">
        <v>-9.1842492334275221</v>
      </c>
      <c r="S20" s="2918">
        <v>-605.70293282420607</v>
      </c>
      <c r="T20" s="2918" t="s">
        <v>199</v>
      </c>
      <c r="U20" s="4262">
        <f t="shared" ref="U20:U22" si="13">IF(SUM(P20:T20)=0,P20,SUM(P20:T20)*-44/12)</f>
        <v>-1259.7746272127567</v>
      </c>
      <c r="W20" s="2424"/>
    </row>
    <row r="21" spans="2:23" ht="18" customHeight="1" x14ac:dyDescent="0.2">
      <c r="B21" s="490"/>
      <c r="C21" s="498" t="s">
        <v>1347</v>
      </c>
      <c r="D21" s="3509">
        <f>IF(SUM(E21:F21)=0,E21,SUM(E21:F21))</f>
        <v>2389.9787791930039</v>
      </c>
      <c r="E21" s="3510">
        <v>2389.9787791930039</v>
      </c>
      <c r="F21" s="3496" t="s">
        <v>199</v>
      </c>
      <c r="G21" s="3500">
        <f t="shared" si="6"/>
        <v>0.31239339396478805</v>
      </c>
      <c r="H21" s="3057" t="str">
        <f t="shared" si="6"/>
        <v>NA</v>
      </c>
      <c r="I21" s="3057">
        <f t="shared" si="6"/>
        <v>0.31239339396478805</v>
      </c>
      <c r="J21" s="3057">
        <f t="shared" si="6"/>
        <v>0.25552668402965606</v>
      </c>
      <c r="K21" s="3057">
        <f t="shared" si="6"/>
        <v>7.054167847305115E-2</v>
      </c>
      <c r="L21" s="3057">
        <f t="shared" si="3"/>
        <v>-0.40066628612601385</v>
      </c>
      <c r="M21" s="3106" t="str">
        <f t="shared" si="4"/>
        <v>NA</v>
      </c>
      <c r="N21" s="2917">
        <v>746.6135823359233</v>
      </c>
      <c r="O21" s="2917" t="s">
        <v>274</v>
      </c>
      <c r="P21" s="3087">
        <f t="shared" ref="P21:P28" si="14">IF(SUM(N21:O21)=0,N21,SUM(N21:O21))</f>
        <v>746.6135823359233</v>
      </c>
      <c r="Q21" s="2917">
        <v>610.70335234843378</v>
      </c>
      <c r="R21" s="2918">
        <v>168.5931145992482</v>
      </c>
      <c r="S21" s="2918">
        <v>-957.58392137924534</v>
      </c>
      <c r="T21" s="2918" t="s">
        <v>199</v>
      </c>
      <c r="U21" s="4262">
        <f t="shared" si="13"/>
        <v>-2083.8624689826524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-0.62587025762721871</v>
      </c>
      <c r="P22" s="3087">
        <f t="shared" si="14"/>
        <v>-0.62587025762721871</v>
      </c>
      <c r="Q22" s="2917">
        <v>0.21824492602632825</v>
      </c>
      <c r="R22" s="2918" t="s">
        <v>205</v>
      </c>
      <c r="S22" s="2918" t="s">
        <v>205</v>
      </c>
      <c r="T22" s="2918" t="s">
        <v>205</v>
      </c>
      <c r="U22" s="4262">
        <f t="shared" si="13"/>
        <v>1.4946262158699317</v>
      </c>
      <c r="W22" s="2424"/>
    </row>
    <row r="23" spans="2:23" ht="18" customHeight="1" x14ac:dyDescent="0.2">
      <c r="B23" s="477" t="s">
        <v>1348</v>
      </c>
      <c r="C23" s="494"/>
      <c r="D23" s="3509">
        <f>D24</f>
        <v>94.62016046465186</v>
      </c>
      <c r="E23" s="3512" t="str">
        <f t="shared" ref="E23" si="15">E24</f>
        <v>NO</v>
      </c>
      <c r="F23" s="3513">
        <f t="shared" ref="F23" si="16">F24</f>
        <v>94.62016046465186</v>
      </c>
      <c r="G23" s="3500">
        <f t="shared" si="6"/>
        <v>8.5713173542218009</v>
      </c>
      <c r="H23" s="3057" t="str">
        <f t="shared" si="6"/>
        <v>NA</v>
      </c>
      <c r="I23" s="3057">
        <f t="shared" si="6"/>
        <v>8.5713173542218009</v>
      </c>
      <c r="J23" s="3057">
        <f t="shared" si="6"/>
        <v>-0.70350061021416221</v>
      </c>
      <c r="K23" s="3057">
        <f t="shared" si="6"/>
        <v>0.2927968393748675</v>
      </c>
      <c r="L23" s="3057" t="str">
        <f t="shared" si="3"/>
        <v>NA</v>
      </c>
      <c r="M23" s="3106">
        <f t="shared" si="4"/>
        <v>-0.24999706179253278</v>
      </c>
      <c r="N23" s="3057">
        <f t="shared" ref="N23" si="17">N24</f>
        <v>811.01942344992199</v>
      </c>
      <c r="O23" s="3057" t="str">
        <f t="shared" ref="O23" si="18">O24</f>
        <v>IE</v>
      </c>
      <c r="P23" s="3057">
        <f t="shared" ref="P23" si="19">P24</f>
        <v>811.01942344992199</v>
      </c>
      <c r="Q23" s="3057">
        <f t="shared" ref="Q23" si="20">Q24</f>
        <v>-66.565340625444534</v>
      </c>
      <c r="R23" s="3514">
        <f t="shared" ref="R23" si="21">R24</f>
        <v>27.704483925192861</v>
      </c>
      <c r="S23" s="3514" t="str">
        <f t="shared" ref="S23" si="22">S24</f>
        <v>NO</v>
      </c>
      <c r="T23" s="3514">
        <f t="shared" ref="T23" si="23">T24</f>
        <v>-23.654762102500939</v>
      </c>
      <c r="U23" s="4262">
        <f t="shared" ref="U23" si="24">U24</f>
        <v>-2744.5139503729547</v>
      </c>
      <c r="W23" s="2048"/>
    </row>
    <row r="24" spans="2:23" ht="18" customHeight="1" x14ac:dyDescent="0.2">
      <c r="B24" s="478"/>
      <c r="C24" s="498" t="s">
        <v>409</v>
      </c>
      <c r="D24" s="3509">
        <f>IF(SUM(E24:F24)=0,E24,SUM(E24:F24))</f>
        <v>94.62016046465186</v>
      </c>
      <c r="E24" s="3510" t="s">
        <v>199</v>
      </c>
      <c r="F24" s="3496">
        <v>94.62016046465186</v>
      </c>
      <c r="G24" s="3500">
        <f t="shared" si="6"/>
        <v>8.5713173542218009</v>
      </c>
      <c r="H24" s="3057" t="str">
        <f t="shared" si="6"/>
        <v>NA</v>
      </c>
      <c r="I24" s="3057">
        <f t="shared" si="6"/>
        <v>8.5713173542218009</v>
      </c>
      <c r="J24" s="3057">
        <f t="shared" si="6"/>
        <v>-0.70350061021416221</v>
      </c>
      <c r="K24" s="3057">
        <f t="shared" si="6"/>
        <v>0.2927968393748675</v>
      </c>
      <c r="L24" s="3057" t="str">
        <f t="shared" si="3"/>
        <v>NA</v>
      </c>
      <c r="M24" s="3106">
        <f t="shared" si="4"/>
        <v>-0.24999706179253278</v>
      </c>
      <c r="N24" s="2917">
        <v>811.01942344992199</v>
      </c>
      <c r="O24" s="2917" t="s">
        <v>274</v>
      </c>
      <c r="P24" s="3087">
        <f t="shared" si="14"/>
        <v>811.01942344992199</v>
      </c>
      <c r="Q24" s="2917">
        <v>-66.565340625444534</v>
      </c>
      <c r="R24" s="2918">
        <v>27.704483925192861</v>
      </c>
      <c r="S24" s="2918" t="s">
        <v>199</v>
      </c>
      <c r="T24" s="2918">
        <v>-23.654762102500939</v>
      </c>
      <c r="U24" s="4262">
        <f t="shared" ref="U24" si="25">IF(SUM(P24:T24)=0,P24,SUM(P24:T24)*-44/12)</f>
        <v>-2744.5139503729547</v>
      </c>
      <c r="W24" s="2424"/>
    </row>
    <row r="25" spans="2:23" ht="18" customHeight="1" x14ac:dyDescent="0.2">
      <c r="B25" s="477" t="s">
        <v>1349</v>
      </c>
      <c r="C25" s="494"/>
      <c r="D25" s="3509">
        <f>D26</f>
        <v>13.723707634618105</v>
      </c>
      <c r="E25" s="3512">
        <f t="shared" ref="E25" si="26">E26</f>
        <v>13.723707634618105</v>
      </c>
      <c r="F25" s="3513" t="str">
        <f t="shared" ref="F25" si="27">F26</f>
        <v>NO</v>
      </c>
      <c r="G25" s="3500">
        <f t="shared" si="6"/>
        <v>1.524654501840063</v>
      </c>
      <c r="H25" s="3057" t="str">
        <f t="shared" si="6"/>
        <v>NA</v>
      </c>
      <c r="I25" s="3057">
        <f t="shared" si="6"/>
        <v>1.524654501840063</v>
      </c>
      <c r="J25" s="3057">
        <f t="shared" si="6"/>
        <v>-0.1046754038157488</v>
      </c>
      <c r="K25" s="3057">
        <f t="shared" si="6"/>
        <v>-2.3376671906907086E-2</v>
      </c>
      <c r="L25" s="3057">
        <f t="shared" si="3"/>
        <v>-1.2339045980456882</v>
      </c>
      <c r="M25" s="3106" t="str">
        <f t="shared" si="4"/>
        <v>NA</v>
      </c>
      <c r="N25" s="3057">
        <f t="shared" ref="N25" si="28">N26</f>
        <v>20.923912627057337</v>
      </c>
      <c r="O25" s="3057" t="str">
        <f t="shared" ref="O25" si="29">O26</f>
        <v>IE</v>
      </c>
      <c r="P25" s="3057">
        <f t="shared" ref="P25" si="30">P26</f>
        <v>20.923912627057337</v>
      </c>
      <c r="Q25" s="3057">
        <f t="shared" ref="Q25" si="31">Q26</f>
        <v>-1.436534638502925</v>
      </c>
      <c r="R25" s="3514">
        <f t="shared" ref="R25" si="32">R26</f>
        <v>-0.32081461072078332</v>
      </c>
      <c r="S25" s="3514">
        <f t="shared" ref="S25" si="33">S26</f>
        <v>-16.933745952589994</v>
      </c>
      <c r="T25" s="3514" t="str">
        <f t="shared" ref="T25" si="34">T26</f>
        <v>NO</v>
      </c>
      <c r="U25" s="4262">
        <f t="shared" ref="U25" si="35">U26</f>
        <v>-8.186997225893327</v>
      </c>
      <c r="W25" s="2048"/>
    </row>
    <row r="26" spans="2:23" ht="18" customHeight="1" x14ac:dyDescent="0.2">
      <c r="B26" s="478"/>
      <c r="C26" s="498" t="s">
        <v>409</v>
      </c>
      <c r="D26" s="3509">
        <f>IF(SUM(E26:F26)=0,E26,SUM(E26:F26))</f>
        <v>13.723707634618105</v>
      </c>
      <c r="E26" s="3510">
        <v>13.723707634618105</v>
      </c>
      <c r="F26" s="3496" t="s">
        <v>199</v>
      </c>
      <c r="G26" s="3500">
        <f t="shared" si="6"/>
        <v>1.524654501840063</v>
      </c>
      <c r="H26" s="3057" t="str">
        <f t="shared" si="6"/>
        <v>NA</v>
      </c>
      <c r="I26" s="3057">
        <f t="shared" si="6"/>
        <v>1.524654501840063</v>
      </c>
      <c r="J26" s="3057">
        <f t="shared" si="6"/>
        <v>-0.1046754038157488</v>
      </c>
      <c r="K26" s="3057">
        <f t="shared" si="6"/>
        <v>-2.3376671906907086E-2</v>
      </c>
      <c r="L26" s="3057">
        <f t="shared" si="3"/>
        <v>-1.2339045980456882</v>
      </c>
      <c r="M26" s="3106" t="str">
        <f t="shared" si="4"/>
        <v>NA</v>
      </c>
      <c r="N26" s="2917">
        <v>20.923912627057337</v>
      </c>
      <c r="O26" s="2917" t="s">
        <v>274</v>
      </c>
      <c r="P26" s="3087">
        <f t="shared" si="14"/>
        <v>20.923912627057337</v>
      </c>
      <c r="Q26" s="2917">
        <v>-1.436534638502925</v>
      </c>
      <c r="R26" s="2918">
        <v>-0.32081461072078332</v>
      </c>
      <c r="S26" s="2918">
        <v>-16.933745952589994</v>
      </c>
      <c r="T26" s="2918" t="s">
        <v>199</v>
      </c>
      <c r="U26" s="4262">
        <f t="shared" ref="U26" si="36">IF(SUM(P26:T26)=0,P26,SUM(P26:T26)*-44/12)</f>
        <v>-8.186997225893327</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6" t="s">
        <v>1351</v>
      </c>
      <c r="C49" s="4507"/>
      <c r="D49" s="4507"/>
      <c r="E49" s="4507"/>
      <c r="F49" s="4507"/>
      <c r="G49" s="4507"/>
      <c r="H49" s="4507"/>
      <c r="I49" s="4507"/>
      <c r="J49" s="4507"/>
      <c r="K49" s="4507"/>
      <c r="L49" s="4507"/>
      <c r="M49" s="4507"/>
      <c r="N49" s="4507"/>
      <c r="O49" s="4507"/>
      <c r="P49" s="4507"/>
      <c r="Q49" s="4507"/>
      <c r="R49" s="4507"/>
      <c r="S49" s="4507"/>
      <c r="T49" s="4507"/>
      <c r="U49" s="4508"/>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2459</v>
      </c>
    </row>
    <row r="2" spans="2:21" ht="15.75" x14ac:dyDescent="0.25">
      <c r="B2" s="13" t="s">
        <v>1367</v>
      </c>
      <c r="S2" s="14" t="s">
        <v>2460</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39613.798792471855</v>
      </c>
      <c r="E10" s="3523">
        <f t="shared" ref="E10:F10" si="0">IF(SUM(E11,E13)=0,"IE",SUM(E11,E13))</f>
        <v>39610.798792471855</v>
      </c>
      <c r="F10" s="3524">
        <f t="shared" si="0"/>
        <v>3</v>
      </c>
      <c r="G10" s="3500">
        <f>IFERROR(IF(SUM($D10)=0,"NA",M10/$D10),"NA")</f>
        <v>4.0178997588123259E-4</v>
      </c>
      <c r="H10" s="3523">
        <f t="shared" ref="H10:J10" si="1">IFERROR(IF(SUM($D10)=0,"NA",N10/$D10),"NA")</f>
        <v>-8.7137590705814033E-2</v>
      </c>
      <c r="I10" s="3523">
        <f t="shared" si="1"/>
        <v>-8.6735800729932797E-2</v>
      </c>
      <c r="J10" s="3523">
        <f t="shared" si="1"/>
        <v>-1.7431991840871172E-2</v>
      </c>
      <c r="K10" s="3525">
        <f>IFERROR(IF(SUM(E10)=0,"NA",Q10/E10),"NA")</f>
        <v>-0.13274383828329156</v>
      </c>
      <c r="L10" s="3524">
        <f>IFERROR(IF(SUM(F10)=0,"NA",R10/F10),"NA")</f>
        <v>-12.475</v>
      </c>
      <c r="M10" s="3526">
        <f>IF(SUM(M11,M13)=0,"IE",SUM(M11,M13))</f>
        <v>15.916427261391268</v>
      </c>
      <c r="N10" s="3523">
        <f t="shared" ref="N10:S10" si="2">IF(SUM(N11,N13)=0,"IE",SUM(N11,N13))</f>
        <v>-3451.8509854808826</v>
      </c>
      <c r="O10" s="3527">
        <f t="shared" si="2"/>
        <v>-3435.9345582194915</v>
      </c>
      <c r="P10" s="3523">
        <f t="shared" si="2"/>
        <v>-690.54741733628168</v>
      </c>
      <c r="Q10" s="3525">
        <f t="shared" si="2"/>
        <v>-5258.089469179884</v>
      </c>
      <c r="R10" s="3525">
        <f t="shared" si="2"/>
        <v>-37.424999999999997</v>
      </c>
      <c r="S10" s="3528">
        <f t="shared" si="2"/>
        <v>34547.320297364073</v>
      </c>
      <c r="U10" s="2287"/>
    </row>
    <row r="11" spans="2:21" ht="18" customHeight="1" x14ac:dyDescent="0.2">
      <c r="B11" s="489" t="s">
        <v>1256</v>
      </c>
      <c r="C11" s="2282"/>
      <c r="D11" s="3529">
        <f>D12</f>
        <v>37687.087998748997</v>
      </c>
      <c r="E11" s="3057">
        <f t="shared" ref="E11" si="3">E12</f>
        <v>37687.087998748997</v>
      </c>
      <c r="F11" s="3057" t="str">
        <f t="shared" ref="F11" si="4">F12</f>
        <v>IE</v>
      </c>
      <c r="G11" s="3500">
        <f t="shared" ref="G11:G23" si="5">IFERROR(IF(SUM($D11)=0,"NA",M11/$D11),"NA")</f>
        <v>4.2233104510275787E-4</v>
      </c>
      <c r="H11" s="3057" t="str">
        <f t="shared" ref="H11:H23" si="6">IFERROR(IF(SUM($D11)=0,"NA",N11/$D11),"NA")</f>
        <v>NA</v>
      </c>
      <c r="I11" s="3057">
        <f t="shared" ref="I11:I23" si="7">IFERROR(IF(SUM($D11)=0,"NA",O11/$D11),"NA")</f>
        <v>4.2233104510275787E-4</v>
      </c>
      <c r="J11" s="3057" t="str">
        <f t="shared" ref="J11:J23" si="8">IFERROR(IF(SUM($D11)=0,"NA",P11/$D11),"NA")</f>
        <v>NA</v>
      </c>
      <c r="K11" s="3514">
        <f t="shared" ref="K11:K23" si="9">IFERROR(IF(SUM(E11)=0,"NA",Q11/E11),"NA")</f>
        <v>-0.12808131610431339</v>
      </c>
      <c r="L11" s="3106" t="str">
        <f t="shared" ref="L11:L23" si="10">IFERROR(IF(SUM(F11)=0,"NA",R11/F11),"NA")</f>
        <v>NA</v>
      </c>
      <c r="M11" s="3530">
        <f t="shared" ref="M11" si="11">M12</f>
        <v>15.916427261391268</v>
      </c>
      <c r="N11" s="3531" t="str">
        <f t="shared" ref="N11" si="12">N12</f>
        <v>IE</v>
      </c>
      <c r="O11" s="3532">
        <f t="shared" ref="O11" si="13">O12</f>
        <v>15.916427261391268</v>
      </c>
      <c r="P11" s="3531" t="str">
        <f t="shared" ref="P11" si="14">P12</f>
        <v>NA</v>
      </c>
      <c r="Q11" s="3533">
        <f t="shared" ref="Q11" si="15">Q12</f>
        <v>-4827.0118310188454</v>
      </c>
      <c r="R11" s="3533" t="str">
        <f t="shared" ref="R11" si="16">R12</f>
        <v>IE</v>
      </c>
      <c r="S11" s="3534">
        <f t="shared" ref="S11" si="17">S12</f>
        <v>17640.683147110663</v>
      </c>
      <c r="U11" s="2284"/>
    </row>
    <row r="12" spans="2:21" ht="18" customHeight="1" x14ac:dyDescent="0.2">
      <c r="B12" s="491"/>
      <c r="C12" s="498" t="s">
        <v>409</v>
      </c>
      <c r="D12" s="3509">
        <f>IF(SUM(E12:F12)=0,E12,SUM(E12:F12))</f>
        <v>37687.087998748997</v>
      </c>
      <c r="E12" s="3510">
        <v>37687.087998748997</v>
      </c>
      <c r="F12" s="3496" t="s">
        <v>274</v>
      </c>
      <c r="G12" s="3500">
        <f t="shared" si="5"/>
        <v>4.2233104510275787E-4</v>
      </c>
      <c r="H12" s="3057" t="str">
        <f t="shared" si="6"/>
        <v>NA</v>
      </c>
      <c r="I12" s="3057">
        <f t="shared" si="7"/>
        <v>4.2233104510275787E-4</v>
      </c>
      <c r="J12" s="3057" t="str">
        <f t="shared" si="8"/>
        <v>NA</v>
      </c>
      <c r="K12" s="3514">
        <f t="shared" si="9"/>
        <v>-0.12808131610431339</v>
      </c>
      <c r="L12" s="3106" t="str">
        <f t="shared" si="10"/>
        <v>NA</v>
      </c>
      <c r="M12" s="2917">
        <v>15.916427261391268</v>
      </c>
      <c r="N12" s="2917" t="s">
        <v>274</v>
      </c>
      <c r="O12" s="3087">
        <f>IF(SUM(M12:N12)=0,M12,SUM(M12:N12))</f>
        <v>15.916427261391268</v>
      </c>
      <c r="P12" s="2917" t="s">
        <v>205</v>
      </c>
      <c r="Q12" s="2918">
        <v>-4827.0118310188454</v>
      </c>
      <c r="R12" s="2918" t="s">
        <v>274</v>
      </c>
      <c r="S12" s="3534">
        <f>IF(SUM(O12:R12)=0,Q12,SUM(O12:R12)*-44/12)</f>
        <v>17640.683147110663</v>
      </c>
      <c r="U12" s="2424"/>
    </row>
    <row r="13" spans="2:21" ht="18" customHeight="1" x14ac:dyDescent="0.2">
      <c r="B13" s="475" t="s">
        <v>1375</v>
      </c>
      <c r="C13" s="494"/>
      <c r="D13" s="3529">
        <f>IF(SUM(D14,D16,D18,D20,D22)=0,"IE",SUM(D14,D16,D18,D20,D22))</f>
        <v>1926.7107937228566</v>
      </c>
      <c r="E13" s="3531">
        <f t="shared" ref="E13:F13" si="18">IF(SUM(E14,E16,E18,E20,E22)=0,"IE",SUM(E14,E16,E18,E20,E22))</f>
        <v>1923.7107937228566</v>
      </c>
      <c r="F13" s="3535">
        <f t="shared" si="18"/>
        <v>3</v>
      </c>
      <c r="G13" s="3500" t="str">
        <f t="shared" si="5"/>
        <v>NA</v>
      </c>
      <c r="H13" s="3057">
        <f t="shared" si="6"/>
        <v>-1.7915771254963999</v>
      </c>
      <c r="I13" s="3057">
        <f t="shared" si="7"/>
        <v>-1.7915771254963999</v>
      </c>
      <c r="J13" s="3057">
        <f t="shared" si="8"/>
        <v>-0.35840740581620051</v>
      </c>
      <c r="K13" s="3514">
        <f t="shared" si="9"/>
        <v>-0.22408651007607891</v>
      </c>
      <c r="L13" s="3106">
        <f t="shared" si="10"/>
        <v>-12.475</v>
      </c>
      <c r="M13" s="3530" t="str">
        <f>IF(SUM(M14,M16,M18,M20,M22)=0,"IE",SUM(M14,M16,M18,M20,M22))</f>
        <v>IE</v>
      </c>
      <c r="N13" s="3531">
        <f t="shared" ref="N13" si="19">IF(SUM(N14,N16,N18,N20,N22)=0,"IE",SUM(N14,N16,N18,N20,N22))</f>
        <v>-3451.8509854808826</v>
      </c>
      <c r="O13" s="3532">
        <f t="shared" ref="O13" si="20">IF(SUM(O14,O16,O18,O20,O22)=0,"IE",SUM(O14,O16,O18,O20,O22))</f>
        <v>-3451.8509854808826</v>
      </c>
      <c r="P13" s="3532">
        <f t="shared" ref="P13" si="21">IF(SUM(P14,P16,P18,P20,P22)=0,"IE",SUM(P14,P16,P18,P20,P22))</f>
        <v>-690.54741733628168</v>
      </c>
      <c r="Q13" s="3532">
        <f t="shared" ref="Q13" si="22">IF(SUM(Q14,Q16,Q18,Q20,Q22)=0,"IE",SUM(Q14,Q16,Q18,Q20,Q22))</f>
        <v>-431.07763816103864</v>
      </c>
      <c r="R13" s="3532">
        <f t="shared" ref="R13" si="23">IF(SUM(R14,R16,R18,R20,R22)=0,"IE",SUM(R14,R16,R18,R20,R22))</f>
        <v>-37.424999999999997</v>
      </c>
      <c r="S13" s="3534">
        <f t="shared" ref="S13" si="24">IF(SUM(S14,S16,S18,S20,S22)=0,"IE",SUM(S14,S16,S18,S20,S22))</f>
        <v>16906.637150253413</v>
      </c>
      <c r="U13" s="493"/>
    </row>
    <row r="14" spans="2:21" ht="18" customHeight="1" x14ac:dyDescent="0.2">
      <c r="B14" s="477" t="s">
        <v>1376</v>
      </c>
      <c r="C14" s="494"/>
      <c r="D14" s="3529">
        <f>D15</f>
        <v>1914.0498526950444</v>
      </c>
      <c r="E14" s="3057">
        <f t="shared" ref="E14" si="25">E15</f>
        <v>1914.0498526950444</v>
      </c>
      <c r="F14" s="3057" t="str">
        <f t="shared" ref="F14" si="26">F15</f>
        <v>IE</v>
      </c>
      <c r="G14" s="3500" t="str">
        <f t="shared" si="5"/>
        <v>NA</v>
      </c>
      <c r="H14" s="3057">
        <f t="shared" si="6"/>
        <v>-1.8034279413467544</v>
      </c>
      <c r="I14" s="3057">
        <f t="shared" si="7"/>
        <v>-1.8034279413467544</v>
      </c>
      <c r="J14" s="3057">
        <f t="shared" si="8"/>
        <v>-0.36077817741474627</v>
      </c>
      <c r="K14" s="3514">
        <f t="shared" si="9"/>
        <v>-0.21047198065907424</v>
      </c>
      <c r="L14" s="3106" t="str">
        <f t="shared" si="10"/>
        <v>NA</v>
      </c>
      <c r="M14" s="3530" t="str">
        <f t="shared" ref="M14" si="27">M15</f>
        <v>IE</v>
      </c>
      <c r="N14" s="3531">
        <f t="shared" ref="N14" si="28">N15</f>
        <v>-3451.8509854808826</v>
      </c>
      <c r="O14" s="3532">
        <f t="shared" ref="O14" si="29">O15</f>
        <v>-3451.8509854808826</v>
      </c>
      <c r="P14" s="3531">
        <f t="shared" ref="P14" si="30">P15</f>
        <v>-690.54741733628168</v>
      </c>
      <c r="Q14" s="3533">
        <f t="shared" ref="Q14" si="31">Q15</f>
        <v>-402.85386357693528</v>
      </c>
      <c r="R14" s="3533" t="str">
        <f t="shared" ref="R14" si="32">R15</f>
        <v>IE</v>
      </c>
      <c r="S14" s="3534">
        <f t="shared" ref="S14" si="33">S15</f>
        <v>16665.924976778366</v>
      </c>
      <c r="U14" s="493"/>
    </row>
    <row r="15" spans="2:21" ht="18" customHeight="1" x14ac:dyDescent="0.2">
      <c r="B15" s="491"/>
      <c r="C15" s="498" t="s">
        <v>409</v>
      </c>
      <c r="D15" s="3509">
        <f>IF(SUM(E15:F15)=0,E15,SUM(E15:F15))</f>
        <v>1914.0498526950444</v>
      </c>
      <c r="E15" s="3510">
        <v>1914.0498526950444</v>
      </c>
      <c r="F15" s="3496" t="s">
        <v>274</v>
      </c>
      <c r="G15" s="3500" t="str">
        <f t="shared" si="5"/>
        <v>NA</v>
      </c>
      <c r="H15" s="3057">
        <f t="shared" si="6"/>
        <v>-1.8034279413467544</v>
      </c>
      <c r="I15" s="3057">
        <f t="shared" si="7"/>
        <v>-1.8034279413467544</v>
      </c>
      <c r="J15" s="3057">
        <f t="shared" si="8"/>
        <v>-0.36077817741474627</v>
      </c>
      <c r="K15" s="3514">
        <f t="shared" si="9"/>
        <v>-0.21047198065907424</v>
      </c>
      <c r="L15" s="3106" t="str">
        <f t="shared" si="10"/>
        <v>NA</v>
      </c>
      <c r="M15" s="2917" t="s">
        <v>274</v>
      </c>
      <c r="N15" s="2917">
        <v>-3451.8509854808826</v>
      </c>
      <c r="O15" s="3087">
        <f>IF(SUM(M15:N15)=0,M15,SUM(M15:N15))</f>
        <v>-3451.8509854808826</v>
      </c>
      <c r="P15" s="2917">
        <v>-690.54741733628168</v>
      </c>
      <c r="Q15" s="2918">
        <v>-402.85386357693528</v>
      </c>
      <c r="R15" s="2918" t="s">
        <v>274</v>
      </c>
      <c r="S15" s="3534">
        <f>IF(SUM(O15:R15)=0,Q15,SUM(O15:R15)*-44/12)</f>
        <v>16665.924976778366</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6" t="s">
        <v>1381</v>
      </c>
      <c r="C46" s="4507"/>
      <c r="D46" s="4507"/>
      <c r="E46" s="4507"/>
      <c r="F46" s="4507"/>
      <c r="G46" s="4507"/>
      <c r="H46" s="4507"/>
      <c r="I46" s="4507"/>
      <c r="J46" s="4507"/>
      <c r="K46" s="4507"/>
      <c r="L46" s="4507"/>
      <c r="M46" s="4507"/>
      <c r="N46" s="4507"/>
      <c r="O46" s="4507"/>
      <c r="P46" s="4507"/>
      <c r="Q46" s="4507"/>
      <c r="R46" s="4507"/>
      <c r="S46" s="4508"/>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2459</v>
      </c>
    </row>
    <row r="2" spans="2:21" ht="15.75" x14ac:dyDescent="0.25">
      <c r="B2" s="13" t="s">
        <v>1383</v>
      </c>
      <c r="S2" s="14" t="s">
        <v>2460</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515374.39381625067</v>
      </c>
      <c r="E10" s="3523">
        <f t="shared" ref="E10:F10" si="0">IF(SUM(E11,E15)=0,"IE",SUM(E11,E15))</f>
        <v>515373.39381625067</v>
      </c>
      <c r="F10" s="3524">
        <f t="shared" si="0"/>
        <v>1</v>
      </c>
      <c r="G10" s="3500">
        <f>IFERROR(IF(SUM($D10)=0,"NA",M10/$D10),"NA")</f>
        <v>8.2614943714905977E-4</v>
      </c>
      <c r="H10" s="3523">
        <f t="shared" ref="H10:J10" si="1">IFERROR(IF(SUM($D10)=0,"NA",N10/$D10),"NA")</f>
        <v>-6.6054591754517125E-2</v>
      </c>
      <c r="I10" s="3523">
        <f t="shared" si="1"/>
        <v>-6.5228442317368074E-2</v>
      </c>
      <c r="J10" s="3523">
        <f t="shared" si="1"/>
        <v>-7.0002542923836815E-3</v>
      </c>
      <c r="K10" s="3525">
        <f>IFERROR(IF(SUM(E10)=0,"NA",Q10/E10),"NA")</f>
        <v>3.4774165730873234E-3</v>
      </c>
      <c r="L10" s="3524">
        <f>IFERROR(IF(SUM(F10)=0,"NA",R10/F10),"NA")</f>
        <v>-8.7249999999999996</v>
      </c>
      <c r="M10" s="3526">
        <f>IF(SUM(M11,M15)=0,"IE",SUM(M11,M15))</f>
        <v>425.77626537233334</v>
      </c>
      <c r="N10" s="3523">
        <f t="shared" ref="N10:S10" si="2">IF(SUM(N11,N15)=0,"IE",SUM(N11,N15))</f>
        <v>-34042.845184264173</v>
      </c>
      <c r="O10" s="3527">
        <f t="shared" si="2"/>
        <v>-33617.06891889184</v>
      </c>
      <c r="P10" s="3523">
        <f t="shared" si="2"/>
        <v>-3607.7518124968465</v>
      </c>
      <c r="Q10" s="3525">
        <f t="shared" si="2"/>
        <v>1792.1679809848899</v>
      </c>
      <c r="R10" s="3525">
        <f t="shared" si="2"/>
        <v>-8.7249999999999996</v>
      </c>
      <c r="S10" s="3528">
        <f t="shared" si="2"/>
        <v>129951.71841814725</v>
      </c>
      <c r="U10" s="2287"/>
    </row>
    <row r="11" spans="2:21" ht="18" customHeight="1" x14ac:dyDescent="0.2">
      <c r="B11" s="483" t="s">
        <v>1259</v>
      </c>
      <c r="C11" s="473"/>
      <c r="D11" s="3539">
        <f>IF(SUM(D12:D14)=0,"IE",SUM(D12:D14))</f>
        <v>508437.96212518</v>
      </c>
      <c r="E11" s="3505">
        <f t="shared" ref="E11:F11" si="3">IF(SUM(E12:E14)=0,"IE",SUM(E12:E14))</f>
        <v>508437.96212518</v>
      </c>
      <c r="F11" s="3506" t="str">
        <f t="shared" si="3"/>
        <v>IE</v>
      </c>
      <c r="G11" s="3539">
        <f t="shared" ref="G11:G26" si="4">IFERROR(IF(SUM($D11)=0,"NA",M11/$D11),"NA")</f>
        <v>8.274523564788806E-4</v>
      </c>
      <c r="H11" s="3087">
        <f t="shared" ref="H11:H26" si="5">IFERROR(IF(SUM($D11)=0,"NA",N11/$D11),"NA")</f>
        <v>-1.9730678883819086E-3</v>
      </c>
      <c r="I11" s="3087">
        <f t="shared" ref="I11:I26" si="6">IFERROR(IF(SUM($D11)=0,"NA",O11/$D11),"NA")</f>
        <v>-1.1456155319030281E-3</v>
      </c>
      <c r="J11" s="3087">
        <f t="shared" ref="J11:J26" si="7">IFERROR(IF(SUM($D11)=0,"NA",P11/$D11),"NA")</f>
        <v>1.1196891968534015E-3</v>
      </c>
      <c r="K11" s="3507">
        <f t="shared" ref="K11:K26" si="8">IFERROR(IF(SUM(E11)=0,"NA",Q11/E11),"NA")</f>
        <v>5.9435792968887766E-3</v>
      </c>
      <c r="L11" s="3216" t="str">
        <f t="shared" ref="L11:L26" si="9">IFERROR(IF(SUM(F11)=0,"NA",R11/F11),"NA")</f>
        <v>NA</v>
      </c>
      <c r="M11" s="3087">
        <f>IF(SUM(M12:M14)=0,"IE",SUM(M12:M14))</f>
        <v>420.70818988380006</v>
      </c>
      <c r="N11" s="3087">
        <f t="shared" ref="N11:O11" si="10">IF(SUM(N12:N14)=0,"IE",SUM(N12:N14))</f>
        <v>-1003.1826163035298</v>
      </c>
      <c r="O11" s="3087">
        <f t="shared" si="10"/>
        <v>-582.47442641972975</v>
      </c>
      <c r="P11" s="3087">
        <f t="shared" ref="P11" si="11">IF(SUM(P12:P14)=0,"IE",SUM(P12:P14))</f>
        <v>569.29249346172298</v>
      </c>
      <c r="Q11" s="3507">
        <f t="shared" ref="Q11" si="12">IF(SUM(Q12:Q14)=0,"IE",SUM(Q12:Q14))</f>
        <v>3021.9413454395399</v>
      </c>
      <c r="R11" s="3507" t="str">
        <f t="shared" ref="R11" si="13">IF(SUM(R12:R14)=0,"IE",SUM(R12:R14))</f>
        <v>IE</v>
      </c>
      <c r="S11" s="3508">
        <f t="shared" ref="S11" si="14">IF(SUM(S12:S14)=0,"IE",SUM(S12:S14))</f>
        <v>-11032.117845765621</v>
      </c>
      <c r="U11" s="2423"/>
    </row>
    <row r="12" spans="2:21" ht="18" customHeight="1" x14ac:dyDescent="0.2">
      <c r="B12" s="489"/>
      <c r="C12" s="474" t="s">
        <v>1391</v>
      </c>
      <c r="D12" s="3500">
        <f>IF(SUM(E12:F12)=0,E12,SUM(E12:F12))</f>
        <v>69820.727480068104</v>
      </c>
      <c r="E12" s="3510">
        <v>69820.727480068104</v>
      </c>
      <c r="F12" s="3496" t="s">
        <v>274</v>
      </c>
      <c r="G12" s="3500">
        <f t="shared" si="4"/>
        <v>6.0255486453345917E-3</v>
      </c>
      <c r="H12" s="3057" t="str">
        <f t="shared" si="5"/>
        <v>NA</v>
      </c>
      <c r="I12" s="3057">
        <f t="shared" si="6"/>
        <v>6.0255486453345917E-3</v>
      </c>
      <c r="J12" s="3057">
        <f t="shared" si="7"/>
        <v>1.2051097290669184E-3</v>
      </c>
      <c r="K12" s="3514">
        <f t="shared" si="8"/>
        <v>4.8204389162676735E-3</v>
      </c>
      <c r="L12" s="3106" t="str">
        <f t="shared" si="9"/>
        <v>NA</v>
      </c>
      <c r="M12" s="2917">
        <v>420.70818988380006</v>
      </c>
      <c r="N12" s="2917" t="s">
        <v>274</v>
      </c>
      <c r="O12" s="3087">
        <f>IF(SUM(M12:N12)=0,M12,SUM(M12:N12))</f>
        <v>420.70818988380006</v>
      </c>
      <c r="P12" s="2917">
        <v>84.141637976760009</v>
      </c>
      <c r="Q12" s="2918">
        <v>336.56655190704004</v>
      </c>
      <c r="R12" s="2918" t="s">
        <v>274</v>
      </c>
      <c r="S12" s="3511">
        <f>IF(SUM(O12:R12)=0,Q12,SUM(O12:R12)*-44/12)</f>
        <v>-3085.1933924812001</v>
      </c>
      <c r="U12" s="2424"/>
    </row>
    <row r="13" spans="2:21" ht="18" customHeight="1" x14ac:dyDescent="0.2">
      <c r="B13" s="489"/>
      <c r="C13" s="474" t="s">
        <v>1392</v>
      </c>
      <c r="D13" s="3500">
        <f>IF(SUM(E13:F13)=0,E13,SUM(E13:F13))</f>
        <v>438617.23464511189</v>
      </c>
      <c r="E13" s="3510">
        <v>438617.23464511189</v>
      </c>
      <c r="F13" s="3496" t="s">
        <v>274</v>
      </c>
      <c r="G13" s="3500" t="str">
        <f t="shared" si="4"/>
        <v>NA</v>
      </c>
      <c r="H13" s="3057" t="str">
        <f t="shared" si="5"/>
        <v>NA</v>
      </c>
      <c r="I13" s="3057" t="str">
        <f t="shared" si="6"/>
        <v>NA</v>
      </c>
      <c r="J13" s="3057" t="str">
        <f t="shared" si="7"/>
        <v>NA</v>
      </c>
      <c r="K13" s="3514">
        <f t="shared" si="8"/>
        <v>6.1223649720587347E-3</v>
      </c>
      <c r="L13" s="3106" t="str">
        <f t="shared" si="9"/>
        <v>NA</v>
      </c>
      <c r="M13" s="2917" t="s">
        <v>205</v>
      </c>
      <c r="N13" s="2917" t="s">
        <v>205</v>
      </c>
      <c r="O13" s="3087" t="str">
        <f>IF(SUM(M13:N13)=0,M13,SUM(M13:N13))</f>
        <v>NA</v>
      </c>
      <c r="P13" s="2917" t="s">
        <v>205</v>
      </c>
      <c r="Q13" s="2918">
        <v>2685.3747935325</v>
      </c>
      <c r="R13" s="2918" t="s">
        <v>274</v>
      </c>
      <c r="S13" s="3511">
        <f>IF(SUM(O13:R13)=0,Q13,SUM(O13:R13)*-44/12)</f>
        <v>-9846.3742429524991</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-1003.1826163035298</v>
      </c>
      <c r="O14" s="3087">
        <f>IF(SUM(M14:N14)=0,M14,SUM(M14:N14))</f>
        <v>-1003.1826163035298</v>
      </c>
      <c r="P14" s="2917">
        <v>485.15085548496302</v>
      </c>
      <c r="Q14" s="2918" t="s">
        <v>205</v>
      </c>
      <c r="R14" s="2918" t="s">
        <v>205</v>
      </c>
      <c r="S14" s="3511">
        <f>IF(SUM(O14:R14)=0,Q14,SUM(O14:R14)*-44/12)</f>
        <v>1899.4497896680784</v>
      </c>
      <c r="U14" s="2424"/>
    </row>
    <row r="15" spans="2:21" ht="18" customHeight="1" x14ac:dyDescent="0.2">
      <c r="B15" s="475" t="s">
        <v>1394</v>
      </c>
      <c r="C15" s="476"/>
      <c r="D15" s="3529">
        <f>IF(SUM(D16,D19,D21,D23,D25)=0,"IE",SUM(D16,D19,D21,D23,D25))</f>
        <v>6936.4316910706457</v>
      </c>
      <c r="E15" s="3531">
        <f t="shared" ref="E15:F15" si="15">IF(SUM(E16,E19,E21,E23,E25)=0,"IE",SUM(E16,E19,E21,E23,E25))</f>
        <v>6935.4316910706457</v>
      </c>
      <c r="F15" s="3535">
        <f t="shared" si="15"/>
        <v>1</v>
      </c>
      <c r="G15" s="3500">
        <f t="shared" si="4"/>
        <v>7.3064591626520123E-4</v>
      </c>
      <c r="H15" s="3057">
        <f t="shared" si="5"/>
        <v>-4.7632073722419861</v>
      </c>
      <c r="I15" s="3057">
        <f t="shared" si="6"/>
        <v>-4.7624767263257208</v>
      </c>
      <c r="J15" s="3057">
        <f t="shared" si="7"/>
        <v>-0.60218920793752362</v>
      </c>
      <c r="K15" s="3514">
        <f t="shared" si="8"/>
        <v>-0.17731749359423157</v>
      </c>
      <c r="L15" s="3106">
        <f t="shared" si="9"/>
        <v>-8.7249999999999996</v>
      </c>
      <c r="M15" s="3530">
        <f>IF(SUM(M16,M19,M21,M23,M25)=0,"IE",SUM(M16,M19,M21,M23,M25))</f>
        <v>5.0680754885332915</v>
      </c>
      <c r="N15" s="3531">
        <f t="shared" ref="N15:S15" si="16">IF(SUM(N16,N19,N21,N23,N25)=0,"IE",SUM(N16,N19,N21,N23,N25))</f>
        <v>-33039.662567960644</v>
      </c>
      <c r="O15" s="3532">
        <f t="shared" si="16"/>
        <v>-33034.594492472112</v>
      </c>
      <c r="P15" s="3532">
        <f t="shared" si="16"/>
        <v>-4177.0443059585696</v>
      </c>
      <c r="Q15" s="3532">
        <f t="shared" si="16"/>
        <v>-1229.7733644546499</v>
      </c>
      <c r="R15" s="3532">
        <f t="shared" si="16"/>
        <v>-8.7249999999999996</v>
      </c>
      <c r="S15" s="3534">
        <f t="shared" si="16"/>
        <v>140983.83626391288</v>
      </c>
      <c r="U15" s="2048"/>
    </row>
    <row r="16" spans="2:21" ht="18" customHeight="1" x14ac:dyDescent="0.2">
      <c r="B16" s="490" t="s">
        <v>1395</v>
      </c>
      <c r="C16" s="476"/>
      <c r="D16" s="3539">
        <f>IF(SUM(D17:D18)=0,"IE",SUM(D17:D18))</f>
        <v>6887.5542585340991</v>
      </c>
      <c r="E16" s="3505">
        <f t="shared" ref="E16:F16" si="17">IF(SUM(E17:E18)=0,"IE",SUM(E17:E18))</f>
        <v>6887.5542585340991</v>
      </c>
      <c r="F16" s="3506" t="str">
        <f t="shared" si="17"/>
        <v>IE</v>
      </c>
      <c r="G16" s="3500">
        <f t="shared" si="4"/>
        <v>7.3583093479860976E-4</v>
      </c>
      <c r="H16" s="3057">
        <f t="shared" si="5"/>
        <v>-4.7970094067894262</v>
      </c>
      <c r="I16" s="3057">
        <f t="shared" si="6"/>
        <v>-4.7962735758546273</v>
      </c>
      <c r="J16" s="3057">
        <f t="shared" si="7"/>
        <v>-0.60646263523557109</v>
      </c>
      <c r="K16" s="3514">
        <f t="shared" si="8"/>
        <v>-0.16136055350236839</v>
      </c>
      <c r="L16" s="3106" t="str">
        <f t="shared" si="9"/>
        <v>NA</v>
      </c>
      <c r="M16" s="3057">
        <f>IF(SUM(M17:M18)=0,"IE",SUM(M17:M18))</f>
        <v>5.0680754885332915</v>
      </c>
      <c r="N16" s="3057">
        <f t="shared" ref="N16:O16" si="18">IF(SUM(N17:N18)=0,"IE",SUM(N17:N18))</f>
        <v>-33039.662567960644</v>
      </c>
      <c r="O16" s="3057">
        <f t="shared" si="18"/>
        <v>-33034.594492472112</v>
      </c>
      <c r="P16" s="3057">
        <f t="shared" ref="P16" si="19">IF(SUM(P17:P18)=0,"IE",SUM(P17:P18))</f>
        <v>-4177.0443059585696</v>
      </c>
      <c r="Q16" s="3514">
        <f t="shared" ref="Q16" si="20">IF(SUM(Q17:Q18)=0,"IE",SUM(Q17:Q18))</f>
        <v>-1111.3795674346568</v>
      </c>
      <c r="R16" s="3514" t="str">
        <f t="shared" ref="R16" si="21">IF(SUM(R17:R18)=0,"IE",SUM(R17:R18))</f>
        <v>IE</v>
      </c>
      <c r="S16" s="3511">
        <f t="shared" ref="S16" si="22">IF(SUM(S17:S18)=0,"IE",SUM(S17:S18))</f>
        <v>140517.73400817291</v>
      </c>
      <c r="U16" s="2048"/>
    </row>
    <row r="17" spans="2:21" ht="18" customHeight="1" x14ac:dyDescent="0.2">
      <c r="B17" s="490"/>
      <c r="C17" s="474" t="s">
        <v>1396</v>
      </c>
      <c r="D17" s="3500">
        <f>IF(SUM(E17:F17)=0,E17,SUM(E17:F17))</f>
        <v>6887.5542585340991</v>
      </c>
      <c r="E17" s="3510">
        <v>6887.5542585340991</v>
      </c>
      <c r="F17" s="3496" t="s">
        <v>274</v>
      </c>
      <c r="G17" s="3500" t="str">
        <f t="shared" si="4"/>
        <v>NA</v>
      </c>
      <c r="H17" s="3057">
        <f t="shared" si="5"/>
        <v>-4.7970094067894262</v>
      </c>
      <c r="I17" s="3057">
        <f t="shared" si="6"/>
        <v>-4.7970094067894262</v>
      </c>
      <c r="J17" s="3057">
        <f t="shared" si="7"/>
        <v>-0.60711536074943906</v>
      </c>
      <c r="K17" s="3514">
        <f t="shared" si="8"/>
        <v>-0.16136055350236839</v>
      </c>
      <c r="L17" s="3106" t="str">
        <f t="shared" si="9"/>
        <v>NA</v>
      </c>
      <c r="M17" s="2917" t="s">
        <v>274</v>
      </c>
      <c r="N17" s="2917">
        <v>-33039.662567960644</v>
      </c>
      <c r="O17" s="3087">
        <f>IF(SUM(M17:N17)=0,M17,SUM(M17:N17))</f>
        <v>-33039.662567960644</v>
      </c>
      <c r="P17" s="2917">
        <v>-4181.5399883512646</v>
      </c>
      <c r="Q17" s="2918">
        <v>-1111.3795674346568</v>
      </c>
      <c r="R17" s="2918" t="s">
        <v>274</v>
      </c>
      <c r="S17" s="3511">
        <f>IF(SUM(O17:R17)=0,Q17,SUM(O17:R17)*-44/12)</f>
        <v>140552.80112040407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v>5.0680754885332915</v>
      </c>
      <c r="N18" s="2917" t="s">
        <v>274</v>
      </c>
      <c r="O18" s="3087">
        <f>IF(SUM(M18:N18)=0,M18,SUM(M18:N18))</f>
        <v>5.0680754885332915</v>
      </c>
      <c r="P18" s="2917">
        <v>4.4956823926952518</v>
      </c>
      <c r="Q18" s="2918" t="s">
        <v>205</v>
      </c>
      <c r="R18" s="2918" t="s">
        <v>205</v>
      </c>
      <c r="S18" s="3511">
        <f>IF(SUM(O18:R18)=0,Q18,SUM(O18:R18)*-44/12)</f>
        <v>-35.067112231171329</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9" t="s">
        <v>1401</v>
      </c>
      <c r="C47" s="4510"/>
      <c r="D47" s="4510"/>
      <c r="E47" s="4510"/>
      <c r="F47" s="4510"/>
      <c r="G47" s="4510"/>
      <c r="H47" s="4510"/>
      <c r="I47" s="4510"/>
      <c r="J47" s="4510"/>
      <c r="K47" s="4510"/>
      <c r="L47" s="4510"/>
      <c r="M47" s="4510"/>
      <c r="N47" s="4510"/>
      <c r="O47" s="4510"/>
      <c r="P47" s="4510"/>
      <c r="Q47" s="4510"/>
      <c r="R47" s="4510"/>
      <c r="S47" s="4511"/>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2459</v>
      </c>
    </row>
    <row r="2" spans="1:23" ht="15.75" x14ac:dyDescent="0.25">
      <c r="B2" s="13" t="s">
        <v>1403</v>
      </c>
      <c r="S2" s="2" t="s">
        <v>2460</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13460.07675887985</v>
      </c>
      <c r="E10" s="3523">
        <f>IF(SUM(E11,E23)=0,"IE",SUM(E11,E23))</f>
        <v>13352.798703073819</v>
      </c>
      <c r="F10" s="3524">
        <f>IF(SUM(F11,F23)=0,"IE",SUM(F11,F23))</f>
        <v>107.27805580603214</v>
      </c>
      <c r="G10" s="4317" t="str">
        <f>IFERROR(IF(SUM($D10)=0,"NA",M10/$D10),"NA")</f>
        <v>NA</v>
      </c>
      <c r="H10" s="4318">
        <f t="shared" ref="H10:J10" si="0">IFERROR(IF(SUM($D10)=0,"NA",N10/$D10),"NA")</f>
        <v>-3.5661284417177579E-2</v>
      </c>
      <c r="I10" s="4319">
        <f t="shared" si="0"/>
        <v>-3.5661284417177579E-2</v>
      </c>
      <c r="J10" s="4318">
        <f t="shared" si="0"/>
        <v>2.5338195841017124E-3</v>
      </c>
      <c r="K10" s="4318">
        <f>IFERROR(IF(SUM(E10)=0,"NA",Q10/E10),"NA")</f>
        <v>-3.0255714274576065E-3</v>
      </c>
      <c r="L10" s="4320" t="str">
        <f>IFERROR(IF(SUM(F10)=0,"NA",R10/F10),"NA")</f>
        <v>NA</v>
      </c>
      <c r="M10" s="4319" t="str">
        <f t="shared" ref="M10:S10" si="1">IF(SUM(M11,M23)=0,"IE",SUM(M11,M23))</f>
        <v>IE</v>
      </c>
      <c r="N10" s="4318">
        <f t="shared" si="1"/>
        <v>-480.00362557545606</v>
      </c>
      <c r="O10" s="4319">
        <f t="shared" si="1"/>
        <v>-480.00362557545606</v>
      </c>
      <c r="P10" s="4318">
        <f t="shared" si="1"/>
        <v>34.105406095162067</v>
      </c>
      <c r="Q10" s="4321">
        <f t="shared" si="1"/>
        <v>-40.399846232613129</v>
      </c>
      <c r="R10" s="4321" t="str">
        <f t="shared" si="1"/>
        <v>IE</v>
      </c>
      <c r="S10" s="3528">
        <f t="shared" si="1"/>
        <v>1783.0929076139928</v>
      </c>
      <c r="U10" s="4322"/>
    </row>
    <row r="11" spans="1:23" ht="18" customHeight="1" x14ac:dyDescent="0.2">
      <c r="B11" s="491" t="s">
        <v>1262</v>
      </c>
      <c r="C11" s="473"/>
      <c r="D11" s="4323">
        <f>IF(SUM(D12,D14,D17)=0,"IE",SUM(D12,D14,D17))</f>
        <v>13231.700470195998</v>
      </c>
      <c r="E11" s="3542">
        <f t="shared" ref="E11:S11" si="2">IF(SUM(E12,E14,E17)=0,"IE",SUM(E12,E14,E17))</f>
        <v>13124.422414389966</v>
      </c>
      <c r="F11" s="3543">
        <f t="shared" si="2"/>
        <v>107.27805580603214</v>
      </c>
      <c r="G11" s="4324" t="str">
        <f t="shared" ref="G11:G56" si="3">IFERROR(IF(SUM($D11)=0,"NA",M11/$D11),"NA")</f>
        <v>NA</v>
      </c>
      <c r="H11" s="4325">
        <f t="shared" ref="H11:H56" si="4">IFERROR(IF(SUM($D11)=0,"NA",N11/$D11),"NA")</f>
        <v>-1.272679417139955E-2</v>
      </c>
      <c r="I11" s="4326">
        <f t="shared" ref="I11:I56" si="5">IFERROR(IF(SUM($D11)=0,"NA",O11/$D11),"NA")</f>
        <v>-1.272679417139955E-2</v>
      </c>
      <c r="J11" s="4325">
        <f t="shared" ref="J11:J56" si="6">IFERROR(IF(SUM($D11)=0,"NA",P11/$D11),"NA")</f>
        <v>2.5775527621701728E-3</v>
      </c>
      <c r="K11" s="4325">
        <f t="shared" ref="K11:K56" si="7">IFERROR(IF(SUM(E11)=0,"NA",Q11/E11),"NA")</f>
        <v>-3.0782189841983189E-3</v>
      </c>
      <c r="L11" s="4327" t="str">
        <f t="shared" ref="L11:L56" si="8">IFERROR(IF(SUM(F11)=0,"NA",R11/F11),"NA")</f>
        <v>NA</v>
      </c>
      <c r="M11" s="4326" t="str">
        <f t="shared" si="2"/>
        <v>IE</v>
      </c>
      <c r="N11" s="4325">
        <f t="shared" si="2"/>
        <v>-168.39712842179512</v>
      </c>
      <c r="O11" s="4326">
        <f t="shared" si="2"/>
        <v>-168.39712842179512</v>
      </c>
      <c r="P11" s="4325">
        <f t="shared" si="2"/>
        <v>34.105406095162067</v>
      </c>
      <c r="Q11" s="4328">
        <f t="shared" si="2"/>
        <v>-40.399846232613129</v>
      </c>
      <c r="R11" s="4328" t="str">
        <f t="shared" si="2"/>
        <v>IE</v>
      </c>
      <c r="S11" s="3544">
        <f t="shared" si="2"/>
        <v>640.53575138390261</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489.65009083423183</v>
      </c>
      <c r="E14" s="3505">
        <f>IF(SUM(E15:E16)=0,"IE",SUM(E15:E16))</f>
        <v>489.65009083423183</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262.47990000000004</v>
      </c>
      <c r="E15" s="3510">
        <v>262.47990000000004</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12742.050379361766</v>
      </c>
      <c r="E17" s="3505">
        <f>IF(SUM(E18:E21)=0,"IE",SUM(E18:E21))</f>
        <v>12634.772323555735</v>
      </c>
      <c r="F17" s="3506">
        <f>IF(SUM(F18:F21)=0,"IE",SUM(F18:F21))</f>
        <v>107.27805580603214</v>
      </c>
      <c r="G17" s="3545" t="str">
        <f t="shared" si="3"/>
        <v>NA</v>
      </c>
      <c r="H17" s="3531">
        <f t="shared" si="4"/>
        <v>-1.3215857998375762E-2</v>
      </c>
      <c r="I17" s="3546">
        <f t="shared" si="5"/>
        <v>-1.3215857998375762E-2</v>
      </c>
      <c r="J17" s="3531">
        <f t="shared" si="6"/>
        <v>2.6766026722357351E-3</v>
      </c>
      <c r="K17" s="3531">
        <f t="shared" si="7"/>
        <v>-3.1975128002341099E-3</v>
      </c>
      <c r="L17" s="3535" t="str">
        <f t="shared" si="8"/>
        <v>NA</v>
      </c>
      <c r="M17" s="3505" t="str">
        <f t="shared" ref="M17:S17" si="16">IF(SUM(M18:M21)=0,"IE",SUM(M18:M21))</f>
        <v>IE</v>
      </c>
      <c r="N17" s="4325">
        <f t="shared" si="16"/>
        <v>-168.39712842179512</v>
      </c>
      <c r="O17" s="4326">
        <f t="shared" si="16"/>
        <v>-168.39712842179512</v>
      </c>
      <c r="P17" s="4325">
        <f t="shared" si="16"/>
        <v>34.105406095162067</v>
      </c>
      <c r="Q17" s="4328">
        <f t="shared" si="16"/>
        <v>-40.399846232613129</v>
      </c>
      <c r="R17" s="4328" t="str">
        <f t="shared" si="16"/>
        <v>IE</v>
      </c>
      <c r="S17" s="4332">
        <f t="shared" si="16"/>
        <v>640.53575138390261</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-2.9410170548071903E-2</v>
      </c>
      <c r="I18" s="3554">
        <f t="shared" si="5"/>
        <v>-2.9410170548071903E-2</v>
      </c>
      <c r="J18" s="3553">
        <f t="shared" si="6"/>
        <v>-5.8820341096143822E-3</v>
      </c>
      <c r="K18" s="3553">
        <f t="shared" si="7"/>
        <v>-2.3528136438457529E-2</v>
      </c>
      <c r="L18" s="3555" t="str">
        <f t="shared" si="8"/>
        <v>NA</v>
      </c>
      <c r="M18" s="3547" t="s">
        <v>274</v>
      </c>
      <c r="N18" s="3548">
        <v>-50.499807790766397</v>
      </c>
      <c r="O18" s="3087">
        <f>IF(SUM(M18:N18)=0,M18,SUM(M18:N18))</f>
        <v>-50.499807790766397</v>
      </c>
      <c r="P18" s="3548">
        <v>-10.099961558153282</v>
      </c>
      <c r="Q18" s="3549">
        <v>-40.399846232613129</v>
      </c>
      <c r="R18" s="3556" t="s">
        <v>274</v>
      </c>
      <c r="S18" s="3511">
        <f>IF(SUM(O18:R18)=0,Q18,SUM(O18:R18)*-44/12)</f>
        <v>370.3319237989536</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-117.89732063102872</v>
      </c>
      <c r="O19" s="3087">
        <f t="shared" ref="O19:O22" si="18">IF(SUM(M19:N19)=0,M19,SUM(M19:N19))</f>
        <v>-117.89732063102872</v>
      </c>
      <c r="P19" s="3548">
        <v>44.205367653315349</v>
      </c>
      <c r="Q19" s="3551" t="s">
        <v>205</v>
      </c>
      <c r="R19" s="3550" t="s">
        <v>205</v>
      </c>
      <c r="S19" s="3511">
        <f t="shared" ref="S19:S22" si="19">IF(SUM(O19:R19)=0,Q19,SUM(O19:R19)*-44/12)</f>
        <v>270.20382758494901</v>
      </c>
      <c r="T19" s="2519"/>
      <c r="U19" s="2699"/>
      <c r="V19" s="2519"/>
      <c r="W19" s="2519"/>
    </row>
    <row r="20" spans="1:23" ht="18" customHeight="1" x14ac:dyDescent="0.2">
      <c r="A20" s="2519"/>
      <c r="B20" s="2698"/>
      <c r="C20" s="4316" t="s">
        <v>1414</v>
      </c>
      <c r="D20" s="3500">
        <f t="shared" si="17"/>
        <v>10917.685790234795</v>
      </c>
      <c r="E20" s="4335">
        <v>10917.685790234795</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107.27805580603214</v>
      </c>
      <c r="E21" s="3505" t="str">
        <f t="shared" ref="E21:F21" si="20">E22</f>
        <v>IE</v>
      </c>
      <c r="F21" s="3506">
        <f t="shared" si="20"/>
        <v>107.27805580603214</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107.27805580603214</v>
      </c>
      <c r="E22" s="3510" t="s">
        <v>274</v>
      </c>
      <c r="F22" s="3496">
        <v>107.27805580603214</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228.37628868385261</v>
      </c>
      <c r="E23" s="3531">
        <f t="shared" ref="E23:F23" si="22">IF(SUM(E24,E35,E46)=0,"IE",SUM(E24,E35,E46))</f>
        <v>228.37628868385261</v>
      </c>
      <c r="F23" s="3535" t="str">
        <f t="shared" si="22"/>
        <v>IE</v>
      </c>
      <c r="G23" s="3545" t="str">
        <f t="shared" si="3"/>
        <v>NA</v>
      </c>
      <c r="H23" s="3531">
        <f t="shared" si="4"/>
        <v>-1.3644433007886652</v>
      </c>
      <c r="I23" s="3546">
        <f t="shared" si="5"/>
        <v>-1.3644433007886652</v>
      </c>
      <c r="J23" s="3531" t="str">
        <f t="shared" si="6"/>
        <v>NA</v>
      </c>
      <c r="K23" s="3531" t="str">
        <f t="shared" si="7"/>
        <v>NA</v>
      </c>
      <c r="L23" s="3535" t="str">
        <f t="shared" si="8"/>
        <v>NA</v>
      </c>
      <c r="M23" s="3531" t="str">
        <f t="shared" ref="M23" si="23">IF(SUM(M24,M35,M46)=0,"IE",SUM(M24,M35,M46))</f>
        <v>IE</v>
      </c>
      <c r="N23" s="3531">
        <f t="shared" ref="N23" si="24">IF(SUM(N24,N35,N46)=0,"IE",SUM(N24,N35,N46))</f>
        <v>-311.60649715366094</v>
      </c>
      <c r="O23" s="3546">
        <f t="shared" ref="O23" si="25">IF(SUM(O24,O35,O46)=0,"IE",SUM(O24,O35,O46))</f>
        <v>-311.60649715366094</v>
      </c>
      <c r="P23" s="3531" t="str">
        <f>IF(SUM(P24,P35,P46)=0,"NO",SUM(P24,P35,P46))</f>
        <v>NO</v>
      </c>
      <c r="Q23" s="3530" t="str">
        <f>IF(SUM(Q24,Q35,Q46)=0,"NO",SUM(Q24,Q35,Q46))</f>
        <v>NO</v>
      </c>
      <c r="R23" s="3530" t="str">
        <f>IF(SUM(R24,R35,R46)=0,"NO",SUM(R24,R35,R46))</f>
        <v>NO</v>
      </c>
      <c r="S23" s="3534">
        <f t="shared" ref="S23" si="26">IF(SUM(S24,S35,S46)=0,"IE",SUM(S24,S35,S46))</f>
        <v>1142.5571562300902</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228.37628868385261</v>
      </c>
      <c r="E35" s="3531">
        <f>IF(SUM(E36,E38,E40,E42,E44)=0,"IE",SUM(E36,E38,E40,E42,E44))</f>
        <v>228.37628868385261</v>
      </c>
      <c r="F35" s="3535" t="str">
        <f>IF(SUM(F36,F38,F40,F42,F44)=0,"IE",SUM(F36,F38,F40,F42,F44))</f>
        <v>IE</v>
      </c>
      <c r="G35" s="3545" t="str">
        <f t="shared" si="3"/>
        <v>NA</v>
      </c>
      <c r="H35" s="3531">
        <f t="shared" si="4"/>
        <v>-1.3644433007886652</v>
      </c>
      <c r="I35" s="3546">
        <f t="shared" si="5"/>
        <v>-1.3644433007886652</v>
      </c>
      <c r="J35" s="3531" t="str">
        <f t="shared" si="6"/>
        <v>NA</v>
      </c>
      <c r="K35" s="3531" t="str">
        <f t="shared" si="7"/>
        <v>NA</v>
      </c>
      <c r="L35" s="3535" t="str">
        <f t="shared" si="8"/>
        <v>NA</v>
      </c>
      <c r="M35" s="3531" t="str">
        <f t="shared" ref="M35:S35" si="48">IF(SUM(M36,M38,M40,M42,M44)=0,"IE",SUM(M36,M38,M40,M42,M44))</f>
        <v>IE</v>
      </c>
      <c r="N35" s="3531">
        <f t="shared" si="48"/>
        <v>-311.60649715366094</v>
      </c>
      <c r="O35" s="3546">
        <f t="shared" si="48"/>
        <v>-311.60649715366094</v>
      </c>
      <c r="P35" s="3531" t="str">
        <f>IF(SUM(P36,P38,P40,P42,P44)=0,"NO",SUM(P36,P38,P40,P42,P44))</f>
        <v>NO</v>
      </c>
      <c r="Q35" s="3530" t="str">
        <f>IF(SUM(Q36,Q38,Q40,Q42,Q44)=0,"NO",SUM(Q36,Q38,Q40,Q42,Q44))</f>
        <v>NO</v>
      </c>
      <c r="R35" s="3530" t="str">
        <f>IF(SUM(R36,R38,R40,R42,R44)=0,"NO",SUM(R36,R38,R40,R42,R44))</f>
        <v>NO</v>
      </c>
      <c r="S35" s="3534">
        <f t="shared" si="48"/>
        <v>1142.5571562300902</v>
      </c>
      <c r="U35" s="493"/>
    </row>
    <row r="36" spans="2:21" ht="18" customHeight="1" x14ac:dyDescent="0.2">
      <c r="B36" s="495" t="s">
        <v>1424</v>
      </c>
      <c r="C36" s="476"/>
      <c r="D36" s="3500">
        <f>D37</f>
        <v>228.37628868385261</v>
      </c>
      <c r="E36" s="3505">
        <f t="shared" ref="E36:F36" si="49">E37</f>
        <v>228.37628868385261</v>
      </c>
      <c r="F36" s="3506" t="str">
        <f t="shared" si="49"/>
        <v>IE</v>
      </c>
      <c r="G36" s="3500" t="str">
        <f t="shared" si="3"/>
        <v>NA</v>
      </c>
      <c r="H36" s="3057">
        <f t="shared" si="4"/>
        <v>-1.3644433007886652</v>
      </c>
      <c r="I36" s="3057">
        <f t="shared" si="5"/>
        <v>-1.3644433007886652</v>
      </c>
      <c r="J36" s="3057" t="str">
        <f t="shared" si="6"/>
        <v>NA</v>
      </c>
      <c r="K36" s="3514" t="str">
        <f t="shared" si="7"/>
        <v>NA</v>
      </c>
      <c r="L36" s="3106" t="str">
        <f t="shared" si="8"/>
        <v>NA</v>
      </c>
      <c r="M36" s="4170" t="str">
        <f t="shared" ref="M36:S36" si="50">M37</f>
        <v>IE</v>
      </c>
      <c r="N36" s="3057">
        <f t="shared" si="50"/>
        <v>-311.60649715366094</v>
      </c>
      <c r="O36" s="3057">
        <f t="shared" si="50"/>
        <v>-311.60649715366094</v>
      </c>
      <c r="P36" s="3057" t="str">
        <f t="shared" si="50"/>
        <v>NA</v>
      </c>
      <c r="Q36" s="3514" t="str">
        <f t="shared" si="50"/>
        <v>NA</v>
      </c>
      <c r="R36" s="3514" t="str">
        <f t="shared" si="50"/>
        <v>NA</v>
      </c>
      <c r="S36" s="3511">
        <f t="shared" si="50"/>
        <v>1142.5571562300902</v>
      </c>
      <c r="U36" s="4329"/>
    </row>
    <row r="37" spans="2:21" ht="18" customHeight="1" x14ac:dyDescent="0.2">
      <c r="B37" s="1478"/>
      <c r="C37" s="4330" t="s">
        <v>409</v>
      </c>
      <c r="D37" s="3500">
        <f>IF(SUM(E37:F37)=0,E37,SUM(E37:F37))</f>
        <v>228.37628868385261</v>
      </c>
      <c r="E37" s="3510">
        <v>228.37628868385261</v>
      </c>
      <c r="F37" s="3496" t="s">
        <v>274</v>
      </c>
      <c r="G37" s="3545" t="str">
        <f t="shared" si="3"/>
        <v>NA</v>
      </c>
      <c r="H37" s="3531">
        <f t="shared" si="4"/>
        <v>-1.3644433007886652</v>
      </c>
      <c r="I37" s="3546">
        <f t="shared" si="5"/>
        <v>-1.3644433007886652</v>
      </c>
      <c r="J37" s="3531" t="str">
        <f t="shared" si="6"/>
        <v>NA</v>
      </c>
      <c r="K37" s="3531" t="str">
        <f t="shared" si="7"/>
        <v>NA</v>
      </c>
      <c r="L37" s="3535" t="str">
        <f t="shared" si="8"/>
        <v>NA</v>
      </c>
      <c r="M37" s="3547" t="s">
        <v>274</v>
      </c>
      <c r="N37" s="3548">
        <v>-311.60649715366094</v>
      </c>
      <c r="O37" s="3087">
        <f t="shared" ref="O37" si="51">IF(SUM(M37:N37)=0,M37,SUM(M37:N37))</f>
        <v>-311.60649715366094</v>
      </c>
      <c r="P37" s="3548" t="s">
        <v>205</v>
      </c>
      <c r="Q37" s="3549" t="s">
        <v>205</v>
      </c>
      <c r="R37" s="3549" t="s">
        <v>205</v>
      </c>
      <c r="S37" s="3511">
        <f t="shared" ref="S37" si="52">IF(SUM(O37:R37)=0,Q37,SUM(O37:R37)*-44/12)</f>
        <v>1142.5571562300902</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7" t="s">
        <v>1435</v>
      </c>
      <c r="C80" s="4528"/>
      <c r="D80" s="4528"/>
      <c r="E80" s="4528"/>
      <c r="F80" s="4528"/>
      <c r="G80" s="4528"/>
      <c r="H80" s="4528"/>
      <c r="I80" s="4528"/>
      <c r="J80" s="4528"/>
      <c r="K80" s="4528"/>
      <c r="L80" s="4528"/>
      <c r="M80" s="4528"/>
      <c r="N80" s="4528"/>
      <c r="O80" s="4528"/>
      <c r="P80" s="4528"/>
      <c r="Q80" s="4528"/>
      <c r="R80" s="4528"/>
      <c r="S80" s="4529"/>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2459</v>
      </c>
    </row>
    <row r="2" spans="2:21" ht="15.75" x14ac:dyDescent="0.25">
      <c r="B2" s="13" t="s">
        <v>1287</v>
      </c>
      <c r="S2" s="14" t="s">
        <v>2460</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1159.4356833797879</v>
      </c>
      <c r="E10" s="3523">
        <f t="shared" ref="E10:F10" si="0">IF(SUM(E11,E13)=0,"IE",SUM(E11,E13))</f>
        <v>1116.1247867816173</v>
      </c>
      <c r="F10" s="3524">
        <f t="shared" si="0"/>
        <v>43.31089659817048</v>
      </c>
      <c r="G10" s="3522">
        <f>IFERROR(IF(SUM($D10)=0,"NA",M10/$D10),"NA")</f>
        <v>2.9916726176643744E-3</v>
      </c>
      <c r="H10" s="3523">
        <f t="shared" ref="H10:J10" si="1">IFERROR(IF(SUM($D10)=0,"NA",N10/$D10),"NA")</f>
        <v>-1.9675318255985592</v>
      </c>
      <c r="I10" s="3523">
        <f t="shared" si="1"/>
        <v>-1.964540152980895</v>
      </c>
      <c r="J10" s="3523">
        <f t="shared" si="1"/>
        <v>0.22926286080801758</v>
      </c>
      <c r="K10" s="3525">
        <f>IFERROR(IF(SUM(E10)=0,"NA",Q10/E10),"NA")</f>
        <v>-5.5089466984428861E-2</v>
      </c>
      <c r="L10" s="3524">
        <f>IFERROR(IF(SUM(F10)=0,"NA",R10/F10),"NA")</f>
        <v>1.666774385307203</v>
      </c>
      <c r="M10" s="3526">
        <f>IF(SUM(M11,M13)=0,"IE",SUM(M11,M13))</f>
        <v>3.4686519859102929</v>
      </c>
      <c r="N10" s="3523">
        <f t="shared" ref="N10:S10" si="2">IF(SUM(N11,N13)=0,"IE",SUM(N11,N13))</f>
        <v>-2281.226606784347</v>
      </c>
      <c r="O10" s="3527">
        <f t="shared" si="2"/>
        <v>-2277.7579547984369</v>
      </c>
      <c r="P10" s="3523">
        <f t="shared" si="2"/>
        <v>265.81554169454904</v>
      </c>
      <c r="Q10" s="3525">
        <f t="shared" si="2"/>
        <v>-61.48671959190861</v>
      </c>
      <c r="R10" s="3525">
        <f t="shared" si="2"/>
        <v>72.189493054519431</v>
      </c>
      <c r="S10" s="3528">
        <f t="shared" si="2"/>
        <v>7337.8786786846822</v>
      </c>
      <c r="U10" s="2287"/>
    </row>
    <row r="11" spans="2:21" ht="18" customHeight="1" x14ac:dyDescent="0.2">
      <c r="B11" s="483" t="s">
        <v>1265</v>
      </c>
      <c r="C11" s="2282"/>
      <c r="D11" s="3529">
        <f>D12</f>
        <v>966.32117157799996</v>
      </c>
      <c r="E11" s="3057">
        <f t="shared" ref="E11:F11" si="3">E12</f>
        <v>966.32117157799996</v>
      </c>
      <c r="F11" s="3057" t="str">
        <f t="shared" si="3"/>
        <v>IE</v>
      </c>
      <c r="G11" s="3500">
        <f t="shared" ref="G11:G24" si="4">IFERROR(IF(SUM($D11)=0,"NA",M11/$D11),"NA")</f>
        <v>3.589543609239145E-3</v>
      </c>
      <c r="H11" s="3057" t="str">
        <f t="shared" ref="H11:H24" si="5">IFERROR(IF(SUM($D11)=0,"NA",N11/$D11),"NA")</f>
        <v>NA</v>
      </c>
      <c r="I11" s="3057">
        <f t="shared" ref="I11:I24" si="6">IFERROR(IF(SUM($D11)=0,"NA",O11/$D11),"NA")</f>
        <v>3.589543609239145E-3</v>
      </c>
      <c r="J11" s="3057">
        <f t="shared" ref="J11:J24" si="7">IFERROR(IF(SUM($D11)=0,"NA",P11/$D11),"NA")</f>
        <v>7.1790872184782908E-4</v>
      </c>
      <c r="K11" s="3514">
        <f t="shared" ref="K11:K24" si="8">IFERROR(IF(SUM(E11)=0,"NA",Q11/E11),"NA")</f>
        <v>2.8716348873913163E-3</v>
      </c>
      <c r="L11" s="3106" t="str">
        <f t="shared" ref="L11:L24" si="9">IFERROR(IF(SUM(F11)=0,"NA",R11/F11),"NA")</f>
        <v>NA</v>
      </c>
      <c r="M11" s="3530">
        <f t="shared" ref="M11:S11" si="10">M12</f>
        <v>3.4686519859102929</v>
      </c>
      <c r="N11" s="3531" t="str">
        <f t="shared" si="10"/>
        <v>IE</v>
      </c>
      <c r="O11" s="3532">
        <f t="shared" si="10"/>
        <v>3.4686519859102929</v>
      </c>
      <c r="P11" s="3531">
        <f t="shared" si="10"/>
        <v>0.69373039718205864</v>
      </c>
      <c r="Q11" s="3533">
        <f t="shared" si="10"/>
        <v>2.7749215887282346</v>
      </c>
      <c r="R11" s="3533" t="str">
        <f t="shared" si="10"/>
        <v>IE</v>
      </c>
      <c r="S11" s="3534">
        <f t="shared" si="10"/>
        <v>-25.436781230008819</v>
      </c>
      <c r="U11" s="2423"/>
    </row>
    <row r="12" spans="2:21" ht="18" customHeight="1" x14ac:dyDescent="0.2">
      <c r="B12" s="491"/>
      <c r="C12" s="4330" t="s">
        <v>409</v>
      </c>
      <c r="D12" s="3500">
        <f>IF(SUM(E12:F12)=0,E12,SUM(E12:F12))</f>
        <v>966.32117157799996</v>
      </c>
      <c r="E12" s="3510">
        <v>966.32117157799996</v>
      </c>
      <c r="F12" s="3496" t="s">
        <v>274</v>
      </c>
      <c r="G12" s="3500">
        <f t="shared" si="4"/>
        <v>3.589543609239145E-3</v>
      </c>
      <c r="H12" s="3057" t="str">
        <f t="shared" si="5"/>
        <v>NA</v>
      </c>
      <c r="I12" s="3057">
        <f t="shared" si="6"/>
        <v>3.589543609239145E-3</v>
      </c>
      <c r="J12" s="3057">
        <f t="shared" si="7"/>
        <v>7.1790872184782908E-4</v>
      </c>
      <c r="K12" s="3514">
        <f t="shared" si="8"/>
        <v>2.8716348873913163E-3</v>
      </c>
      <c r="L12" s="3106" t="str">
        <f t="shared" si="9"/>
        <v>NA</v>
      </c>
      <c r="M12" s="2917">
        <v>3.4686519859102929</v>
      </c>
      <c r="N12" s="2917" t="s">
        <v>274</v>
      </c>
      <c r="O12" s="3087">
        <f>IF(SUM(M12:N12)=0,M12,SUM(M12:N12))</f>
        <v>3.4686519859102929</v>
      </c>
      <c r="P12" s="2917">
        <v>0.69373039718205864</v>
      </c>
      <c r="Q12" s="2918">
        <v>2.7749215887282346</v>
      </c>
      <c r="R12" s="2918" t="s">
        <v>274</v>
      </c>
      <c r="S12" s="3511">
        <f>IF(SUM(O12:R12)=0,Q12,SUM(O12:R12)*-44/12)</f>
        <v>-25.436781230008819</v>
      </c>
      <c r="U12" s="2424"/>
    </row>
    <row r="13" spans="2:21" ht="18" customHeight="1" x14ac:dyDescent="0.2">
      <c r="B13" s="483" t="s">
        <v>1266</v>
      </c>
      <c r="C13" s="494"/>
      <c r="D13" s="3529">
        <f>IF(SUM(D14,D17,D19,D21,D23)=0,"IE",SUM(D14,D17,D19,D21,D23))</f>
        <v>193.11451180178796</v>
      </c>
      <c r="E13" s="3531">
        <f t="shared" ref="E13:S13" si="11">IF(SUM(E14,E17,E19,E21,E23)=0,"IE",SUM(E14,E17,E19,E21,E23))</f>
        <v>149.80361520361748</v>
      </c>
      <c r="F13" s="3535">
        <f t="shared" si="11"/>
        <v>43.31089659817048</v>
      </c>
      <c r="G13" s="3500" t="str">
        <f t="shared" si="4"/>
        <v>NA</v>
      </c>
      <c r="H13" s="3057">
        <f t="shared" si="5"/>
        <v>-11.812818133138487</v>
      </c>
      <c r="I13" s="3057">
        <f t="shared" si="6"/>
        <v>-11.812818133138487</v>
      </c>
      <c r="J13" s="3057">
        <f t="shared" si="7"/>
        <v>1.3728735806736632</v>
      </c>
      <c r="K13" s="3514">
        <f t="shared" si="8"/>
        <v>-0.4289725658041732</v>
      </c>
      <c r="L13" s="3106">
        <f t="shared" si="9"/>
        <v>1.666774385307203</v>
      </c>
      <c r="M13" s="3057" t="str">
        <f t="shared" si="11"/>
        <v>IE</v>
      </c>
      <c r="N13" s="3057">
        <f t="shared" si="11"/>
        <v>-2281.226606784347</v>
      </c>
      <c r="O13" s="3057">
        <f t="shared" si="11"/>
        <v>-2281.226606784347</v>
      </c>
      <c r="P13" s="3057">
        <f t="shared" si="11"/>
        <v>265.121811297367</v>
      </c>
      <c r="Q13" s="3514">
        <f t="shared" si="11"/>
        <v>-64.261641180636843</v>
      </c>
      <c r="R13" s="3514">
        <f t="shared" si="11"/>
        <v>72.189493054519431</v>
      </c>
      <c r="S13" s="3511">
        <f t="shared" si="11"/>
        <v>7363.315459914691</v>
      </c>
      <c r="U13" s="2048"/>
    </row>
    <row r="14" spans="2:21" ht="18" customHeight="1" x14ac:dyDescent="0.2">
      <c r="B14" s="485" t="s">
        <v>1440</v>
      </c>
      <c r="C14" s="494"/>
      <c r="D14" s="3539">
        <f>IF(SUM(D15:D16)=0,"IE",SUM(D15:D16))</f>
        <v>193.11451180178796</v>
      </c>
      <c r="E14" s="3505">
        <f t="shared" ref="E14:F14" si="12">IF(SUM(E15:E16)=0,"IE",SUM(E15:E16))</f>
        <v>149.80361520361748</v>
      </c>
      <c r="F14" s="3506">
        <f t="shared" si="12"/>
        <v>43.31089659817048</v>
      </c>
      <c r="G14" s="3500" t="str">
        <f t="shared" si="4"/>
        <v>NA</v>
      </c>
      <c r="H14" s="3057">
        <f t="shared" si="5"/>
        <v>-11.812818133138487</v>
      </c>
      <c r="I14" s="3057">
        <f t="shared" si="6"/>
        <v>-11.812818133138487</v>
      </c>
      <c r="J14" s="3057">
        <f t="shared" si="7"/>
        <v>1.3728735806736632</v>
      </c>
      <c r="K14" s="3514">
        <f t="shared" si="8"/>
        <v>-0.4289725658041732</v>
      </c>
      <c r="L14" s="3106">
        <f t="shared" si="9"/>
        <v>1.666774385307203</v>
      </c>
      <c r="M14" s="3057" t="str">
        <f>IF(SUM(M15:M16)=0,"IE",SUM(M15:M16))</f>
        <v>IE</v>
      </c>
      <c r="N14" s="3057">
        <f t="shared" ref="N14:S14" si="13">IF(SUM(N15:N16)=0,"IE",SUM(N15:N16))</f>
        <v>-2281.226606784347</v>
      </c>
      <c r="O14" s="3057">
        <f t="shared" si="13"/>
        <v>-2281.226606784347</v>
      </c>
      <c r="P14" s="3057">
        <f t="shared" si="13"/>
        <v>265.121811297367</v>
      </c>
      <c r="Q14" s="3514">
        <f t="shared" si="13"/>
        <v>-64.261641180636843</v>
      </c>
      <c r="R14" s="3514">
        <f t="shared" si="13"/>
        <v>72.189493054519431</v>
      </c>
      <c r="S14" s="3511">
        <f t="shared" si="13"/>
        <v>7363.315459914691</v>
      </c>
      <c r="U14" s="2048"/>
    </row>
    <row r="15" spans="2:21" ht="18" customHeight="1" x14ac:dyDescent="0.2">
      <c r="B15" s="486"/>
      <c r="C15" s="498" t="s">
        <v>1441</v>
      </c>
      <c r="D15" s="3500">
        <f>IF(SUM(E15:F15)=0,E15,SUM(E15:F15))</f>
        <v>43.31089659817048</v>
      </c>
      <c r="E15" s="3510" t="s">
        <v>199</v>
      </c>
      <c r="F15" s="3496">
        <v>43.31089659817048</v>
      </c>
      <c r="G15" s="3500" t="str">
        <f t="shared" si="4"/>
        <v>NA</v>
      </c>
      <c r="H15" s="3057">
        <f t="shared" si="5"/>
        <v>-30.189048037596745</v>
      </c>
      <c r="I15" s="3057">
        <f t="shared" si="6"/>
        <v>-30.189048037596745</v>
      </c>
      <c r="J15" s="3057">
        <f t="shared" si="7"/>
        <v>10.019472561011735</v>
      </c>
      <c r="K15" s="3514" t="str">
        <f t="shared" si="8"/>
        <v>NA</v>
      </c>
      <c r="L15" s="3106">
        <f t="shared" si="9"/>
        <v>1.666774385307203</v>
      </c>
      <c r="M15" s="2917" t="s">
        <v>274</v>
      </c>
      <c r="N15" s="2917">
        <v>-1307.514737953554</v>
      </c>
      <c r="O15" s="3087">
        <f>IF(SUM(M15:N15)=0,M15,SUM(M15:N15))</f>
        <v>-1307.514737953554</v>
      </c>
      <c r="P15" s="2917">
        <v>433.95234005818565</v>
      </c>
      <c r="Q15" s="2918" t="s">
        <v>199</v>
      </c>
      <c r="R15" s="2918">
        <v>72.189493054519431</v>
      </c>
      <c r="S15" s="3511">
        <f>IF(SUM(O15:R15)=0,Q15,SUM(O15:R15)*-44/12)</f>
        <v>2938.3673177497799</v>
      </c>
      <c r="U15" s="2048"/>
    </row>
    <row r="16" spans="2:21" ht="18" customHeight="1" x14ac:dyDescent="0.2">
      <c r="B16" s="484"/>
      <c r="C16" s="498" t="s">
        <v>1442</v>
      </c>
      <c r="D16" s="3500">
        <f>IF(SUM(E16:F16)=0,E16,SUM(E16:F16))</f>
        <v>149.80361520361748</v>
      </c>
      <c r="E16" s="3510">
        <v>149.80361520361748</v>
      </c>
      <c r="F16" s="3496" t="s">
        <v>274</v>
      </c>
      <c r="G16" s="3500" t="str">
        <f t="shared" si="4"/>
        <v>NA</v>
      </c>
      <c r="H16" s="3057">
        <f t="shared" si="5"/>
        <v>-6.4999223650730666</v>
      </c>
      <c r="I16" s="3057">
        <f t="shared" si="6"/>
        <v>-6.4999223650730666</v>
      </c>
      <c r="J16" s="3057">
        <f t="shared" si="7"/>
        <v>-1.1270123790493258</v>
      </c>
      <c r="K16" s="3514">
        <f t="shared" si="8"/>
        <v>-0.4289725658041732</v>
      </c>
      <c r="L16" s="3106" t="str">
        <f t="shared" si="9"/>
        <v>NA</v>
      </c>
      <c r="M16" s="2917" t="s">
        <v>274</v>
      </c>
      <c r="N16" s="2917">
        <v>-973.71186883079292</v>
      </c>
      <c r="O16" s="3087">
        <f>IF(SUM(M16:N16)=0,M16,SUM(M16:N16))</f>
        <v>-973.71186883079292</v>
      </c>
      <c r="P16" s="2917">
        <v>-168.83052876081868</v>
      </c>
      <c r="Q16" s="2918">
        <v>-64.261641180636843</v>
      </c>
      <c r="R16" s="2918" t="s">
        <v>274</v>
      </c>
      <c r="S16" s="3511">
        <f>IF(SUM(O16:R16)=0,Q16,SUM(O16:R16)*-44/12)</f>
        <v>4424.9481421649116</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30"/>
      <c r="W29" s="4530"/>
      <c r="X29" s="4530"/>
      <c r="Y29" s="4530"/>
      <c r="Z29" s="4530"/>
      <c r="AA29" s="4530"/>
      <c r="AB29" s="4530"/>
      <c r="AC29" s="4530"/>
      <c r="AD29" s="4530"/>
      <c r="AE29" s="4530"/>
      <c r="AF29" s="4530"/>
      <c r="AG29" s="4530"/>
      <c r="AH29" s="4530"/>
      <c r="AI29" s="4530"/>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2459</v>
      </c>
    </row>
    <row r="2" spans="2:21" ht="15.75" x14ac:dyDescent="0.25">
      <c r="B2" s="13" t="s">
        <v>1288</v>
      </c>
      <c r="S2" s="14" t="s">
        <v>2460</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2459</v>
      </c>
    </row>
    <row r="2" spans="1:12" ht="19.5" x14ac:dyDescent="0.3">
      <c r="B2" s="208" t="s">
        <v>1458</v>
      </c>
      <c r="C2" s="208"/>
      <c r="D2" s="208"/>
      <c r="E2" s="208"/>
      <c r="F2"/>
      <c r="G2"/>
      <c r="H2"/>
      <c r="I2" s="226"/>
      <c r="L2" s="14" t="s">
        <v>2460</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9" t="s">
        <v>1501</v>
      </c>
      <c r="C53" s="4510"/>
      <c r="D53" s="4510"/>
      <c r="E53" s="4510"/>
      <c r="F53" s="4510"/>
      <c r="G53" s="4510"/>
      <c r="H53" s="4510"/>
      <c r="I53" s="4510"/>
      <c r="J53" s="4510"/>
      <c r="K53" s="4510"/>
      <c r="L53" s="4511"/>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1"/>
      <c r="C55" s="4531"/>
      <c r="D55" s="4531"/>
      <c r="E55" s="4531"/>
      <c r="F55" s="4531"/>
      <c r="G55" s="4531"/>
      <c r="H55" s="4531"/>
      <c r="I55" s="4531"/>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2459</v>
      </c>
    </row>
    <row r="2" spans="2:10" ht="15.75" x14ac:dyDescent="0.25">
      <c r="B2" s="510" t="s">
        <v>1503</v>
      </c>
      <c r="C2" s="510"/>
      <c r="D2" s="510"/>
      <c r="E2" s="510"/>
      <c r="J2" s="14" t="s">
        <v>2460</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2" t="s">
        <v>1505</v>
      </c>
      <c r="C8" s="2474" t="s">
        <v>1312</v>
      </c>
      <c r="D8" s="2838" t="s">
        <v>1506</v>
      </c>
      <c r="E8" s="910" t="s">
        <v>1507</v>
      </c>
      <c r="F8" s="909" t="s">
        <v>1508</v>
      </c>
      <c r="G8" s="511" t="s">
        <v>1509</v>
      </c>
      <c r="H8" s="512" t="s">
        <v>1510</v>
      </c>
      <c r="I8" s="512" t="s">
        <v>1511</v>
      </c>
      <c r="J8" s="513" t="s">
        <v>1512</v>
      </c>
    </row>
    <row r="9" spans="2:10" ht="15" thickBot="1" x14ac:dyDescent="0.3">
      <c r="B9" s="4533"/>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71.943203114231778</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71.943203114231778</v>
      </c>
    </row>
    <row r="270" spans="2:10" ht="18" customHeight="1" x14ac:dyDescent="0.2">
      <c r="B270" s="2842" t="s">
        <v>1550</v>
      </c>
      <c r="C270" s="2843"/>
      <c r="D270" s="2823"/>
      <c r="E270" s="2824"/>
      <c r="F270" s="2825"/>
      <c r="G270" s="2826"/>
      <c r="H270" s="2834" t="s">
        <v>221</v>
      </c>
      <c r="I270" s="2830" t="s">
        <v>221</v>
      </c>
      <c r="J270" s="3659">
        <f>J277</f>
        <v>31.916243039298536</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336.31202684066079</v>
      </c>
      <c r="E277" s="2770" t="s">
        <v>205</v>
      </c>
      <c r="F277" s="2768" t="s">
        <v>205</v>
      </c>
      <c r="G277" s="3653">
        <f>IF(SUM(D277)=0,"NA",J277*1000/D277)</f>
        <v>94.900688920113879</v>
      </c>
      <c r="H277" s="2793" t="str">
        <f t="shared" ref="H277:J277" si="1">H302</f>
        <v>NE</v>
      </c>
      <c r="I277" s="2792" t="str">
        <f t="shared" si="1"/>
        <v>NE</v>
      </c>
      <c r="J277" s="3652">
        <f t="shared" si="1"/>
        <v>31.916243039298536</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169.96073385262798</v>
      </c>
      <c r="E281" s="2770" t="str">
        <f t="shared" si="2"/>
        <v>NA</v>
      </c>
      <c r="F281" s="2768" t="str">
        <f t="shared" si="2"/>
        <v>NA</v>
      </c>
      <c r="G281" s="3653">
        <f t="shared" si="2"/>
        <v>112.54201762283945</v>
      </c>
      <c r="H281" s="2795" t="str">
        <f t="shared" ref="H281" si="3">H306</f>
        <v>NA</v>
      </c>
      <c r="I281" s="2773" t="str">
        <f t="shared" ref="I281:J281" si="4">I306</f>
        <v>NA</v>
      </c>
      <c r="J281" s="3662">
        <f t="shared" si="4"/>
        <v>19.127723904433182</v>
      </c>
    </row>
    <row r="282" spans="2:10" ht="18" customHeight="1" outlineLevel="1" x14ac:dyDescent="0.2">
      <c r="B282" s="2862" t="str">
        <f>B307</f>
        <v>Other Constructed Water Bodies</v>
      </c>
      <c r="C282" s="2850" t="str">
        <f t="shared" si="2"/>
        <v>Other Constructed Water Bodies</v>
      </c>
      <c r="D282" s="3647">
        <f t="shared" si="2"/>
        <v>166.35129298803284</v>
      </c>
      <c r="E282" s="2770" t="str">
        <f t="shared" si="2"/>
        <v>NA</v>
      </c>
      <c r="F282" s="2768" t="str">
        <f t="shared" si="2"/>
        <v>NA</v>
      </c>
      <c r="G282" s="3653">
        <f t="shared" si="2"/>
        <v>76.876583915613722</v>
      </c>
      <c r="H282" s="2860" t="str">
        <f t="shared" ref="H282" si="5">H307</f>
        <v>NA</v>
      </c>
      <c r="I282" s="2861" t="str">
        <f t="shared" ref="I282:J282" si="6">I307</f>
        <v>NA</v>
      </c>
      <c r="J282" s="3662">
        <f t="shared" si="6"/>
        <v>12.788519134865352</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31.916243039298536</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336.31202684066079</v>
      </c>
      <c r="E302" s="2770" t="s">
        <v>205</v>
      </c>
      <c r="F302" s="2768" t="s">
        <v>205</v>
      </c>
      <c r="G302" s="3653">
        <f>IF(SUM(D302)=0,"NA",J302*1000/D302)</f>
        <v>94.900688920113879</v>
      </c>
      <c r="H302" s="2793" t="s">
        <v>221</v>
      </c>
      <c r="I302" s="2792" t="s">
        <v>221</v>
      </c>
      <c r="J302" s="3652">
        <f t="shared" ref="J302" si="7">IF(SUM(J306:J307)=0,"NO",SUM(J306:J307))</f>
        <v>31.916243039298536</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169.96073385262798</v>
      </c>
      <c r="E306" s="2770" t="s">
        <v>205</v>
      </c>
      <c r="F306" s="2768" t="s">
        <v>205</v>
      </c>
      <c r="G306" s="3653">
        <f>IF(SUM(D306)=0,"NA",J306*1000/D306)</f>
        <v>112.54201762283945</v>
      </c>
      <c r="H306" s="2795" t="s">
        <v>205</v>
      </c>
      <c r="I306" s="2773" t="s">
        <v>205</v>
      </c>
      <c r="J306" s="3662">
        <v>19.127723904433182</v>
      </c>
    </row>
    <row r="307" spans="2:10" ht="18" customHeight="1" outlineLevel="2" x14ac:dyDescent="0.2">
      <c r="B307" s="2862" t="s">
        <v>1554</v>
      </c>
      <c r="C307" s="2850" t="s">
        <v>1554</v>
      </c>
      <c r="D307" s="3650">
        <v>166.35129298803284</v>
      </c>
      <c r="E307" s="2770" t="s">
        <v>205</v>
      </c>
      <c r="F307" s="2768" t="s">
        <v>205</v>
      </c>
      <c r="G307" s="3653">
        <f>IF(SUM(D307)=0,"NA",J307*1000/D307)</f>
        <v>76.876583915613722</v>
      </c>
      <c r="H307" s="2795" t="s">
        <v>205</v>
      </c>
      <c r="I307" s="2773" t="s">
        <v>205</v>
      </c>
      <c r="J307" s="3662">
        <v>12.788519134865352</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40.026960074933235</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203.3066536973443</v>
      </c>
      <c r="E327" s="2791" t="str">
        <f t="shared" ref="E327:J327" si="8">E331</f>
        <v>NA</v>
      </c>
      <c r="F327" s="2792" t="str">
        <f t="shared" si="8"/>
        <v>NA</v>
      </c>
      <c r="G327" s="3655">
        <f t="shared" si="8"/>
        <v>196.87973485865353</v>
      </c>
      <c r="H327" s="2793" t="str">
        <f t="shared" si="8"/>
        <v>IE</v>
      </c>
      <c r="I327" s="2792" t="str">
        <f t="shared" si="8"/>
        <v>NA</v>
      </c>
      <c r="J327" s="3652">
        <f t="shared" si="8"/>
        <v>40.026960074933235</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203.3066536973443</v>
      </c>
      <c r="E331" s="2770" t="str">
        <f t="shared" si="9"/>
        <v>NA</v>
      </c>
      <c r="F331" s="2768" t="str">
        <f t="shared" si="9"/>
        <v>NA</v>
      </c>
      <c r="G331" s="3653">
        <f t="shared" si="9"/>
        <v>196.87973485865353</v>
      </c>
      <c r="H331" s="2780" t="str">
        <f t="shared" si="9"/>
        <v>IE</v>
      </c>
      <c r="I331" s="2773" t="str">
        <f t="shared" si="9"/>
        <v>NA</v>
      </c>
      <c r="J331" s="3662">
        <f t="shared" si="9"/>
        <v>40.026960074933235</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40.026960074933235</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203.3066536973443</v>
      </c>
      <c r="E411" s="2791" t="str">
        <f t="shared" ref="E411:J411" si="10">E415</f>
        <v>NA</v>
      </c>
      <c r="F411" s="2792" t="str">
        <f t="shared" si="10"/>
        <v>NA</v>
      </c>
      <c r="G411" s="3655">
        <f t="shared" si="10"/>
        <v>196.87973485865353</v>
      </c>
      <c r="H411" s="2793" t="str">
        <f t="shared" si="10"/>
        <v>IE</v>
      </c>
      <c r="I411" s="2792" t="str">
        <f t="shared" si="10"/>
        <v>NA</v>
      </c>
      <c r="J411" s="3652">
        <f t="shared" si="10"/>
        <v>40.026960074933235</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203.3066536973443</v>
      </c>
      <c r="E415" s="2770" t="str">
        <f>E427</f>
        <v>NA</v>
      </c>
      <c r="F415" s="2768" t="str">
        <f>F427</f>
        <v>NA</v>
      </c>
      <c r="G415" s="3653">
        <f t="shared" ref="G415:J415" si="11">G427</f>
        <v>196.87973485865353</v>
      </c>
      <c r="H415" s="2795" t="str">
        <f t="shared" si="11"/>
        <v>IE</v>
      </c>
      <c r="I415" s="2773" t="str">
        <f t="shared" si="11"/>
        <v>NA</v>
      </c>
      <c r="J415" s="3662">
        <f t="shared" si="11"/>
        <v>40.026960074933235</v>
      </c>
    </row>
    <row r="416" spans="2:10" ht="18" customHeight="1" outlineLevel="2" x14ac:dyDescent="0.2">
      <c r="B416" s="2857" t="s">
        <v>1564</v>
      </c>
      <c r="C416" s="2843"/>
      <c r="D416" s="3649"/>
      <c r="E416" s="2824"/>
      <c r="F416" s="2825"/>
      <c r="G416" s="3656"/>
      <c r="H416" s="2834" t="s">
        <v>221</v>
      </c>
      <c r="I416" s="2830" t="s">
        <v>221</v>
      </c>
      <c r="J416" s="3659">
        <f>J423</f>
        <v>40.026960074933235</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203.3066536973443</v>
      </c>
      <c r="E423" s="2791" t="str">
        <f t="shared" ref="E423:J423" si="12">E427</f>
        <v>NA</v>
      </c>
      <c r="F423" s="2792" t="str">
        <f t="shared" si="12"/>
        <v>NA</v>
      </c>
      <c r="G423" s="3655">
        <f t="shared" si="12"/>
        <v>196.87973485865353</v>
      </c>
      <c r="H423" s="2793" t="str">
        <f t="shared" si="12"/>
        <v>IE</v>
      </c>
      <c r="I423" s="2792" t="str">
        <f t="shared" si="12"/>
        <v>NA</v>
      </c>
      <c r="J423" s="3652">
        <f t="shared" si="12"/>
        <v>40.026960074933235</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203.3066536973443</v>
      </c>
      <c r="E427" s="2770" t="s">
        <v>205</v>
      </c>
      <c r="F427" s="2768" t="s">
        <v>205</v>
      </c>
      <c r="G427" s="3653">
        <f>IF(SUM(D427)=0,"NA",J427*1000/D427)</f>
        <v>196.87973485865353</v>
      </c>
      <c r="H427" s="4306" t="s">
        <v>274</v>
      </c>
      <c r="I427" s="2773" t="s">
        <v>205</v>
      </c>
      <c r="J427" s="3662">
        <v>40.026960074933235</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3" t="s">
        <v>1592</v>
      </c>
      <c r="C736" s="4504"/>
      <c r="D736" s="4504"/>
      <c r="E736" s="4504"/>
      <c r="F736" s="4504"/>
      <c r="G736" s="4504"/>
      <c r="H736" s="4504"/>
      <c r="I736" s="4504"/>
      <c r="J736" s="4505"/>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2459</v>
      </c>
      <c r="J1" s="2"/>
    </row>
    <row r="2" spans="2:10" ht="17.25" x14ac:dyDescent="0.2">
      <c r="B2" s="920" t="s">
        <v>1594</v>
      </c>
      <c r="C2" s="899"/>
      <c r="D2" s="899"/>
      <c r="E2" s="899"/>
      <c r="F2" s="899"/>
      <c r="H2" s="226"/>
      <c r="I2" s="14" t="s">
        <v>2460</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656927.66802298557</v>
      </c>
      <c r="D10" s="3577">
        <f>IF(SUM(D11,D20,D28,D37,D46,D55)=0,"NO",SUM(D11,D20,D28,D37,D46,D55))</f>
        <v>55332.08705852749</v>
      </c>
      <c r="E10" s="3592">
        <f t="shared" ref="E10:E12" si="0">IF(SUM(C10)=0,"NA",G10/C10*1000/(44/28))</f>
        <v>1.6151140782559277E-3</v>
      </c>
      <c r="F10" s="3593">
        <f t="shared" ref="F10:F11" si="1">IF(SUM(D10)=0,"NA",H10/D10*1000/(44/28))</f>
        <v>7.4999999999999997E-3</v>
      </c>
      <c r="G10" s="4464">
        <f>IF(SUM(G11,G20,G28,G37,G46,G55)=0,"NO",SUM(G11,G20,G28,G37,G46,G55))</f>
        <v>1.6673063393167664</v>
      </c>
      <c r="H10" s="4465">
        <f>IF(SUM(H11,H20,H28,H37,H46,H55)=0,"NO",SUM(H11,H20,H28,H37,H46,H55))</f>
        <v>0.65212816890407388</v>
      </c>
      <c r="I10" s="4466">
        <f t="shared" ref="I10:I11" si="2">IF(SUM(G10:H10)=0,"NO",SUM(G10:H10))</f>
        <v>2.3194345082208403</v>
      </c>
    </row>
    <row r="11" spans="2:10" ht="18" customHeight="1" x14ac:dyDescent="0.2">
      <c r="B11" s="2863" t="s">
        <v>1605</v>
      </c>
      <c r="C11" s="3578">
        <f>IF(SUM(C12:C13)=0,"NO",SUM(C12:C13))</f>
        <v>138571.97699979474</v>
      </c>
      <c r="D11" s="3579">
        <f>IF(SUM(D12:D13)=0,"NO",SUM(D12:D13))</f>
        <v>18890.39314700972</v>
      </c>
      <c r="E11" s="3594">
        <f t="shared" si="0"/>
        <v>2.5766550909718479E-3</v>
      </c>
      <c r="F11" s="3595">
        <f t="shared" si="1"/>
        <v>7.4999999999999997E-3</v>
      </c>
      <c r="G11" s="4467">
        <f>IF(SUM(G12:G13)=0,"NO",SUM(G12:G13))</f>
        <v>0.56108201286115778</v>
      </c>
      <c r="H11" s="4468">
        <f>IF(SUM(H12:H13)=0,"NO",SUM(H12:H13))</f>
        <v>0.22263677637547169</v>
      </c>
      <c r="I11" s="4469">
        <f t="shared" si="2"/>
        <v>0.78371878923662952</v>
      </c>
    </row>
    <row r="12" spans="2:10" ht="18" customHeight="1" x14ac:dyDescent="0.2">
      <c r="B12" s="917" t="s">
        <v>1606</v>
      </c>
      <c r="C12" s="3580">
        <f>Table4.A!E11</f>
        <v>135351.25949558301</v>
      </c>
      <c r="D12" s="3581">
        <f>H12/F12*1000/(44/28)</f>
        <v>8633.3048238464653</v>
      </c>
      <c r="E12" s="3596">
        <f t="shared" si="0"/>
        <v>1.2405703114230365E-3</v>
      </c>
      <c r="F12" s="3597">
        <v>7.4999999999999997E-3</v>
      </c>
      <c r="G12" s="4470">
        <v>0.26386289936904173</v>
      </c>
      <c r="H12" s="4471">
        <v>0.10174966399533335</v>
      </c>
      <c r="I12" s="4472">
        <f>IF(SUM(G12:H12)=0,"NO",SUM(G12:H12))</f>
        <v>0.36561256336437509</v>
      </c>
    </row>
    <row r="13" spans="2:10" ht="18" customHeight="1" x14ac:dyDescent="0.2">
      <c r="B13" s="917" t="s">
        <v>1607</v>
      </c>
      <c r="C13" s="3582">
        <f>IF(SUM(C15:C19)=0,"NO",SUM(C15:C19))</f>
        <v>3220.7175042117206</v>
      </c>
      <c r="D13" s="3583">
        <f>IF(SUM(D15:D19)=0,"NO",SUM(D15:D19))</f>
        <v>10257.088323163254</v>
      </c>
      <c r="E13" s="3599">
        <f>IF(SUM(C13)=0,"NA",G13/C13*1000/(44/28))</f>
        <v>5.8725869503078856E-2</v>
      </c>
      <c r="F13" s="3598">
        <f>IF(SUM(D13)=0,"NA",H13/D13*1000/(44/28))</f>
        <v>7.4999999999999997E-3</v>
      </c>
      <c r="G13" s="4473">
        <f>IF(SUM(G15:G19)=0,"NO",SUM(G15:G19))</f>
        <v>0.29721911349211605</v>
      </c>
      <c r="H13" s="4474">
        <f>IF(SUM(H15:H19)=0,"NO",SUM(H15:H19))</f>
        <v>0.12088711238013834</v>
      </c>
      <c r="I13" s="4472">
        <f>IF(SUM(G13:H13)=0,"NO",SUM(G13:H13))</f>
        <v>0.41810622587225438</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34.285865321788727</v>
      </c>
      <c r="D15" s="3581">
        <f>H15/F15*1000/(44/28)</f>
        <v>89.47413616080604</v>
      </c>
      <c r="E15" s="3599">
        <f>IF(SUM(C15)=0,"NA",G15/C15*1000/(44/28))</f>
        <v>6.6862941237917944E-2</v>
      </c>
      <c r="F15" s="3597">
        <v>7.4999999999999997E-3</v>
      </c>
      <c r="G15" s="4477">
        <v>3.6024273973316017E-3</v>
      </c>
      <c r="H15" s="4478">
        <v>1.0545166047523568E-3</v>
      </c>
      <c r="I15" s="4472">
        <f>IF(SUM(G15:H15)=0,"NO",SUM(G15:H15))</f>
        <v>4.6569440020839585E-3</v>
      </c>
    </row>
    <row r="16" spans="2:10" ht="18" customHeight="1" x14ac:dyDescent="0.2">
      <c r="B16" s="518" t="s">
        <v>1609</v>
      </c>
      <c r="C16" s="3584">
        <f>Table4.A!E19</f>
        <v>3172.7079312553137</v>
      </c>
      <c r="D16" s="3581">
        <f>H16/F16*1000/(44/28)</f>
        <v>10084.690322081206</v>
      </c>
      <c r="E16" s="3599">
        <f t="shared" ref="E16:E21" si="3">IF(SUM(C16)=0,"NA",G16/C16*1000/(44/28))</f>
        <v>5.8269271036462018E-2</v>
      </c>
      <c r="F16" s="3597">
        <v>7.4999999999999997E-3</v>
      </c>
      <c r="G16" s="4477">
        <v>0.29051216600347629</v>
      </c>
      <c r="H16" s="4478">
        <v>0.11885527879595706</v>
      </c>
      <c r="I16" s="4472">
        <f t="shared" ref="I16:I21" si="4">IF(SUM(G16:H16)=0,"NO",SUM(G16:H16))</f>
        <v>0.40936744479943332</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13.723707634618105</v>
      </c>
      <c r="D18" s="3581">
        <f>H18/F18*1000/(44/28)</f>
        <v>82.923864921242597</v>
      </c>
      <c r="E18" s="3599">
        <f t="shared" si="3"/>
        <v>0.14395553643866363</v>
      </c>
      <c r="F18" s="3597">
        <v>7.4999999999999997E-3</v>
      </c>
      <c r="G18" s="4477">
        <v>3.1045200913081658E-3</v>
      </c>
      <c r="H18" s="4478">
        <v>9.7731697942893075E-4</v>
      </c>
      <c r="I18" s="4472">
        <f t="shared" si="4"/>
        <v>4.0818370707370964E-3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1914.0498526950444</v>
      </c>
      <c r="D20" s="3589">
        <f>D21</f>
        <v>2203.5589495607801</v>
      </c>
      <c r="E20" s="3602">
        <f t="shared" si="3"/>
        <v>2.4555064410225324E-2</v>
      </c>
      <c r="F20" s="3603">
        <f t="shared" si="5"/>
        <v>7.4999999999999997E-3</v>
      </c>
      <c r="G20" s="4482">
        <f>G21</f>
        <v>7.3856541655771463E-2</v>
      </c>
      <c r="H20" s="4483">
        <f>H21</f>
        <v>2.5970516191252048E-2</v>
      </c>
      <c r="I20" s="4484">
        <f t="shared" si="4"/>
        <v>9.9827057847023504E-2</v>
      </c>
    </row>
    <row r="21" spans="2:9" ht="18" customHeight="1" x14ac:dyDescent="0.2">
      <c r="B21" s="917" t="s">
        <v>1614</v>
      </c>
      <c r="C21" s="3582">
        <f>IF(SUM(C23:C27)=0,"NO",SUM(C23:C27))</f>
        <v>1914.0498526950444</v>
      </c>
      <c r="D21" s="3583">
        <f>IF(SUM(D23:D27)=0,"NO",SUM(D23:D27))</f>
        <v>2203.5589495607801</v>
      </c>
      <c r="E21" s="3599">
        <f t="shared" si="3"/>
        <v>2.4555064410225324E-2</v>
      </c>
      <c r="F21" s="3598">
        <f t="shared" si="5"/>
        <v>7.4999999999999997E-3</v>
      </c>
      <c r="G21" s="4473">
        <f>IF(SUM(G23:G27)=0,"NO",SUM(G23:G27))</f>
        <v>7.3856541655771463E-2</v>
      </c>
      <c r="H21" s="4474">
        <f>IF(SUM(H23:H27)=0,"NO",SUM(H23:H27))</f>
        <v>2.5970516191252048E-2</v>
      </c>
      <c r="I21" s="4472">
        <f t="shared" si="4"/>
        <v>9.9827057847023504E-2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1914.0498526950444</v>
      </c>
      <c r="D23" s="3581">
        <f>H23/F23*1000/(44/28)</f>
        <v>2203.5589495607801</v>
      </c>
      <c r="E23" s="3599">
        <f>IF(SUM(C23)=0,"NA",G23/C23*1000/(44/28))</f>
        <v>2.4555064410225324E-2</v>
      </c>
      <c r="F23" s="3597">
        <v>7.4999999999999997E-3</v>
      </c>
      <c r="G23" s="4477">
        <v>7.3856541655771463E-2</v>
      </c>
      <c r="H23" s="4478">
        <v>2.5970516191252048E-2</v>
      </c>
      <c r="I23" s="4472">
        <f>IF(SUM(G23:H23)=0,"NO",SUM(G23:H23))</f>
        <v>9.9827057847023504E-2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515325.5163837141</v>
      </c>
      <c r="D28" s="3579">
        <f>IF(SUM(D29:D30)=0,"NO",SUM(D29:D30))</f>
        <v>33965.429449208867</v>
      </c>
      <c r="E28" s="3594">
        <f t="shared" si="6"/>
        <v>1.2600897466597694E-3</v>
      </c>
      <c r="F28" s="3595">
        <f t="shared" si="7"/>
        <v>7.4999999999999997E-3</v>
      </c>
      <c r="G28" s="4467">
        <f>IF(SUM(G29:G30)=0,"NO",SUM(G29:G30))</f>
        <v>1.0204171990371373</v>
      </c>
      <c r="H28" s="4468">
        <f>IF(SUM(H29:H30)=0,"NO",SUM(H29:H30))</f>
        <v>0.40030684707996161</v>
      </c>
      <c r="I28" s="4484">
        <f t="shared" si="8"/>
        <v>1.4207240461170989</v>
      </c>
    </row>
    <row r="29" spans="2:9" ht="18" customHeight="1" x14ac:dyDescent="0.2">
      <c r="B29" s="917" t="s">
        <v>1621</v>
      </c>
      <c r="C29" s="3580">
        <f>Table4.C!E11</f>
        <v>508437.96212518</v>
      </c>
      <c r="D29" s="3581">
        <f>H29/F29*1000/(44/28)</f>
        <v>30519.304245252646</v>
      </c>
      <c r="E29" s="3596">
        <f t="shared" si="6"/>
        <v>9.7765390379352265E-4</v>
      </c>
      <c r="F29" s="3597">
        <v>7.4999999999999997E-3</v>
      </c>
      <c r="G29" s="4470">
        <v>0.78111999194193715</v>
      </c>
      <c r="H29" s="4471">
        <v>0.35969180003333473</v>
      </c>
      <c r="I29" s="4472">
        <f t="shared" si="8"/>
        <v>1.1408117919752718</v>
      </c>
    </row>
    <row r="30" spans="2:9" ht="18" customHeight="1" x14ac:dyDescent="0.2">
      <c r="B30" s="917" t="s">
        <v>1622</v>
      </c>
      <c r="C30" s="3582">
        <f>IF(SUM(C32:C36)=0,"NO",SUM(C32:C36))</f>
        <v>6887.5542585340991</v>
      </c>
      <c r="D30" s="3583">
        <f>IF(SUM(D32:D36)=0,"NO",SUM(D32:D36))</f>
        <v>3446.1252039562214</v>
      </c>
      <c r="E30" s="3599">
        <f>IF(SUM(C30)=0,"NA",G30/C30*1000/(44/28))</f>
        <v>2.2109450635554636E-2</v>
      </c>
      <c r="F30" s="3598">
        <f>IF(SUM(D30)=0,"NA",H30/D30*1000/(44/28))</f>
        <v>7.5000000000000006E-3</v>
      </c>
      <c r="G30" s="4473">
        <f>IF(SUM(G32:G36)=0,"NO",SUM(G32:G36))</f>
        <v>0.23929720709520019</v>
      </c>
      <c r="H30" s="4474">
        <f>IF(SUM(H32:H36)=0,"NO",SUM(H32:H36))</f>
        <v>4.0615047046626898E-2</v>
      </c>
      <c r="I30" s="4472">
        <f t="shared" si="8"/>
        <v>0.27991225414182708</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6887.5542585340991</v>
      </c>
      <c r="D32" s="3581">
        <f>H32/F32*1000/(44/28)</f>
        <v>3446.1252039562214</v>
      </c>
      <c r="E32" s="3599">
        <f>IF(SUM(C32)=0,"NA",G32/C32*1000/(44/28))</f>
        <v>2.2109450635554636E-2</v>
      </c>
      <c r="F32" s="3597">
        <v>7.4999999999999997E-3</v>
      </c>
      <c r="G32" s="4477">
        <v>0.23929720709520019</v>
      </c>
      <c r="H32" s="4478">
        <v>4.0615047046626898E-2</v>
      </c>
      <c r="I32" s="4472">
        <f t="shared" si="8"/>
        <v>0.27991225414182708</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1116.1247867816173</v>
      </c>
      <c r="D46" s="3579">
        <f>IF(SUM(D47:D48)=0,"NO",SUM(D47:D48))</f>
        <v>272.7055127481197</v>
      </c>
      <c r="E46" s="3594">
        <f t="shared" si="11"/>
        <v>6.8136809635382881E-3</v>
      </c>
      <c r="F46" s="3595">
        <f t="shared" si="12"/>
        <v>7.4999999999999997E-3</v>
      </c>
      <c r="G46" s="4467">
        <f>IF(SUM(G47:G48)=0,"NO",SUM(G47:G48))</f>
        <v>1.1950585762699787E-2</v>
      </c>
      <c r="H46" s="4468">
        <f>IF(SUM(H47:H48)=0,"NO",SUM(H47:H48))</f>
        <v>3.2140292573885534E-3</v>
      </c>
      <c r="I46" s="4469">
        <f t="shared" si="8"/>
        <v>1.516461502008834E-2</v>
      </c>
    </row>
    <row r="47" spans="2:9" ht="18" customHeight="1" x14ac:dyDescent="0.2">
      <c r="B47" s="917" t="s">
        <v>1637</v>
      </c>
      <c r="C47" s="3580">
        <f>Table4.E!E11</f>
        <v>966.32117157799996</v>
      </c>
      <c r="D47" s="3581">
        <f>H47/F47*1000/(44/28)</f>
        <v>7.1090663110613015</v>
      </c>
      <c r="E47" s="3596">
        <f t="shared" si="11"/>
        <v>1.1148130116710621E-4</v>
      </c>
      <c r="F47" s="3597">
        <v>7.4999999999999997E-3</v>
      </c>
      <c r="G47" s="4470">
        <v>1.6928487958303102E-4</v>
      </c>
      <c r="H47" s="4471">
        <v>8.3785424380365334E-5</v>
      </c>
      <c r="I47" s="4472">
        <f t="shared" si="8"/>
        <v>2.5307030396339632E-4</v>
      </c>
    </row>
    <row r="48" spans="2:9" ht="18" customHeight="1" x14ac:dyDescent="0.2">
      <c r="B48" s="917" t="s">
        <v>1638</v>
      </c>
      <c r="C48" s="3582">
        <f>IF(SUM(C50:C54)=0,"NO",SUM(C50:C54))</f>
        <v>149.80361520361748</v>
      </c>
      <c r="D48" s="3583">
        <f>IF(SUM(D50:D54)=0,"NO",SUM(D50:D54))</f>
        <v>265.59644643705838</v>
      </c>
      <c r="E48" s="3599">
        <f>IF(SUM(C48)=0,"NA",G48/C48*1000/(44/28))</f>
        <v>5.0046799343820211E-2</v>
      </c>
      <c r="F48" s="3598">
        <f>IF(SUM(D48)=0,"NA",H48/D48*1000/(44/28))</f>
        <v>7.4999999999999997E-3</v>
      </c>
      <c r="G48" s="4473">
        <f>IF(SUM(G50:G54)=0,"NO",SUM(G50:G54))</f>
        <v>1.1781300883116755E-2</v>
      </c>
      <c r="H48" s="4474">
        <f>IF(SUM(H50:H54)=0,"NO",SUM(H50:H54))</f>
        <v>3.130243833008188E-3</v>
      </c>
      <c r="I48" s="4472">
        <f t="shared" si="8"/>
        <v>1.4911544716124943E-2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149.80361520361748</v>
      </c>
      <c r="D50" s="3581">
        <f>H50/F50*1000/(44/28)</f>
        <v>265.59644643705838</v>
      </c>
      <c r="E50" s="3599">
        <f>IF(SUM(C50)=0,"NA",G50/C50*1000/(44/28))</f>
        <v>5.0046799343820211E-2</v>
      </c>
      <c r="F50" s="3597">
        <v>7.4999999999999997E-3</v>
      </c>
      <c r="G50" s="4477">
        <v>1.1781300883116755E-2</v>
      </c>
      <c r="H50" s="4478">
        <v>3.130243833008188E-3</v>
      </c>
      <c r="I50" s="4472">
        <f t="shared" si="8"/>
        <v>1.4911544716124943E-2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4"/>
      <c r="C83" s="4495"/>
      <c r="D83" s="4495"/>
      <c r="E83" s="4495"/>
      <c r="F83" s="4495"/>
      <c r="G83" s="4495"/>
      <c r="H83" s="4495"/>
      <c r="I83" s="4496"/>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2459</v>
      </c>
    </row>
    <row r="2" spans="2:11" ht="16.350000000000001" customHeight="1" x14ac:dyDescent="0.25">
      <c r="B2" s="1019" t="s">
        <v>229</v>
      </c>
      <c r="J2" s="2208"/>
      <c r="K2" s="14" t="s">
        <v>2460</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3545107.7169857509</v>
      </c>
      <c r="D10" s="3055" t="s">
        <v>97</v>
      </c>
      <c r="E10" s="615"/>
      <c r="F10" s="615"/>
      <c r="G10" s="615"/>
      <c r="H10" s="1938">
        <f>IF(SUM(H11:H15)=0,"NO",SUM(H11:H15))</f>
        <v>251679.28872254482</v>
      </c>
      <c r="I10" s="1938">
        <f t="shared" ref="I10:K10" si="0">IF(SUM(I11:I16)=0,"NO",SUM(I11:I16))</f>
        <v>131.64849530369338</v>
      </c>
      <c r="J10" s="1938">
        <f t="shared" si="0"/>
        <v>6.4471737052587219</v>
      </c>
      <c r="K10" s="3064" t="str">
        <f t="shared" si="0"/>
        <v>NO</v>
      </c>
    </row>
    <row r="11" spans="2:11" ht="18" customHeight="1" x14ac:dyDescent="0.2">
      <c r="B11" s="282" t="s">
        <v>243</v>
      </c>
      <c r="C11" s="3065">
        <f>IF(SUM(C18,'Table1.A(a)s2'!C11,'Table1.A(a)s3'!C11,'Table1.A(a)s4'!C11,'Table1.A(a)s4'!C94)=0,"NO",SUM(C18,'Table1.A(a)s2'!C11,'Table1.A(a)s3'!C11,'Table1.A(a)s4'!C11,'Table1.A(a)s4'!C94))</f>
        <v>1268215.8120415129</v>
      </c>
      <c r="D11" s="3056" t="s">
        <v>244</v>
      </c>
      <c r="E11" s="1938">
        <f>IFERROR(H11*1000/$C11,"NA")</f>
        <v>68.077274848414405</v>
      </c>
      <c r="F11" s="1938">
        <f t="shared" ref="F11:G16" si="1">IFERROR(I11*1000000/$C11,"NA")</f>
        <v>22.166985695447774</v>
      </c>
      <c r="G11" s="1938">
        <f t="shared" si="1"/>
        <v>2.9670677446964397</v>
      </c>
      <c r="H11" s="1938">
        <f>IF(SUM(H18,'Table1.A(a)s2'!H11,'Table1.A(a)s3'!H11,'Table1.A(a)s4'!H11,'Table1.A(a)s4'!H94)=0,"NO",SUM(H18,'Table1.A(a)s2'!H11,'Table1.A(a)s3'!H11,'Table1.A(a)s4'!H11,'Table1.A(a)s4'!H94))</f>
        <v>86336.676403455145</v>
      </c>
      <c r="I11" s="1938">
        <f>IF(SUM(I18,'Table1.A(a)s2'!I11,'Table1.A(a)s3'!I11,'Table1.A(a)s4'!I11,'Table1.A(a)s4'!I94)=0,"NO",SUM(I18,'Table1.A(a)s2'!I11,'Table1.A(a)s3'!I11,'Table1.A(a)s4'!I11,'Table1.A(a)s4'!I94))</f>
        <v>28.112521764264901</v>
      </c>
      <c r="J11" s="1938">
        <f>IF(SUM(J18,'Table1.A(a)s2'!J11,'Table1.A(a)s3'!J11,'Table1.A(a)s4'!J11,'Table1.A(a)s4'!J94)=0,"NO",SUM(J18,'Table1.A(a)s2'!J11,'Table1.A(a)s3'!J11,'Table1.A(a)s4'!J11,'Table1.A(a)s4'!J94))</f>
        <v>3.7628822292223756</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1446379.8742920554</v>
      </c>
      <c r="D12" s="3056" t="s">
        <v>97</v>
      </c>
      <c r="E12" s="1938">
        <f t="shared" ref="E12:E16" si="2">IFERROR(H12*1000/$C12,"NA")</f>
        <v>91.042002692120263</v>
      </c>
      <c r="F12" s="1938">
        <f t="shared" si="1"/>
        <v>0.69456913482852711</v>
      </c>
      <c r="G12" s="1938">
        <f t="shared" si="1"/>
        <v>0.96347385046205591</v>
      </c>
      <c r="H12" s="1938">
        <f>IF(SUM(H19,'Table1.A(a)s2'!H12,'Table1.A(a)s3'!H12,'Table1.A(a)s4'!H12,'Table1.A(a)s4'!H95)=0,"NO",SUM(H19,'Table1.A(a)s2'!H12,'Table1.A(a)s3'!H12,'Table1.A(a)s4'!H12,'Table1.A(a)s4'!H95))</f>
        <v>131681.32040912588</v>
      </c>
      <c r="I12" s="1938">
        <f>IF(SUM(I19,'Table1.A(a)s2'!I12,'Table1.A(a)s3'!I12,'Table1.A(a)s4'!I12,'Table1.A(a)s4'!I95)=0,"NO",SUM(I19,'Table1.A(a)s2'!I12,'Table1.A(a)s3'!I12,'Table1.A(a)s4'!I12,'Table1.A(a)s4'!I95))</f>
        <v>1.0046108179204267</v>
      </c>
      <c r="J12" s="1938">
        <f>IF(SUM(J19,'Table1.A(a)s2'!J12,'Table1.A(a)s3'!J12,'Table1.A(a)s4'!J12,'Table1.A(a)s4'!J95)=0,"NO",SUM(J19,'Table1.A(a)s2'!J12,'Table1.A(a)s3'!J12,'Table1.A(a)s4'!J12,'Table1.A(a)s4'!J95))</f>
        <v>1.393549186714991</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648165.03492082283</v>
      </c>
      <c r="D13" s="3056" t="s">
        <v>244</v>
      </c>
      <c r="E13" s="1938">
        <f t="shared" si="2"/>
        <v>51.44754892545015</v>
      </c>
      <c r="F13" s="1938">
        <f t="shared" si="1"/>
        <v>8.2305380031314748</v>
      </c>
      <c r="G13" s="1938">
        <f t="shared" si="1"/>
        <v>0.74034308096557699</v>
      </c>
      <c r="H13" s="1938">
        <f>IF(SUM(H20,'Table1.A(a)s2'!H13,'Table1.A(a)s3'!H13,'Table1.A(a)s4'!H13,'Table1.A(a)s4'!H96)=0,"NO",SUM(H20,'Table1.A(a)s2'!H13,'Table1.A(a)s3'!H13,'Table1.A(a)s4'!H13,'Table1.A(a)s4'!H96))</f>
        <v>33346.502345855137</v>
      </c>
      <c r="I13" s="1938">
        <f>IF(SUM(I20,'Table1.A(a)s2'!I13,'Table1.A(a)s3'!I13,'Table1.A(a)s4'!I13,'Table1.A(a)s4'!I96)=0,"NO",SUM(I20,'Table1.A(a)s2'!I13,'Table1.A(a)s3'!I13,'Table1.A(a)s4'!I13,'Table1.A(a)s4'!I96))</f>
        <v>5.3347469522168716</v>
      </c>
      <c r="J13" s="1938">
        <f>IF(SUM(J20,'Table1.A(a)s2'!J13,'Table1.A(a)s3'!J13,'Table1.A(a)s4'!J13,'Table1.A(a)s4'!J96)=0,"NO",SUM(J20,'Table1.A(a)s2'!J13,'Table1.A(a)s3'!J13,'Table1.A(a)s4'!J13,'Table1.A(a)s4'!J96))</f>
        <v>0.47986449892744276</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3501.6857313595483</v>
      </c>
      <c r="D14" s="3056" t="s">
        <v>244</v>
      </c>
      <c r="E14" s="1938">
        <f t="shared" si="2"/>
        <v>89.896577893766661</v>
      </c>
      <c r="F14" s="1938">
        <f t="shared" si="1"/>
        <v>31.801825904223531</v>
      </c>
      <c r="G14" s="1938">
        <f t="shared" si="1"/>
        <v>0.99380705950698534</v>
      </c>
      <c r="H14" s="1938">
        <f>IF(SUM(H21,'Table1.A(a)s2'!H14,'Table1.A(a)s3'!H14,'Table1.A(a)s4'!H14,'Table1.A(a)s4'!H97)=0,"NO",SUM(H21,'Table1.A(a)s2'!H14,'Table1.A(a)s3'!H14,'Table1.A(a)s4'!H14,'Table1.A(a)s4'!H97))</f>
        <v>314.78956410865493</v>
      </c>
      <c r="I14" s="1938">
        <f>IF(SUM(I21,'Table1.A(a)s2'!I14,'Table1.A(a)s3'!I14,'Table1.A(a)s4'!I14,'Table1.A(a)s4'!I97)=0,"NO",SUM(I21,'Table1.A(a)s2'!I14,'Table1.A(a)s3'!I14,'Table1.A(a)s4'!I14,'Table1.A(a)s4'!I97))</f>
        <v>0.11136</v>
      </c>
      <c r="J14" s="1938">
        <f>IF(SUM(J21,'Table1.A(a)s2'!J14,'Table1.A(a)s3'!J14,'Table1.A(a)s4'!J14,'Table1.A(a)s4'!J97)=0,"NO",SUM(J21,'Table1.A(a)s2'!J14,'Table1.A(a)s3'!J14,'Table1.A(a)s4'!J14,'Table1.A(a)s4'!J97))</f>
        <v>3.48E-3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178845.31</v>
      </c>
      <c r="D16" s="3058" t="s">
        <v>244</v>
      </c>
      <c r="E16" s="2891">
        <f t="shared" si="2"/>
        <v>84.666828165636545</v>
      </c>
      <c r="F16" s="1938">
        <f t="shared" si="1"/>
        <v>542.84485161669147</v>
      </c>
      <c r="G16" s="1938">
        <f t="shared" si="1"/>
        <v>4.5145035695591531</v>
      </c>
      <c r="H16" s="2891">
        <f>IF(SUM(H23,'Table1.A(a)s2'!H16,'Table1.A(a)s3'!H15,'Table1.A(a)s4'!H16,'Table1.A(a)s4'!H99)=0,"NO",SUM(H23,'Table1.A(a)s2'!H16,'Table1.A(a)s3'!H15,'Table1.A(a)s4'!H16,'Table1.A(a)s4'!H99))</f>
        <v>15142.26513</v>
      </c>
      <c r="I16" s="2891">
        <f>IF(SUM(I23,'Table1.A(a)s2'!I16,'Table1.A(a)s3'!I15,'Table1.A(a)s4'!I16,'Table1.A(a)s4'!I99)=0,"NO",SUM(I23,'Table1.A(a)s2'!I16,'Table1.A(a)s3'!I15,'Table1.A(a)s4'!I16,'Table1.A(a)s4'!I99))</f>
        <v>97.085255769291194</v>
      </c>
      <c r="J16" s="2891">
        <f>IF(SUM(J23,'Table1.A(a)s2'!J16,'Table1.A(a)s3'!J15,'Table1.A(a)s4'!J16,'Table1.A(a)s4'!J99)=0,"NO",SUM(J23,'Table1.A(a)s2'!J16,'Table1.A(a)s3'!J15,'Table1.A(a)s4'!J16,'Table1.A(a)s4'!J99))</f>
        <v>0.80739779039391324</v>
      </c>
      <c r="K16" s="3045" t="str">
        <f>IF(SUM(K23,'Table1.A(a)s2'!K16,'Table1.A(a)s3'!K15,'Table1.A(a)s4'!K16,'Table1.A(a)s4'!K99)=0,"NO",SUM(K23,'Table1.A(a)s2'!K16,'Table1.A(a)s3'!K15,'Table1.A(a)s4'!K16,'Table1.A(a)s4'!K99))</f>
        <v>NO</v>
      </c>
    </row>
    <row r="17" spans="2:12" ht="18" customHeight="1" x14ac:dyDescent="0.2">
      <c r="B17" s="2209" t="s">
        <v>175</v>
      </c>
      <c r="C17" s="3046">
        <f>IF(SUM(C18:C23)=0,"NO",SUM(C18:C23))</f>
        <v>1704543.562113205</v>
      </c>
      <c r="D17" s="3059" t="s">
        <v>97</v>
      </c>
      <c r="E17" s="3060"/>
      <c r="F17" s="3060"/>
      <c r="G17" s="3060"/>
      <c r="H17" s="3046">
        <f>IF(SUM(H18:H22)=0,"NO",SUM(H18:H22))</f>
        <v>142550.6880303224</v>
      </c>
      <c r="I17" s="3046">
        <f t="shared" ref="I17" si="3">IF(SUM(I18:I23)=0,"NO",SUM(I18:I23))</f>
        <v>6.1186320590812233</v>
      </c>
      <c r="J17" s="3046">
        <f t="shared" ref="J17" si="4">IF(SUM(J18:J23)=0,"NO",SUM(J18:J23))</f>
        <v>1.7009294785985118</v>
      </c>
      <c r="K17" s="3047" t="str">
        <f t="shared" ref="K17" si="5">IF(SUM(K18:K23)=0,"NO",SUM(K18:K23))</f>
        <v>NO</v>
      </c>
    </row>
    <row r="18" spans="2:12" ht="18" customHeight="1" x14ac:dyDescent="0.2">
      <c r="B18" s="282" t="s">
        <v>243</v>
      </c>
      <c r="C18" s="3065">
        <f>IF(SUM(C25,C54,C61)=0,"NO",SUM(C25,C54,C61))</f>
        <v>129740.73718559992</v>
      </c>
      <c r="D18" s="3056" t="s">
        <v>97</v>
      </c>
      <c r="E18" s="1938">
        <f>IFERROR(H18*1000/$C18,"NA")</f>
        <v>67.873377444010359</v>
      </c>
      <c r="F18" s="1938">
        <f t="shared" ref="F18:G23" si="6">IFERROR(I18*1000000/$C18,"NA")</f>
        <v>1.5868452458342803</v>
      </c>
      <c r="G18" s="1938">
        <f t="shared" si="6"/>
        <v>0.76872819293057171</v>
      </c>
      <c r="H18" s="3065">
        <f>IF(SUM(H25,H54,H61)=0,"NO",SUM(H25,H54,H61))</f>
        <v>8805.9420248623737</v>
      </c>
      <c r="I18" s="3065">
        <f>IF(SUM(I25,I54,I61)=0,"NO",SUM(I25,I54,I61))</f>
        <v>0.20587847199400405</v>
      </c>
      <c r="J18" s="3065">
        <f>IF(SUM(J25,J54,J61)=0,"NO",SUM(J25,J54,J61))</f>
        <v>9.9735362446166459E-2</v>
      </c>
      <c r="K18" s="3048" t="str">
        <f>IF(SUM(K25,K54,K61)=0,"NO",SUM(K25,K54,K61))</f>
        <v>NO</v>
      </c>
      <c r="L18" s="19"/>
    </row>
    <row r="19" spans="2:12" ht="18" customHeight="1" x14ac:dyDescent="0.2">
      <c r="B19" s="282" t="s">
        <v>245</v>
      </c>
      <c r="C19" s="3065">
        <f t="shared" ref="C19:C23" si="7">IF(SUM(C26,C55,C62)=0,"NO",SUM(C26,C55,C62))</f>
        <v>1301964.8222455438</v>
      </c>
      <c r="D19" s="3056" t="s">
        <v>97</v>
      </c>
      <c r="E19" s="1938">
        <f t="shared" ref="E19:E23" si="8">IFERROR(H19*1000/$C19,"NA")</f>
        <v>92.403562170379033</v>
      </c>
      <c r="F19" s="1938">
        <f t="shared" si="6"/>
        <v>0.66721969379610668</v>
      </c>
      <c r="G19" s="1938">
        <f t="shared" si="6"/>
        <v>0.99483617570969363</v>
      </c>
      <c r="H19" s="3065">
        <f t="shared" ref="H19:K23" si="9">IF(SUM(H26,H55,H62)=0,"NO",SUM(H26,H55,H62))</f>
        <v>120306.1873960126</v>
      </c>
      <c r="I19" s="3065">
        <f t="shared" si="9"/>
        <v>0.8686965700319742</v>
      </c>
      <c r="J19" s="3065">
        <f t="shared" si="9"/>
        <v>1.2952417046713078</v>
      </c>
      <c r="K19" s="3048" t="str">
        <f t="shared" si="9"/>
        <v>NO</v>
      </c>
      <c r="L19" s="19"/>
    </row>
    <row r="20" spans="2:12" ht="18" customHeight="1" x14ac:dyDescent="0.2">
      <c r="B20" s="282" t="s">
        <v>246</v>
      </c>
      <c r="C20" s="3065">
        <f t="shared" si="7"/>
        <v>261487.73290094346</v>
      </c>
      <c r="D20" s="3056" t="s">
        <v>97</v>
      </c>
      <c r="E20" s="1938">
        <f t="shared" si="8"/>
        <v>51.392692346826919</v>
      </c>
      <c r="F20" s="1938">
        <f t="shared" si="6"/>
        <v>18.835107001894599</v>
      </c>
      <c r="G20" s="1938">
        <f t="shared" si="6"/>
        <v>0.88066825819634476</v>
      </c>
      <c r="H20" s="3065">
        <f t="shared" si="9"/>
        <v>13438.558609447438</v>
      </c>
      <c r="I20" s="3065">
        <f t="shared" si="9"/>
        <v>4.9251494288721052</v>
      </c>
      <c r="J20" s="3065">
        <f t="shared" si="9"/>
        <v>0.23028394627358489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11350.269781117899</v>
      </c>
      <c r="D23" s="3056" t="s">
        <v>97</v>
      </c>
      <c r="E23" s="1938">
        <f t="shared" si="8"/>
        <v>95</v>
      </c>
      <c r="F23" s="1938">
        <f t="shared" si="6"/>
        <v>10.47619047619048</v>
      </c>
      <c r="G23" s="1938">
        <f t="shared" si="6"/>
        <v>6.6666666666666652</v>
      </c>
      <c r="H23" s="3065">
        <f t="shared" si="9"/>
        <v>1078.2756292062004</v>
      </c>
      <c r="I23" s="3065">
        <f t="shared" si="9"/>
        <v>0.11890758818313993</v>
      </c>
      <c r="J23" s="3065">
        <f t="shared" si="9"/>
        <v>7.5668465207452643E-2</v>
      </c>
      <c r="K23" s="3048" t="str">
        <f t="shared" si="9"/>
        <v>NO</v>
      </c>
      <c r="L23" s="19"/>
    </row>
    <row r="24" spans="2:12" ht="18" customHeight="1" x14ac:dyDescent="0.2">
      <c r="B24" s="1236" t="s">
        <v>250</v>
      </c>
      <c r="C24" s="3065">
        <f>IF(SUM(C25:C30)=0,"NO",SUM(C25:C30))</f>
        <v>1486048.2069667177</v>
      </c>
      <c r="D24" s="3056" t="s">
        <v>97</v>
      </c>
      <c r="E24" s="615"/>
      <c r="F24" s="615"/>
      <c r="G24" s="615"/>
      <c r="H24" s="3065">
        <f>IF(SUM(H25:H29)=0,"NO",SUM(H25:H29))</f>
        <v>129096.60814965157</v>
      </c>
      <c r="I24" s="3065">
        <f t="shared" ref="I24" si="10">IF(SUM(I25:I30)=0,"NO",SUM(I25:I30))</f>
        <v>1.3567494030445448</v>
      </c>
      <c r="J24" s="3065">
        <f t="shared" ref="J24" si="11">IF(SUM(J25:J30)=0,"NO",SUM(J25:J30))</f>
        <v>1.508934034451336</v>
      </c>
      <c r="K24" s="3048" t="str">
        <f t="shared" ref="K24" si="12">IF(SUM(K25:K30)=0,"NO",SUM(K25:K30))</f>
        <v>NO</v>
      </c>
      <c r="L24" s="19"/>
    </row>
    <row r="25" spans="2:12" ht="18" customHeight="1" x14ac:dyDescent="0.2">
      <c r="B25" s="160" t="s">
        <v>243</v>
      </c>
      <c r="C25" s="3053">
        <f>IF(SUM(C33,C40,C47)=0,"NO",SUM(C33,C40,C47))</f>
        <v>39927.9371856</v>
      </c>
      <c r="D25" s="3061" t="s">
        <v>97</v>
      </c>
      <c r="E25" s="3065">
        <f>IFERROR(H25*1000/$C25,"NA")</f>
        <v>72.81300912411993</v>
      </c>
      <c r="F25" s="1938">
        <f t="shared" ref="F25:G30" si="13">IFERROR(I25*1000000/$C25,"NA")</f>
        <v>2.7173824850230077</v>
      </c>
      <c r="G25" s="1938">
        <f t="shared" si="13"/>
        <v>0.34682296456173084</v>
      </c>
      <c r="H25" s="3065">
        <f>IF(SUM(H33,H40,H47)=0,"NO",SUM(H33,H40,H47))</f>
        <v>2907.2732546023799</v>
      </c>
      <c r="I25" s="3065">
        <f>IF(SUM(I33,I40,I47)=0,"NO",SUM(I33,I40,I47))</f>
        <v>0.10849947717124829</v>
      </c>
      <c r="J25" s="3065">
        <f>IF(SUM(J33,J40,J47)=0,"NO",SUM(J33,J40,J47))</f>
        <v>1.3847925543544365E-2</v>
      </c>
      <c r="K25" s="3048" t="str">
        <f>IF(SUM(K33,K40,K47)=0,"NO",SUM(K33,K40,K47))</f>
        <v>NO</v>
      </c>
      <c r="L25" s="19"/>
    </row>
    <row r="26" spans="2:12" ht="18" customHeight="1" x14ac:dyDescent="0.2">
      <c r="B26" s="160" t="s">
        <v>245</v>
      </c>
      <c r="C26" s="3065">
        <f t="shared" ref="C26:C30" si="14">IF(SUM(C34,C41,C48)=0,"NO",SUM(C34,C41,C48))</f>
        <v>1273540</v>
      </c>
      <c r="D26" s="3061" t="s">
        <v>97</v>
      </c>
      <c r="E26" s="3065">
        <f t="shared" ref="E26:E30" si="15">IFERROR(H26*1000/$C26,"NA")</f>
        <v>92.583455482394896</v>
      </c>
      <c r="F26" s="1938">
        <f t="shared" si="13"/>
        <v>0.66066638265220101</v>
      </c>
      <c r="G26" s="1938">
        <f t="shared" si="13"/>
        <v>0.99945421143239443</v>
      </c>
      <c r="H26" s="3065">
        <f t="shared" ref="H26:K30" si="16">IF(SUM(H34,H41,H48)=0,"NO",SUM(H34,H41,H48))</f>
        <v>117908.7338950492</v>
      </c>
      <c r="I26" s="3065">
        <f t="shared" si="16"/>
        <v>0.84138506496288401</v>
      </c>
      <c r="J26" s="3065">
        <f t="shared" si="16"/>
        <v>1.2728449164276117</v>
      </c>
      <c r="K26" s="3048" t="str">
        <f t="shared" si="16"/>
        <v>NO</v>
      </c>
      <c r="L26" s="19"/>
    </row>
    <row r="27" spans="2:12" ht="18" customHeight="1" x14ac:dyDescent="0.2">
      <c r="B27" s="160" t="s">
        <v>246</v>
      </c>
      <c r="C27" s="3065">
        <f t="shared" si="14"/>
        <v>161230.00000000006</v>
      </c>
      <c r="D27" s="3061" t="s">
        <v>97</v>
      </c>
      <c r="E27" s="3065">
        <f t="shared" si="15"/>
        <v>51.358934441481104</v>
      </c>
      <c r="F27" s="1938">
        <f t="shared" si="13"/>
        <v>1.7860030560520532</v>
      </c>
      <c r="G27" s="1938">
        <f t="shared" si="13"/>
        <v>0.90909090909090873</v>
      </c>
      <c r="H27" s="3065">
        <f t="shared" si="16"/>
        <v>8280.6010000000006</v>
      </c>
      <c r="I27" s="3065">
        <f t="shared" si="16"/>
        <v>0.28795727272727267</v>
      </c>
      <c r="J27" s="3065">
        <f t="shared" si="16"/>
        <v>0.14657272727272727</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11350.269781117899</v>
      </c>
      <c r="D30" s="3061" t="s">
        <v>97</v>
      </c>
      <c r="E30" s="3065">
        <f t="shared" si="15"/>
        <v>95</v>
      </c>
      <c r="F30" s="1938">
        <f t="shared" si="13"/>
        <v>10.47619047619048</v>
      </c>
      <c r="G30" s="1938">
        <f t="shared" si="13"/>
        <v>6.6666666666666652</v>
      </c>
      <c r="H30" s="3065">
        <f t="shared" si="16"/>
        <v>1078.2756292062004</v>
      </c>
      <c r="I30" s="3065">
        <f t="shared" si="16"/>
        <v>0.11890758818313993</v>
      </c>
      <c r="J30" s="3065">
        <f t="shared" si="16"/>
        <v>7.5668465207452643E-2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1486048.2069667177</v>
      </c>
      <c r="D32" s="3056" t="s">
        <v>97</v>
      </c>
      <c r="E32" s="1939"/>
      <c r="F32" s="1939"/>
      <c r="G32" s="1939"/>
      <c r="H32" s="3065">
        <f>IF(SUM(H33:H37)=0,"NO",SUM(H33:H37))</f>
        <v>129096.60814965157</v>
      </c>
      <c r="I32" s="3065">
        <f t="shared" ref="I32" si="17">IF(SUM(I33:I38)=0,"NO",SUM(I33:I38))</f>
        <v>1.3567494030445448</v>
      </c>
      <c r="J32" s="3065">
        <f t="shared" ref="J32" si="18">IF(SUM(J33:J38)=0,"NO",SUM(J33:J38))</f>
        <v>1.508934034451336</v>
      </c>
      <c r="K32" s="3048" t="str">
        <f t="shared" ref="K32" si="19">IF(SUM(K33:K38)=0,"NO",SUM(K33:K38))</f>
        <v>NO</v>
      </c>
      <c r="L32" s="19"/>
    </row>
    <row r="33" spans="2:12" ht="18" customHeight="1" x14ac:dyDescent="0.2">
      <c r="B33" s="160" t="s">
        <v>243</v>
      </c>
      <c r="C33" s="3014">
        <v>39927.9371856</v>
      </c>
      <c r="D33" s="3056" t="s">
        <v>97</v>
      </c>
      <c r="E33" s="1938">
        <f>IFERROR(H33*1000/$C33,"NA")</f>
        <v>72.81300912411993</v>
      </c>
      <c r="F33" s="1938">
        <f t="shared" ref="F33:G38" si="20">IFERROR(I33*1000000/$C33,"NA")</f>
        <v>2.7173824850230077</v>
      </c>
      <c r="G33" s="1938">
        <f t="shared" si="20"/>
        <v>0.34682296456173084</v>
      </c>
      <c r="H33" s="3014">
        <v>2907.2732546023799</v>
      </c>
      <c r="I33" s="3014">
        <v>0.10849947717124829</v>
      </c>
      <c r="J33" s="3014">
        <v>1.3847925543544365E-2</v>
      </c>
      <c r="K33" s="3051" t="s">
        <v>199</v>
      </c>
      <c r="L33" s="19"/>
    </row>
    <row r="34" spans="2:12" ht="18" customHeight="1" x14ac:dyDescent="0.2">
      <c r="B34" s="160" t="s">
        <v>245</v>
      </c>
      <c r="C34" s="3014">
        <v>1273540</v>
      </c>
      <c r="D34" s="3056" t="s">
        <v>97</v>
      </c>
      <c r="E34" s="1938">
        <f t="shared" ref="E34:E38" si="21">IFERROR(H34*1000/$C34,"NA")</f>
        <v>92.583455482394896</v>
      </c>
      <c r="F34" s="1938">
        <f t="shared" si="20"/>
        <v>0.66066638265220101</v>
      </c>
      <c r="G34" s="1938">
        <f t="shared" si="20"/>
        <v>0.99945421143239443</v>
      </c>
      <c r="H34" s="3014">
        <v>117908.7338950492</v>
      </c>
      <c r="I34" s="3014">
        <v>0.84138506496288401</v>
      </c>
      <c r="J34" s="3014">
        <v>1.2728449164276117</v>
      </c>
      <c r="K34" s="3051" t="s">
        <v>199</v>
      </c>
      <c r="L34" s="19"/>
    </row>
    <row r="35" spans="2:12" ht="18" customHeight="1" x14ac:dyDescent="0.2">
      <c r="B35" s="160" t="s">
        <v>246</v>
      </c>
      <c r="C35" s="3014">
        <v>161230.00000000006</v>
      </c>
      <c r="D35" s="3056" t="s">
        <v>97</v>
      </c>
      <c r="E35" s="1938">
        <f t="shared" si="21"/>
        <v>51.358934441481104</v>
      </c>
      <c r="F35" s="1938">
        <f t="shared" si="20"/>
        <v>1.7860030560520532</v>
      </c>
      <c r="G35" s="1938">
        <f t="shared" si="20"/>
        <v>0.90909090909090873</v>
      </c>
      <c r="H35" s="3014">
        <v>8280.6010000000006</v>
      </c>
      <c r="I35" s="3014">
        <v>0.28795727272727267</v>
      </c>
      <c r="J35" s="3014">
        <v>0.14657272727272727</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11350.269781117899</v>
      </c>
      <c r="D38" s="3056" t="s">
        <v>97</v>
      </c>
      <c r="E38" s="1938">
        <f t="shared" si="21"/>
        <v>95</v>
      </c>
      <c r="F38" s="1938">
        <f t="shared" si="20"/>
        <v>10.47619047619048</v>
      </c>
      <c r="G38" s="1938">
        <f t="shared" si="20"/>
        <v>6.6666666666666652</v>
      </c>
      <c r="H38" s="3014">
        <v>1078.2756292062004</v>
      </c>
      <c r="I38" s="3014">
        <v>0.11890758818313993</v>
      </c>
      <c r="J38" s="3014">
        <v>7.5668465207452643E-2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87282.199999999895</v>
      </c>
      <c r="D53" s="3056" t="s">
        <v>97</v>
      </c>
      <c r="E53" s="615"/>
      <c r="F53" s="615"/>
      <c r="G53" s="615"/>
      <c r="H53" s="3065">
        <f>IF(SUM(H54:H58)=0,"NO",SUM(H54:H58))</f>
        <v>5512.0702874936887</v>
      </c>
      <c r="I53" s="3065">
        <f t="shared" ref="I53:K53" si="28">IF(SUM(I54:I59)=0,"NO",SUM(I54:I59))</f>
        <v>6.1983798545454466E-2</v>
      </c>
      <c r="J53" s="3065">
        <f t="shared" si="28"/>
        <v>4.540906770909086E-2</v>
      </c>
      <c r="K53" s="3048" t="str">
        <f t="shared" si="28"/>
        <v>NO</v>
      </c>
      <c r="L53" s="19"/>
    </row>
    <row r="54" spans="2:12" ht="18" customHeight="1" x14ac:dyDescent="0.2">
      <c r="B54" s="160" t="s">
        <v>243</v>
      </c>
      <c r="C54" s="3014">
        <v>75982.19999999991</v>
      </c>
      <c r="D54" s="3056" t="s">
        <v>97</v>
      </c>
      <c r="E54" s="1938">
        <f>IFERROR(H54*1000/$C54,"NA")</f>
        <v>64.898299999999992</v>
      </c>
      <c r="F54" s="1938">
        <f t="shared" ref="F54:G59" si="29">IFERROR(I54*1000000/$C54,"NA")</f>
        <v>0.66285714285714281</v>
      </c>
      <c r="G54" s="1938">
        <f t="shared" si="29"/>
        <v>0.53447619047619044</v>
      </c>
      <c r="H54" s="3014">
        <v>4931.1156102599944</v>
      </c>
      <c r="I54" s="3014">
        <v>5.0365343999999937E-2</v>
      </c>
      <c r="J54" s="3014">
        <v>4.0610676799999954E-2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11299.999999999991</v>
      </c>
      <c r="D56" s="3056" t="s">
        <v>97</v>
      </c>
      <c r="E56" s="1938">
        <f t="shared" si="30"/>
        <v>51.411918339264986</v>
      </c>
      <c r="F56" s="1938">
        <f t="shared" si="29"/>
        <v>1.0281818181818179</v>
      </c>
      <c r="G56" s="1938">
        <f t="shared" si="29"/>
        <v>0.42463636363636359</v>
      </c>
      <c r="H56" s="3014">
        <v>580.95467723369393</v>
      </c>
      <c r="I56" s="3014">
        <v>1.1618454545454533E-2</v>
      </c>
      <c r="J56" s="3014">
        <v>4.7983909090909046E-3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131213.15514648723</v>
      </c>
      <c r="D60" s="3056" t="s">
        <v>97</v>
      </c>
      <c r="E60" s="615"/>
      <c r="F60" s="615"/>
      <c r="G60" s="615"/>
      <c r="H60" s="3065">
        <f>IF(SUM(H61:H65)=0,"NO",SUM(H61:H65))</f>
        <v>7942.0095931771411</v>
      </c>
      <c r="I60" s="3065">
        <f t="shared" ref="I60:K60" si="31">IF(SUM(I61:I66)=0,"NO",SUM(I61:I66))</f>
        <v>4.6998988574912239</v>
      </c>
      <c r="J60" s="3065">
        <f t="shared" si="31"/>
        <v>0.14658637643808511</v>
      </c>
      <c r="K60" s="3048" t="str">
        <f t="shared" si="31"/>
        <v>NO</v>
      </c>
      <c r="L60" s="19"/>
    </row>
    <row r="61" spans="2:12" ht="18" customHeight="1" x14ac:dyDescent="0.2">
      <c r="B61" s="160" t="s">
        <v>243</v>
      </c>
      <c r="C61" s="3053">
        <f>IF(SUM(C69,C76,C83)=0,"NO",SUM(C69,C76,C83))</f>
        <v>13830.6</v>
      </c>
      <c r="D61" s="3056" t="s">
        <v>97</v>
      </c>
      <c r="E61" s="1938">
        <f>IFERROR(H61*1000/$C61,"NA")</f>
        <v>69.957424840570908</v>
      </c>
      <c r="F61" s="1938">
        <f t="shared" ref="F61:G66" si="32">IFERROR(I61*1000000/$C61,"NA")</f>
        <v>3.3992488267143735</v>
      </c>
      <c r="G61" s="1938">
        <f t="shared" si="32"/>
        <v>3.273665647377709</v>
      </c>
      <c r="H61" s="3053">
        <f>IF(SUM(H69,H76,H83)=0,"NO",SUM(H69,H76,H83))</f>
        <v>967.55316000000005</v>
      </c>
      <c r="I61" s="3053">
        <f>IF(SUM(I69,I76,I83)=0,"NO",SUM(I69,I76,I83))</f>
        <v>4.7013650822755812E-2</v>
      </c>
      <c r="J61" s="3053">
        <f>IF(SUM(J69,J76,J83)=0,"NO",SUM(J69,J76,J83))</f>
        <v>4.5276760102622146E-2</v>
      </c>
      <c r="K61" s="3067" t="str">
        <f>IF(SUM(K69,K76,K83)=0,"NO",SUM(K69,K76,K83))</f>
        <v>NO</v>
      </c>
    </row>
    <row r="62" spans="2:12" ht="18" customHeight="1" x14ac:dyDescent="0.2">
      <c r="B62" s="160" t="s">
        <v>245</v>
      </c>
      <c r="C62" s="3053">
        <f t="shared" ref="C62:C66" si="33">IF(SUM(C70,C77,C84)=0,"NO",SUM(C70,C77,C84))</f>
        <v>28424.822245543812</v>
      </c>
      <c r="D62" s="3056" t="s">
        <v>97</v>
      </c>
      <c r="E62" s="1938">
        <f t="shared" ref="E62:E66" si="34">IFERROR(H62*1000/$C62,"NA")</f>
        <v>84.343658519773101</v>
      </c>
      <c r="F62" s="1938">
        <f t="shared" si="32"/>
        <v>0.9608329238847515</v>
      </c>
      <c r="G62" s="1938">
        <f t="shared" si="32"/>
        <v>0.7879306350704588</v>
      </c>
      <c r="H62" s="3053">
        <f t="shared" ref="H62:K66" si="35">IF(SUM(H70,H77,H84)=0,"NO",SUM(H70,H77,H84))</f>
        <v>2397.4535009633973</v>
      </c>
      <c r="I62" s="3053">
        <f t="shared" si="35"/>
        <v>2.7311505069090188E-2</v>
      </c>
      <c r="J62" s="3053">
        <f t="shared" si="35"/>
        <v>2.2396788243696238E-2</v>
      </c>
      <c r="K62" s="3067" t="str">
        <f t="shared" si="35"/>
        <v>NO</v>
      </c>
    </row>
    <row r="63" spans="2:12" ht="18" customHeight="1" x14ac:dyDescent="0.2">
      <c r="B63" s="160" t="s">
        <v>246</v>
      </c>
      <c r="C63" s="3053">
        <f t="shared" si="33"/>
        <v>88957.732900943403</v>
      </c>
      <c r="D63" s="3056" t="s">
        <v>97</v>
      </c>
      <c r="E63" s="1938">
        <f t="shared" si="34"/>
        <v>51.451434101972303</v>
      </c>
      <c r="F63" s="1938">
        <f t="shared" si="32"/>
        <v>51.997432384546791</v>
      </c>
      <c r="G63" s="1938">
        <f t="shared" si="32"/>
        <v>0.88708227512540228</v>
      </c>
      <c r="H63" s="3053">
        <f t="shared" si="35"/>
        <v>4577.0029322137434</v>
      </c>
      <c r="I63" s="3053">
        <f t="shared" si="35"/>
        <v>4.6255737015993779</v>
      </c>
      <c r="J63" s="3053">
        <f t="shared" si="35"/>
        <v>7.8912828091766724E-2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29315.42224554381</v>
      </c>
      <c r="D68" s="3056" t="s">
        <v>97</v>
      </c>
      <c r="E68" s="615"/>
      <c r="F68" s="615"/>
      <c r="G68" s="615"/>
      <c r="H68" s="3065">
        <f>IF(SUM(H69:H73)=0,"NO",SUM(H69:H73))</f>
        <v>2463.0016609633972</v>
      </c>
      <c r="I68" s="3065">
        <f t="shared" ref="I68:K68" si="36">IF(SUM(I69:I74)=0,"NO",SUM(I69:I74))</f>
        <v>2.9109668878613996E-2</v>
      </c>
      <c r="J68" s="3065">
        <f t="shared" si="36"/>
        <v>2.2856507481791476E-2</v>
      </c>
      <c r="K68" s="3048" t="str">
        <f t="shared" si="36"/>
        <v>NO</v>
      </c>
    </row>
    <row r="69" spans="2:11" ht="18" customHeight="1" x14ac:dyDescent="0.2">
      <c r="B69" s="282" t="s">
        <v>243</v>
      </c>
      <c r="C69" s="3014">
        <v>890.5999999999998</v>
      </c>
      <c r="D69" s="3055" t="s">
        <v>97</v>
      </c>
      <c r="E69" s="1938">
        <f>IFERROR(H69*1000/$C69,"NA")</f>
        <v>73.599999999999994</v>
      </c>
      <c r="F69" s="1938">
        <f t="shared" ref="F69:G74" si="37">IFERROR(I69*1000000/$C69,"NA")</f>
        <v>2.019047619047619</v>
      </c>
      <c r="G69" s="1938">
        <f t="shared" si="37"/>
        <v>0.51619047619047609</v>
      </c>
      <c r="H69" s="3014">
        <v>65.548159999999967</v>
      </c>
      <c r="I69" s="3014">
        <v>1.7981638095238091E-3</v>
      </c>
      <c r="J69" s="3014">
        <v>4.5971923809523795E-4</v>
      </c>
      <c r="K69" s="3051" t="s">
        <v>199</v>
      </c>
    </row>
    <row r="70" spans="2:11" ht="18" customHeight="1" x14ac:dyDescent="0.2">
      <c r="B70" s="282" t="s">
        <v>245</v>
      </c>
      <c r="C70" s="3014">
        <v>28424.822245543812</v>
      </c>
      <c r="D70" s="3055" t="s">
        <v>97</v>
      </c>
      <c r="E70" s="1938">
        <f t="shared" ref="E70:E74" si="38">IFERROR(H70*1000/$C70,"NA")</f>
        <v>84.343658519773101</v>
      </c>
      <c r="F70" s="1938">
        <f t="shared" si="37"/>
        <v>0.9608329238847515</v>
      </c>
      <c r="G70" s="1938">
        <f t="shared" si="37"/>
        <v>0.7879306350704588</v>
      </c>
      <c r="H70" s="3014">
        <v>2397.4535009633973</v>
      </c>
      <c r="I70" s="3014">
        <v>2.7311505069090188E-2</v>
      </c>
      <c r="J70" s="3014">
        <v>2.2396788243696238E-2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81260</v>
      </c>
      <c r="D75" s="3056" t="s">
        <v>97</v>
      </c>
      <c r="E75" s="615"/>
      <c r="F75" s="615"/>
      <c r="G75" s="615"/>
      <c r="H75" s="3065">
        <f>IF(SUM(H76:H80)=0,"NO",SUM(H76:H80))</f>
        <v>4188.3103332451146</v>
      </c>
      <c r="I75" s="3065">
        <f t="shared" ref="I75:K75" si="39">IF(SUM(I76:I81)=0,"NO",SUM(I76:I81))</f>
        <v>4.5986458593255612</v>
      </c>
      <c r="J75" s="3065">
        <f t="shared" si="39"/>
        <v>7.249041232323232E-2</v>
      </c>
      <c r="K75" s="3048" t="str">
        <f t="shared" si="39"/>
        <v>NO</v>
      </c>
    </row>
    <row r="76" spans="2:11" ht="18" customHeight="1" x14ac:dyDescent="0.2">
      <c r="B76" s="282" t="s">
        <v>243</v>
      </c>
      <c r="C76" s="3014">
        <v>600</v>
      </c>
      <c r="D76" s="3055" t="s">
        <v>97</v>
      </c>
      <c r="E76" s="1938">
        <f>IFERROR(H76*1000/$C76,"NA")</f>
        <v>69.041666666666686</v>
      </c>
      <c r="F76" s="1938">
        <f t="shared" ref="F76:G81" si="40">IFERROR(I76*1000000/$C76,"NA")</f>
        <v>2.392195767195767</v>
      </c>
      <c r="G76" s="1938">
        <f t="shared" si="40"/>
        <v>1.8682962962962966</v>
      </c>
      <c r="H76" s="3014">
        <v>41.425000000000004</v>
      </c>
      <c r="I76" s="3014">
        <v>1.4353174603174603E-3</v>
      </c>
      <c r="J76" s="3014">
        <v>1.1209777777777779E-3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80660</v>
      </c>
      <c r="D78" s="3055" t="s">
        <v>97</v>
      </c>
      <c r="E78" s="1938">
        <f t="shared" si="41"/>
        <v>51.411918339264993</v>
      </c>
      <c r="F78" s="1938">
        <f t="shared" si="40"/>
        <v>56.994923653176834</v>
      </c>
      <c r="G78" s="1938">
        <f t="shared" si="40"/>
        <v>0.88481818181818173</v>
      </c>
      <c r="H78" s="3014">
        <v>4146.8853332451145</v>
      </c>
      <c r="I78" s="3014">
        <v>4.5972105418652438</v>
      </c>
      <c r="J78" s="3014">
        <v>7.1369434545454538E-2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20637.732900943403</v>
      </c>
      <c r="D82" s="3056" t="s">
        <v>97</v>
      </c>
      <c r="E82" s="615"/>
      <c r="F82" s="615"/>
      <c r="G82" s="615"/>
      <c r="H82" s="3065">
        <f>IF(SUM(H83:H87)=0,"NO",SUM(H83:H87))</f>
        <v>1290.6975989686287</v>
      </c>
      <c r="I82" s="3065">
        <f t="shared" ref="I82:K82" si="42">IF(SUM(I83:I88)=0,"NO",SUM(I83:I88))</f>
        <v>7.2143329287048349E-2</v>
      </c>
      <c r="J82" s="3065">
        <f t="shared" si="42"/>
        <v>5.1239456633061314E-2</v>
      </c>
      <c r="K82" s="3048" t="str">
        <f t="shared" si="42"/>
        <v>NO</v>
      </c>
    </row>
    <row r="83" spans="2:11" ht="18" customHeight="1" x14ac:dyDescent="0.2">
      <c r="B83" s="282" t="s">
        <v>243</v>
      </c>
      <c r="C83" s="3014">
        <v>12340</v>
      </c>
      <c r="D83" s="3055" t="s">
        <v>97</v>
      </c>
      <c r="E83" s="1938">
        <f>IFERROR(H83*1000/$C83,"NA")</f>
        <v>69.739059967585092</v>
      </c>
      <c r="F83" s="1938">
        <f t="shared" ref="F83:G88" si="43">IFERROR(I83*1000000/$C83,"NA")</f>
        <v>3.547825733623545</v>
      </c>
      <c r="G83" s="1938">
        <f t="shared" si="43"/>
        <v>3.5410099746150023</v>
      </c>
      <c r="H83" s="3014">
        <v>860.58</v>
      </c>
      <c r="I83" s="3014">
        <v>4.3780169552914541E-2</v>
      </c>
      <c r="J83" s="3014">
        <v>4.3696063086749129E-2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8297.7329009434015</v>
      </c>
      <c r="D85" s="3055" t="s">
        <v>97</v>
      </c>
      <c r="E85" s="1938">
        <f t="shared" si="44"/>
        <v>51.835556061310051</v>
      </c>
      <c r="F85" s="1938">
        <f t="shared" si="43"/>
        <v>3.4181818181818184</v>
      </c>
      <c r="G85" s="1938">
        <f t="shared" si="43"/>
        <v>0.90909090909090895</v>
      </c>
      <c r="H85" s="3014">
        <v>430.11759896862856</v>
      </c>
      <c r="I85" s="3014">
        <v>2.8363159734133808E-2</v>
      </c>
      <c r="J85" s="3014">
        <v>7.5433935463121828E-3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2459</v>
      </c>
    </row>
    <row r="2" spans="2:13" ht="18.75" x14ac:dyDescent="0.25">
      <c r="B2" s="525" t="s">
        <v>1652</v>
      </c>
      <c r="C2" s="525"/>
      <c r="L2" s="14" t="s">
        <v>2460</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30560914.474285189</v>
      </c>
      <c r="G10" s="4346" t="s">
        <v>205</v>
      </c>
      <c r="H10" s="4347">
        <f t="shared" ref="H10:H13" si="0">IF(SUM($F10)=0,"NA",K10*1000/$F10)</f>
        <v>2.1751631140267316E-2</v>
      </c>
      <c r="I10" s="4348">
        <f t="shared" ref="I10:I13" si="1">IF(SUM($F10)=0,"NA",L10*1000/$F10)</f>
        <v>4.5338463148922152E-4</v>
      </c>
      <c r="J10" s="4349" t="str">
        <f>IF(SUM(J11,J25,J36,J48,J59,J70,J76)=0,"IE",SUM(J11,J25,J36,J48,J59,J70,J76))</f>
        <v>IE</v>
      </c>
      <c r="K10" s="4350">
        <f>IF(SUM(K11,K25,K36,K48,K59,K70,K76)=0,"NO",SUM(K11,K25,K36,K48,K59,K70,K76))</f>
        <v>664.74973895390781</v>
      </c>
      <c r="L10" s="4351">
        <f>IF(SUM(L11,L25,L36,L48,L59,L70,L76)=0,"NO",SUM(L11,L25,L36,L48,L59,L70,L76))</f>
        <v>13.855848946897407</v>
      </c>
    </row>
    <row r="11" spans="2:13" ht="18" customHeight="1" x14ac:dyDescent="0.2">
      <c r="B11" s="934" t="s">
        <v>1662</v>
      </c>
      <c r="C11" s="4352"/>
      <c r="D11" s="4353"/>
      <c r="E11" s="2866" t="s">
        <v>1661</v>
      </c>
      <c r="F11" s="4354">
        <f>IF(SUM(F12,F19)=0,"NO",SUM(F12,F19))</f>
        <v>6455589.0797622204</v>
      </c>
      <c r="G11" s="4355" t="s">
        <v>205</v>
      </c>
      <c r="H11" s="4356">
        <f t="shared" si="0"/>
        <v>3.722599554200573E-2</v>
      </c>
      <c r="I11" s="4357">
        <f t="shared" si="1"/>
        <v>6.4933365827069911E-4</v>
      </c>
      <c r="J11" s="4358" t="str">
        <f>IF(SUM(J12,J19)=0,"IE",SUM(J12,J19))</f>
        <v>IE</v>
      </c>
      <c r="K11" s="4359">
        <f>IF(SUM(K12,K19)=0,"NO",SUM(K12,K19))</f>
        <v>240.31573030424929</v>
      </c>
      <c r="L11" s="4360">
        <f>IF(SUM(L12,L19)=0,"NO",SUM(L12,L19))</f>
        <v>4.1918312734543788</v>
      </c>
      <c r="M11" s="472"/>
    </row>
    <row r="12" spans="2:13" ht="18" customHeight="1" x14ac:dyDescent="0.2">
      <c r="B12" s="906" t="s">
        <v>1663</v>
      </c>
      <c r="C12" s="4361"/>
      <c r="D12" s="4362"/>
      <c r="E12" s="4363" t="s">
        <v>1661</v>
      </c>
      <c r="F12" s="4364">
        <f>IF(SUM(F13,F17)=0,"NO",SUM(F13,F17))</f>
        <v>6450257.8522556638</v>
      </c>
      <c r="G12" s="4365" t="str">
        <f>IFERROR(IF(SUM($F12)=0,"NA",J12*1000/$F12),"NA")</f>
        <v>NA</v>
      </c>
      <c r="H12" s="4366">
        <f t="shared" si="0"/>
        <v>3.71559760242441E-2</v>
      </c>
      <c r="I12" s="4367">
        <f t="shared" si="1"/>
        <v>6.4847351486197976E-4</v>
      </c>
      <c r="J12" s="4170" t="str">
        <f>IF(SUM(J13,J17)=0,"IE",SUM(J13,J17))</f>
        <v>IE</v>
      </c>
      <c r="K12" s="3057">
        <f>IF(SUM(K13,K17)=0,"NO",SUM(K13,K17))</f>
        <v>239.6656261086037</v>
      </c>
      <c r="L12" s="3106">
        <f>IF(SUM(L13,L17)=0,"NO",SUM(L13,L17))</f>
        <v>4.1828213812183153</v>
      </c>
    </row>
    <row r="13" spans="2:13" ht="18" customHeight="1" x14ac:dyDescent="0.2">
      <c r="B13" s="926" t="s">
        <v>1664</v>
      </c>
      <c r="C13" s="4361"/>
      <c r="D13" s="4362"/>
      <c r="E13" s="4363" t="s">
        <v>1661</v>
      </c>
      <c r="F13" s="4368">
        <f>IF(SUM(F14:F16)=0,"NO",SUM(F14:F16))</f>
        <v>6248461.757248275</v>
      </c>
      <c r="G13" s="4369" t="str">
        <f t="shared" ref="G13:G76" si="2">IFERROR(IF(SUM($F13)=0,"NA",J13*1000/$F13),"NA")</f>
        <v>NA</v>
      </c>
      <c r="H13" s="4370">
        <f t="shared" si="0"/>
        <v>3.0594944356142077E-2</v>
      </c>
      <c r="I13" s="4371">
        <f t="shared" si="1"/>
        <v>5.9782163632606932E-4</v>
      </c>
      <c r="J13" s="4170" t="str">
        <f>IF(SUM(J14:J16)=0,"IE",SUM(J14:J16))</f>
        <v>IE</v>
      </c>
      <c r="K13" s="4170">
        <f>IF(SUM(K14:K16)=0,"NO",SUM(K14:K16))</f>
        <v>191.17133977449271</v>
      </c>
      <c r="L13" s="4372">
        <f>IF(SUM(L14:L16)=0,"NO",SUM(L14:L16))</f>
        <v>3.7354656322390305</v>
      </c>
      <c r="M13" s="472"/>
    </row>
    <row r="14" spans="2:13" ht="18" customHeight="1" x14ac:dyDescent="0.2">
      <c r="B14" s="926"/>
      <c r="C14" s="2864" t="s">
        <v>1665</v>
      </c>
      <c r="D14" s="4373" t="s">
        <v>1219</v>
      </c>
      <c r="E14" s="4374" t="s">
        <v>1661</v>
      </c>
      <c r="F14" s="4375">
        <v>340488.75642723602</v>
      </c>
      <c r="G14" s="4369" t="str">
        <f t="shared" si="2"/>
        <v>NA</v>
      </c>
      <c r="H14" s="4370">
        <f>IF(SUM($F14)=0,"NA",K14*1000/$F14)</f>
        <v>0.12150218623288389</v>
      </c>
      <c r="I14" s="4371">
        <f>IF(SUM($F14)=0,"NA",L14*1000/$F14)</f>
        <v>1.2791059409522718E-3</v>
      </c>
      <c r="J14" s="4376" t="s">
        <v>274</v>
      </c>
      <c r="K14" s="4377">
        <v>41.370128293625072</v>
      </c>
      <c r="L14" s="4378">
        <v>0.43552119117352861</v>
      </c>
      <c r="M14" s="472"/>
    </row>
    <row r="15" spans="2:13" ht="18" customHeight="1" x14ac:dyDescent="0.2">
      <c r="B15" s="926"/>
      <c r="C15" s="2864" t="s">
        <v>1666</v>
      </c>
      <c r="D15" s="4373" t="s">
        <v>1219</v>
      </c>
      <c r="E15" s="4379" t="s">
        <v>1661</v>
      </c>
      <c r="F15" s="4380">
        <v>11567.979551272798</v>
      </c>
      <c r="G15" s="4369" t="str">
        <f t="shared" si="2"/>
        <v>NA</v>
      </c>
      <c r="H15" s="4370">
        <f t="shared" ref="H15:H77" si="3">IF(SUM($F15)=0,"NA",K15*1000/$F15)</f>
        <v>1.6816563624123257</v>
      </c>
      <c r="I15" s="4371">
        <f t="shared" ref="I15:I77" si="4">IF(SUM($F15)=0,"NA",L15*1000/$F15)</f>
        <v>3.108728636626118E-2</v>
      </c>
      <c r="J15" s="4376" t="s">
        <v>274</v>
      </c>
      <c r="K15" s="4377">
        <v>19.45336641265358</v>
      </c>
      <c r="L15" s="4381">
        <v>0.35961709298947098</v>
      </c>
      <c r="M15" s="472"/>
    </row>
    <row r="16" spans="2:13" ht="18" customHeight="1" x14ac:dyDescent="0.2">
      <c r="B16" s="926"/>
      <c r="C16" s="2864" t="s">
        <v>1342</v>
      </c>
      <c r="D16" s="4373" t="s">
        <v>1219</v>
      </c>
      <c r="E16" s="4379" t="s">
        <v>1661</v>
      </c>
      <c r="F16" s="4380">
        <v>5896405.0212697657</v>
      </c>
      <c r="G16" s="4369" t="str">
        <f t="shared" si="2"/>
        <v>NA</v>
      </c>
      <c r="H16" s="4370">
        <f t="shared" si="3"/>
        <v>2.2106324887455609E-2</v>
      </c>
      <c r="I16" s="4371">
        <f t="shared" si="4"/>
        <v>4.9866441288709908E-4</v>
      </c>
      <c r="J16" s="4376" t="s">
        <v>274</v>
      </c>
      <c r="K16" s="4377">
        <v>130.34784506821404</v>
      </c>
      <c r="L16" s="4381">
        <v>2.940327348076031</v>
      </c>
      <c r="M16" s="472"/>
    </row>
    <row r="17" spans="2:13" ht="18" customHeight="1" x14ac:dyDescent="0.2">
      <c r="B17" s="926" t="s">
        <v>1667</v>
      </c>
      <c r="C17" s="4361"/>
      <c r="D17" s="4362"/>
      <c r="E17" s="4382" t="s">
        <v>1661</v>
      </c>
      <c r="F17" s="4368">
        <f>F18</f>
        <v>201796.09500738926</v>
      </c>
      <c r="G17" s="4369" t="str">
        <f t="shared" si="2"/>
        <v>NA</v>
      </c>
      <c r="H17" s="4370">
        <f t="shared" si="3"/>
        <v>0.24031330404255466</v>
      </c>
      <c r="I17" s="4371">
        <f t="shared" si="4"/>
        <v>2.2168701974282683E-3</v>
      </c>
      <c r="J17" s="4170" t="str">
        <f>J18</f>
        <v>IE</v>
      </c>
      <c r="K17" s="4170">
        <f>K18</f>
        <v>48.494286334110981</v>
      </c>
      <c r="L17" s="4372">
        <f>L18</f>
        <v>0.4473557489792846</v>
      </c>
      <c r="M17" s="472"/>
    </row>
    <row r="18" spans="2:13" ht="18" customHeight="1" x14ac:dyDescent="0.2">
      <c r="B18" s="926"/>
      <c r="C18" s="2864" t="s">
        <v>1668</v>
      </c>
      <c r="D18" s="4373" t="s">
        <v>1219</v>
      </c>
      <c r="E18" s="4379" t="s">
        <v>1661</v>
      </c>
      <c r="F18" s="4375">
        <v>201796.09500738926</v>
      </c>
      <c r="G18" s="4369" t="str">
        <f t="shared" si="2"/>
        <v>NA</v>
      </c>
      <c r="H18" s="4370">
        <f t="shared" si="3"/>
        <v>0.24031330404255466</v>
      </c>
      <c r="I18" s="4371">
        <f t="shared" si="4"/>
        <v>2.2168701974282683E-3</v>
      </c>
      <c r="J18" s="4376" t="s">
        <v>274</v>
      </c>
      <c r="K18" s="4377">
        <v>48.494286334110981</v>
      </c>
      <c r="L18" s="4378">
        <v>0.4473557489792846</v>
      </c>
      <c r="M18" s="472"/>
    </row>
    <row r="19" spans="2:13" ht="18" customHeight="1" x14ac:dyDescent="0.2">
      <c r="B19" s="906" t="s">
        <v>1669</v>
      </c>
      <c r="C19" s="4361"/>
      <c r="D19" s="4362"/>
      <c r="E19" s="4382" t="s">
        <v>1661</v>
      </c>
      <c r="F19" s="4383">
        <f>IF(SUM(F20,F23)=0,"NO",SUM(F20,F23))</f>
        <v>5331.2275065562681</v>
      </c>
      <c r="G19" s="4365" t="s">
        <v>205</v>
      </c>
      <c r="H19" s="4366">
        <f t="shared" si="3"/>
        <v>0.12194268484061235</v>
      </c>
      <c r="I19" s="4367">
        <f t="shared" si="4"/>
        <v>1.6900220868426878E-3</v>
      </c>
      <c r="J19" s="4170" t="str">
        <f>IF(SUM(J20,J23)=0,"IE",SUM(J20,J23))</f>
        <v>IE</v>
      </c>
      <c r="K19" s="3057">
        <f>IF(SUM(K20,K23)=0,"NO",SUM(K20,K23))</f>
        <v>0.65010419564559463</v>
      </c>
      <c r="L19" s="3106">
        <f>IF(SUM(L20,L23)=0,"NO",SUM(L20,L23))</f>
        <v>9.0098922360633635E-3</v>
      </c>
    </row>
    <row r="20" spans="2:13" ht="18" customHeight="1" x14ac:dyDescent="0.2">
      <c r="B20" s="926" t="s">
        <v>1670</v>
      </c>
      <c r="C20" s="4361"/>
      <c r="D20" s="4362"/>
      <c r="E20" s="4382" t="s">
        <v>1661</v>
      </c>
      <c r="F20" s="4368">
        <f>IF(SUM(F21:F22)=0,"NO",SUM(F21:F22))</f>
        <v>4057.6885502198993</v>
      </c>
      <c r="G20" s="4369" t="str">
        <f t="shared" si="2"/>
        <v>NA</v>
      </c>
      <c r="H20" s="4370">
        <f t="shared" si="3"/>
        <v>6.5167355384369657E-2</v>
      </c>
      <c r="I20" s="4371">
        <f t="shared" si="4"/>
        <v>1.3166761375017504E-3</v>
      </c>
      <c r="J20" s="4170" t="str">
        <f>IF(SUM(J21:J22)=0,"IE",SUM(J21:J22))</f>
        <v>IE</v>
      </c>
      <c r="K20" s="4170">
        <f>IF(SUM(K21:K22)=0,"NO",SUM(K21:K22))</f>
        <v>0.26442883179126786</v>
      </c>
      <c r="L20" s="4372">
        <f>IF(SUM(L21:L22)=0,"NO",SUM(L21:L22))</f>
        <v>5.3426616874886141E-3</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0.13703552994336055</v>
      </c>
      <c r="L21" s="4378">
        <v>2.5332540327029562E-3</v>
      </c>
      <c r="M21" s="472"/>
    </row>
    <row r="22" spans="2:13" ht="18" customHeight="1" x14ac:dyDescent="0.2">
      <c r="B22" s="926"/>
      <c r="C22" s="2864" t="s">
        <v>1342</v>
      </c>
      <c r="D22" s="4373" t="s">
        <v>1219</v>
      </c>
      <c r="E22" s="4379" t="s">
        <v>1661</v>
      </c>
      <c r="F22" s="4380">
        <v>4057.6885502198993</v>
      </c>
      <c r="G22" s="4369" t="str">
        <f t="shared" si="2"/>
        <v>NA</v>
      </c>
      <c r="H22" s="4370">
        <f t="shared" si="3"/>
        <v>3.1395534741325441E-2</v>
      </c>
      <c r="I22" s="4371">
        <f t="shared" si="4"/>
        <v>6.9236650866991926E-4</v>
      </c>
      <c r="J22" s="4376" t="s">
        <v>274</v>
      </c>
      <c r="K22" s="4377">
        <v>0.12739330184790731</v>
      </c>
      <c r="L22" s="4381">
        <v>2.8094076547856579E-3</v>
      </c>
      <c r="M22" s="472"/>
    </row>
    <row r="23" spans="2:13" ht="18" customHeight="1" x14ac:dyDescent="0.2">
      <c r="B23" s="926" t="s">
        <v>1671</v>
      </c>
      <c r="C23" s="4361"/>
      <c r="D23" s="4362"/>
      <c r="E23" s="4382" t="s">
        <v>1661</v>
      </c>
      <c r="F23" s="4368">
        <f>F24</f>
        <v>1273.5389563363692</v>
      </c>
      <c r="G23" s="4369" t="str">
        <f t="shared" si="2"/>
        <v>NA</v>
      </c>
      <c r="H23" s="4370">
        <f t="shared" si="3"/>
        <v>0.3028375079815474</v>
      </c>
      <c r="I23" s="4371">
        <f t="shared" si="4"/>
        <v>2.8795589882263128E-3</v>
      </c>
      <c r="J23" s="4170" t="str">
        <f>J24</f>
        <v>IE</v>
      </c>
      <c r="K23" s="4170">
        <f>K24</f>
        <v>0.38567536385432677</v>
      </c>
      <c r="L23" s="4372">
        <f>L24</f>
        <v>3.6672305485747495E-3</v>
      </c>
      <c r="M23" s="472"/>
    </row>
    <row r="24" spans="2:13" ht="18" customHeight="1" thickBot="1" x14ac:dyDescent="0.25">
      <c r="B24" s="936"/>
      <c r="C24" s="2865" t="s">
        <v>1672</v>
      </c>
      <c r="D24" s="4384" t="s">
        <v>1219</v>
      </c>
      <c r="E24" s="4385" t="s">
        <v>1661</v>
      </c>
      <c r="F24" s="4386">
        <v>1273.5389563363692</v>
      </c>
      <c r="G24" s="4387" t="str">
        <f t="shared" si="2"/>
        <v>NA</v>
      </c>
      <c r="H24" s="4388">
        <f t="shared" si="3"/>
        <v>0.3028375079815474</v>
      </c>
      <c r="I24" s="4389">
        <f t="shared" si="4"/>
        <v>2.8795589882263128E-3</v>
      </c>
      <c r="J24" s="4390" t="s">
        <v>274</v>
      </c>
      <c r="K24" s="4391">
        <v>0.38567536385432677</v>
      </c>
      <c r="L24" s="4392">
        <v>3.6672305485747495E-3</v>
      </c>
      <c r="M24" s="472"/>
    </row>
    <row r="25" spans="2:13" ht="18" customHeight="1" x14ac:dyDescent="0.2">
      <c r="B25" s="934" t="s">
        <v>1673</v>
      </c>
      <c r="C25" s="4352"/>
      <c r="D25" s="4353"/>
      <c r="E25" s="4393" t="s">
        <v>1661</v>
      </c>
      <c r="F25" s="4394">
        <f>IF(SUM(F26,F31)=0,"IE",SUM(F26,F31))</f>
        <v>84339.692109564639</v>
      </c>
      <c r="G25" s="4355" t="str">
        <f t="shared" si="2"/>
        <v>NA</v>
      </c>
      <c r="H25" s="4356">
        <f t="shared" si="3"/>
        <v>0.27296823768742956</v>
      </c>
      <c r="I25" s="4357">
        <f t="shared" si="4"/>
        <v>5.0461211716940103E-3</v>
      </c>
      <c r="J25" s="4358" t="str">
        <f>IF(SUM(J26,J31)=0,"IE",SUM(J26,J31))</f>
        <v>IE</v>
      </c>
      <c r="K25" s="4359">
        <f>IF(SUM(K26,K31)=0,"IE",SUM(K26,K31))</f>
        <v>23.02205712224827</v>
      </c>
      <c r="L25" s="4360">
        <f>IF(SUM(L26,L31)=0,"IE",SUM(L26,L31))</f>
        <v>0.42558830596822839</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84339.692109564639</v>
      </c>
      <c r="G31" s="4365" t="str">
        <f t="shared" si="2"/>
        <v>NA</v>
      </c>
      <c r="H31" s="4366">
        <f t="shared" si="3"/>
        <v>0.27296823768742956</v>
      </c>
      <c r="I31" s="4367">
        <f t="shared" si="4"/>
        <v>5.0461211716940103E-3</v>
      </c>
      <c r="J31" s="4170" t="str">
        <f>IF(SUM(J32,J34)=0,"IE",SUM(J32,J34))</f>
        <v>IE</v>
      </c>
      <c r="K31" s="4170">
        <f t="shared" ref="K31:L31" si="6">IF(SUM(K32,K34)=0,"IE",SUM(K32,K34))</f>
        <v>23.02205712224827</v>
      </c>
      <c r="L31" s="4372">
        <f t="shared" si="6"/>
        <v>0.42558830596822839</v>
      </c>
    </row>
    <row r="32" spans="2:13" ht="18" customHeight="1" x14ac:dyDescent="0.2">
      <c r="B32" s="926" t="s">
        <v>1678</v>
      </c>
      <c r="C32" s="4361"/>
      <c r="D32" s="4362"/>
      <c r="E32" s="4382" t="s">
        <v>1661</v>
      </c>
      <c r="F32" s="4368">
        <f>F33</f>
        <v>84339.692109564639</v>
      </c>
      <c r="G32" s="4365" t="str">
        <f t="shared" si="2"/>
        <v>NA</v>
      </c>
      <c r="H32" s="4366">
        <f t="shared" si="3"/>
        <v>0.27296823768742956</v>
      </c>
      <c r="I32" s="4367">
        <f t="shared" si="4"/>
        <v>5.0461211716940103E-3</v>
      </c>
      <c r="J32" s="4170" t="str">
        <f>J33</f>
        <v>IE</v>
      </c>
      <c r="K32" s="4170">
        <f>K33</f>
        <v>23.02205712224827</v>
      </c>
      <c r="L32" s="4372">
        <f>L33</f>
        <v>0.42558830596822839</v>
      </c>
      <c r="M32" s="472"/>
    </row>
    <row r="33" spans="2:13" ht="18" customHeight="1" x14ac:dyDescent="0.2">
      <c r="B33" s="926"/>
      <c r="C33" s="2864" t="s">
        <v>1679</v>
      </c>
      <c r="D33" s="4373" t="s">
        <v>1219</v>
      </c>
      <c r="E33" s="4379" t="s">
        <v>1661</v>
      </c>
      <c r="F33" s="4375">
        <v>84339.692109564639</v>
      </c>
      <c r="G33" s="4369" t="str">
        <f t="shared" si="2"/>
        <v>NA</v>
      </c>
      <c r="H33" s="4370">
        <f t="shared" si="3"/>
        <v>0.27296823768742956</v>
      </c>
      <c r="I33" s="4371">
        <f t="shared" si="4"/>
        <v>5.0461211716940103E-3</v>
      </c>
      <c r="J33" s="4376" t="s">
        <v>274</v>
      </c>
      <c r="K33" s="4377">
        <v>23.02205712224827</v>
      </c>
      <c r="L33" s="4378">
        <v>0.42558830596822839</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23545081.615951899</v>
      </c>
      <c r="G36" s="4355" t="str">
        <f t="shared" si="2"/>
        <v>NA</v>
      </c>
      <c r="H36" s="4356">
        <f t="shared" ref="H36" si="7">IF(SUM($F36)=0,"NA",K36*1000/$F36)</f>
        <v>1.6249351745086103E-2</v>
      </c>
      <c r="I36" s="4357">
        <f t="shared" ref="I36" si="8">IF(SUM($F36)=0,"NA",L36*1000/$F36)</f>
        <v>3.7512868135954541E-4</v>
      </c>
      <c r="J36" s="4358" t="str">
        <f>IF(SUM(J37,J42)=0,"IE",SUM(J37,J42))</f>
        <v>IE</v>
      </c>
      <c r="K36" s="4359">
        <f>IF(SUM(K37,K42)=0,"NO",SUM(K37,K42))</f>
        <v>382.5923130443627</v>
      </c>
      <c r="L36" s="4360">
        <f>IF(SUM(L37,L42)=0,"NO",SUM(L37,L42))</f>
        <v>8.8324354190949101</v>
      </c>
      <c r="M36" s="472"/>
    </row>
    <row r="37" spans="2:13" ht="18" customHeight="1" x14ac:dyDescent="0.2">
      <c r="B37" s="906" t="s">
        <v>1682</v>
      </c>
      <c r="C37" s="4361"/>
      <c r="D37" s="4362"/>
      <c r="E37" s="4382" t="s">
        <v>1661</v>
      </c>
      <c r="F37" s="4364">
        <f>IF(SUM(F38,F40)=0,"NO",SUM(F38,F40))</f>
        <v>22690370.146206245</v>
      </c>
      <c r="G37" s="4369" t="str">
        <f t="shared" si="2"/>
        <v>NA</v>
      </c>
      <c r="H37" s="4366">
        <f t="shared" si="3"/>
        <v>7.8274493689989774E-3</v>
      </c>
      <c r="I37" s="4367">
        <f t="shared" si="4"/>
        <v>2.2199609112269375E-4</v>
      </c>
      <c r="J37" s="4170" t="str">
        <f>IF(SUM(J38,J40)=0,"IE",SUM(J38,J40))</f>
        <v>IE</v>
      </c>
      <c r="K37" s="3057">
        <f>IF(SUM(K38,K40)=0,"NO",SUM(K38,K40))</f>
        <v>177.60772348327529</v>
      </c>
      <c r="L37" s="3106">
        <f>IF(SUM(L38,L40)=0,"NO",SUM(L38,L40))</f>
        <v>5.037173478584851</v>
      </c>
    </row>
    <row r="38" spans="2:13" ht="18" customHeight="1" x14ac:dyDescent="0.2">
      <c r="B38" s="926" t="s">
        <v>1683</v>
      </c>
      <c r="C38" s="4361"/>
      <c r="D38" s="4362"/>
      <c r="E38" s="4382" t="s">
        <v>1661</v>
      </c>
      <c r="F38" s="4368">
        <f>F39</f>
        <v>22690370.146206245</v>
      </c>
      <c r="G38" s="4369" t="str">
        <f t="shared" si="2"/>
        <v>NA</v>
      </c>
      <c r="H38" s="4370">
        <f t="shared" si="3"/>
        <v>7.8274493689989774E-3</v>
      </c>
      <c r="I38" s="4371">
        <f t="shared" si="4"/>
        <v>2.2199609112269375E-4</v>
      </c>
      <c r="J38" s="4170" t="str">
        <f>J39</f>
        <v>IE</v>
      </c>
      <c r="K38" s="4170">
        <f>K39</f>
        <v>177.60772348327529</v>
      </c>
      <c r="L38" s="4372">
        <f>L39</f>
        <v>5.037173478584851</v>
      </c>
      <c r="M38" s="472"/>
    </row>
    <row r="39" spans="2:13" ht="18" customHeight="1" x14ac:dyDescent="0.2">
      <c r="B39" s="926"/>
      <c r="C39" s="2864" t="s">
        <v>1342</v>
      </c>
      <c r="D39" s="4373" t="s">
        <v>1219</v>
      </c>
      <c r="E39" s="4379" t="s">
        <v>1661</v>
      </c>
      <c r="F39" s="4380">
        <v>22690370.146206245</v>
      </c>
      <c r="G39" s="4369" t="str">
        <f t="shared" si="2"/>
        <v>NA</v>
      </c>
      <c r="H39" s="4370">
        <f t="shared" ref="H39:H40" si="9">IF(SUM($F39)=0,"NA",K39*1000/$F39)</f>
        <v>7.8274493689989774E-3</v>
      </c>
      <c r="I39" s="4371">
        <f t="shared" ref="I39:I40" si="10">IF(SUM($F39)=0,"NA",L39*1000/$F39)</f>
        <v>2.2199609112269375E-4</v>
      </c>
      <c r="J39" s="4376" t="s">
        <v>274</v>
      </c>
      <c r="K39" s="4377">
        <v>177.60772348327529</v>
      </c>
      <c r="L39" s="4381">
        <v>5.037173478584851</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854711.46974565322</v>
      </c>
      <c r="G42" s="4365" t="str">
        <f t="shared" si="2"/>
        <v>NA</v>
      </c>
      <c r="H42" s="4366">
        <f t="shared" si="11"/>
        <v>0.23982899120575407</v>
      </c>
      <c r="I42" s="4367">
        <f t="shared" si="12"/>
        <v>4.4404013223777851E-3</v>
      </c>
      <c r="J42" s="4170" t="str">
        <f>IF(SUM(J43,J46)=0,"IE",SUM(J43,J46))</f>
        <v>IE</v>
      </c>
      <c r="K42" s="3057">
        <f>IF(SUM(K43,K46)=0,"NO",SUM(K43,K46))</f>
        <v>204.9845895610874</v>
      </c>
      <c r="L42" s="3106">
        <f>IF(SUM(L43,L46)=0,"NO",SUM(L43,L46))</f>
        <v>3.7952619405100587</v>
      </c>
    </row>
    <row r="43" spans="2:13" ht="18" customHeight="1" x14ac:dyDescent="0.2">
      <c r="B43" s="926" t="s">
        <v>1686</v>
      </c>
      <c r="C43" s="4361"/>
      <c r="D43" s="4362"/>
      <c r="E43" s="4382" t="s">
        <v>1661</v>
      </c>
      <c r="F43" s="4368">
        <f>IF(SUM(F44:F45)=0,"NO",SUM(F44:F45))</f>
        <v>854711.46974565322</v>
      </c>
      <c r="G43" s="4369" t="str">
        <f t="shared" si="2"/>
        <v>NA</v>
      </c>
      <c r="H43" s="4370">
        <f t="shared" ref="H43" si="13">IF(SUM($F43)=0,"NA",K43*1000/$F43)</f>
        <v>0.23982899120575407</v>
      </c>
      <c r="I43" s="4371">
        <f t="shared" ref="I43" si="14">IF(SUM($F43)=0,"NA",L43*1000/$F43)</f>
        <v>4.4404013223777851E-3</v>
      </c>
      <c r="J43" s="4170" t="str">
        <f>IF(SUM(J44:J45)=0,"IE",SUM(J44:J45))</f>
        <v>IE</v>
      </c>
      <c r="K43" s="4170">
        <f>IF(SUM(K44:K45)=0,"NO",SUM(K44:K45))</f>
        <v>204.9845895610874</v>
      </c>
      <c r="L43" s="4372">
        <f>IF(SUM(L44:L45)=0,"NO",SUM(L44:L45))</f>
        <v>3.7952619405100587</v>
      </c>
      <c r="M43" s="472"/>
    </row>
    <row r="44" spans="2:13" ht="18" customHeight="1" x14ac:dyDescent="0.2">
      <c r="B44" s="926"/>
      <c r="C44" s="2864" t="s">
        <v>1679</v>
      </c>
      <c r="D44" s="4373" t="s">
        <v>1219</v>
      </c>
      <c r="E44" s="4379" t="s">
        <v>1661</v>
      </c>
      <c r="F44" s="4380">
        <v>806156.58948076156</v>
      </c>
      <c r="G44" s="4369" t="str">
        <f t="shared" si="2"/>
        <v>NA</v>
      </c>
      <c r="H44" s="4370">
        <f t="shared" ref="H44:H46" si="15">IF(SUM($F44)=0,"NA",K44*1000/$F44)</f>
        <v>0.25302974410531304</v>
      </c>
      <c r="I44" s="4371">
        <f t="shared" ref="I44:I46" si="16">IF(SUM($F44)=0,"NA",L44*1000/$F44)</f>
        <v>4.6775359639468295E-3</v>
      </c>
      <c r="J44" s="4376" t="s">
        <v>274</v>
      </c>
      <c r="K44" s="4377">
        <v>203.98159554512898</v>
      </c>
      <c r="L44" s="4381">
        <v>3.7708264398689826</v>
      </c>
      <c r="M44" s="472"/>
    </row>
    <row r="45" spans="2:13" ht="18" customHeight="1" x14ac:dyDescent="0.2">
      <c r="B45" s="926"/>
      <c r="C45" s="2864" t="s">
        <v>1342</v>
      </c>
      <c r="D45" s="4373" t="s">
        <v>1219</v>
      </c>
      <c r="E45" s="4379" t="s">
        <v>1661</v>
      </c>
      <c r="F45" s="4380">
        <v>48554.880264891683</v>
      </c>
      <c r="G45" s="4369" t="str">
        <f t="shared" si="2"/>
        <v>NA</v>
      </c>
      <c r="H45" s="4370">
        <f t="shared" si="15"/>
        <v>2.0656914618809977E-2</v>
      </c>
      <c r="I45" s="4371">
        <f t="shared" si="16"/>
        <v>5.0325529602314142E-4</v>
      </c>
      <c r="J45" s="4376" t="s">
        <v>274</v>
      </c>
      <c r="K45" s="4377">
        <v>1.002994015958409</v>
      </c>
      <c r="L45" s="4381">
        <v>2.4435500641076253E-2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455190.22409972851</v>
      </c>
      <c r="G48" s="4355" t="str">
        <f t="shared" si="2"/>
        <v>NA</v>
      </c>
      <c r="H48" s="4356">
        <f t="shared" si="17"/>
        <v>2.6656429195171458E-2</v>
      </c>
      <c r="I48" s="4357">
        <f t="shared" si="18"/>
        <v>6.2039512652659144E-4</v>
      </c>
      <c r="J48" s="4358" t="str">
        <f>IF(SUM(J49,J54)=0,"IE",SUM(J49,J54))</f>
        <v>IE</v>
      </c>
      <c r="K48" s="4359">
        <f>IF(SUM(K49,K54)=0,"NO",SUM(K49,K54))</f>
        <v>12.133745979048641</v>
      </c>
      <c r="L48" s="4360">
        <f>IF(SUM(L49,L54)=0,"NO",SUM(L49,L54))</f>
        <v>0.2823977966740186</v>
      </c>
      <c r="M48" s="472"/>
    </row>
    <row r="49" spans="2:13" ht="18" customHeight="1" x14ac:dyDescent="0.2">
      <c r="B49" s="906" t="s">
        <v>1689</v>
      </c>
      <c r="C49" s="4361"/>
      <c r="D49" s="4362"/>
      <c r="E49" s="4382" t="s">
        <v>1661</v>
      </c>
      <c r="F49" s="4364">
        <f>IF(SUM(F50,F52)=0,"NO",SUM(F50,F52))</f>
        <v>455190.22409972851</v>
      </c>
      <c r="G49" s="4365" t="str">
        <f t="shared" si="2"/>
        <v>NA</v>
      </c>
      <c r="H49" s="4366">
        <f t="shared" si="17"/>
        <v>2.6656429195171458E-2</v>
      </c>
      <c r="I49" s="4367">
        <f t="shared" si="18"/>
        <v>6.2039512652659144E-4</v>
      </c>
      <c r="J49" s="4170" t="str">
        <f>IF(SUM(J50,J52)=0,"IE",SUM(J50,J52))</f>
        <v>IE</v>
      </c>
      <c r="K49" s="3057">
        <f>IF(SUM(K50,K52)=0,"NO",SUM(K50,K52))</f>
        <v>12.133745979048641</v>
      </c>
      <c r="L49" s="3106">
        <f>IF(SUM(L50,L52)=0,"NO",SUM(L50,L52))</f>
        <v>0.2823977966740186</v>
      </c>
    </row>
    <row r="50" spans="2:13" ht="18" customHeight="1" x14ac:dyDescent="0.2">
      <c r="B50" s="926" t="s">
        <v>1690</v>
      </c>
      <c r="C50" s="4361"/>
      <c r="D50" s="4362"/>
      <c r="E50" s="4382" t="s">
        <v>1661</v>
      </c>
      <c r="F50" s="4368">
        <f>F51</f>
        <v>455190.22409972851</v>
      </c>
      <c r="G50" s="4369" t="str">
        <f t="shared" si="2"/>
        <v>NA</v>
      </c>
      <c r="H50" s="4370">
        <f t="shared" si="17"/>
        <v>2.6656429195171458E-2</v>
      </c>
      <c r="I50" s="4371">
        <f t="shared" si="18"/>
        <v>6.2039512652659144E-4</v>
      </c>
      <c r="J50" s="4170" t="str">
        <f>J51</f>
        <v>IE</v>
      </c>
      <c r="K50" s="4170">
        <f>K51</f>
        <v>12.133745979048641</v>
      </c>
      <c r="L50" s="4372">
        <f>L51</f>
        <v>0.2823977966740186</v>
      </c>
      <c r="M50" s="472"/>
    </row>
    <row r="51" spans="2:13" ht="18" customHeight="1" x14ac:dyDescent="0.2">
      <c r="B51" s="926"/>
      <c r="C51" s="2864" t="s">
        <v>1342</v>
      </c>
      <c r="D51" s="4373" t="s">
        <v>1219</v>
      </c>
      <c r="E51" s="4379" t="s">
        <v>1661</v>
      </c>
      <c r="F51" s="4380">
        <v>455190.22409972851</v>
      </c>
      <c r="G51" s="4369" t="str">
        <f t="shared" si="2"/>
        <v>NA</v>
      </c>
      <c r="H51" s="4370">
        <f t="shared" si="17"/>
        <v>2.6656429195171458E-2</v>
      </c>
      <c r="I51" s="4371">
        <f t="shared" si="18"/>
        <v>6.2039512652659144E-4</v>
      </c>
      <c r="J51" s="4376" t="s">
        <v>274</v>
      </c>
      <c r="K51" s="4377">
        <v>12.133745979048641</v>
      </c>
      <c r="L51" s="4381">
        <v>0.2823977966740186</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20713.862361775373</v>
      </c>
      <c r="G59" s="4355" t="str">
        <f t="shared" si="2"/>
        <v>NA</v>
      </c>
      <c r="H59" s="4356">
        <f t="shared" si="3"/>
        <v>0.32277382108789454</v>
      </c>
      <c r="I59" s="4357">
        <f t="shared" si="4"/>
        <v>5.9668327203887175E-3</v>
      </c>
      <c r="J59" s="4358" t="str">
        <f>IF(SUM(J60,J65)=0,"IE",SUM(J60,J65))</f>
        <v>IE</v>
      </c>
      <c r="K59" s="4359">
        <f>IF(SUM(K60,K65)=0,"NO",SUM(K60,K65))</f>
        <v>6.6858925039989572</v>
      </c>
      <c r="L59" s="4360">
        <f>IF(SUM(L60,L65)=0,"NO",SUM(L60,L65))</f>
        <v>0.12359615170586961</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20713.862361775373</v>
      </c>
      <c r="G65" s="4365" t="str">
        <f t="shared" si="2"/>
        <v>NA</v>
      </c>
      <c r="H65" s="4366">
        <f t="shared" si="3"/>
        <v>0.32277382108789454</v>
      </c>
      <c r="I65" s="4367">
        <f t="shared" si="4"/>
        <v>5.9668327203887175E-3</v>
      </c>
      <c r="J65" s="4170" t="str">
        <f>IF(SUM(J66,J68)=0,"IE",SUM(J66,J68))</f>
        <v>IE</v>
      </c>
      <c r="K65" s="3057">
        <f>IF(SUM(K66,K68)=0,"NO",SUM(K66,K68))</f>
        <v>6.6858925039989572</v>
      </c>
      <c r="L65" s="3106">
        <f>IF(SUM(L66,L68)=0,"NO",SUM(L66,L68))</f>
        <v>0.12359615170586961</v>
      </c>
    </row>
    <row r="66" spans="2:13" ht="18" customHeight="1" x14ac:dyDescent="0.2">
      <c r="B66" s="926" t="s">
        <v>1700</v>
      </c>
      <c r="C66" s="4361"/>
      <c r="D66" s="4362"/>
      <c r="E66" s="4382" t="s">
        <v>1661</v>
      </c>
      <c r="F66" s="4368">
        <f>F67</f>
        <v>20713.862361775373</v>
      </c>
      <c r="G66" s="4369" t="str">
        <f t="shared" si="2"/>
        <v>NA</v>
      </c>
      <c r="H66" s="4370">
        <f t="shared" si="3"/>
        <v>0.32277382108789454</v>
      </c>
      <c r="I66" s="4371">
        <f t="shared" si="4"/>
        <v>5.9668327203887175E-3</v>
      </c>
      <c r="J66" s="4170" t="str">
        <f>J67</f>
        <v>IE</v>
      </c>
      <c r="K66" s="4170">
        <f>K67</f>
        <v>6.6858925039989572</v>
      </c>
      <c r="L66" s="4372">
        <f>L67</f>
        <v>0.12359615170586961</v>
      </c>
      <c r="M66" s="472"/>
    </row>
    <row r="67" spans="2:13" ht="18" customHeight="1" x14ac:dyDescent="0.2">
      <c r="B67" s="926"/>
      <c r="C67" s="2864" t="s">
        <v>1679</v>
      </c>
      <c r="D67" s="4373" t="s">
        <v>1219</v>
      </c>
      <c r="E67" s="4379" t="s">
        <v>1661</v>
      </c>
      <c r="F67" s="4380">
        <v>20713.862361775373</v>
      </c>
      <c r="G67" s="4369" t="str">
        <f t="shared" si="2"/>
        <v>NA</v>
      </c>
      <c r="H67" s="4370">
        <f t="shared" ref="H67:H68" si="23">IF(SUM($F67)=0,"NA",K67*1000/$F67)</f>
        <v>0.32277382108789454</v>
      </c>
      <c r="I67" s="4371">
        <f t="shared" ref="I67:I68" si="24">IF(SUM($F67)=0,"NA",L67*1000/$F67)</f>
        <v>5.9668327203887175E-3</v>
      </c>
      <c r="J67" s="4376" t="s">
        <v>274</v>
      </c>
      <c r="K67" s="4377">
        <v>6.6858925039989572</v>
      </c>
      <c r="L67" s="4381">
        <v>0.12359615170586961</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9" t="s">
        <v>1707</v>
      </c>
      <c r="C95" s="4510"/>
      <c r="D95" s="4510"/>
      <c r="E95" s="4510"/>
      <c r="F95" s="4510"/>
      <c r="G95" s="4510"/>
      <c r="H95" s="4510"/>
      <c r="I95" s="4510"/>
      <c r="J95" s="4510"/>
      <c r="K95" s="4510"/>
      <c r="L95" s="4511"/>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2459</v>
      </c>
      <c r="H1" s="226"/>
      <c r="I1" s="2"/>
      <c r="J1" s="2"/>
    </row>
    <row r="2" spans="1:10" ht="18.75" x14ac:dyDescent="0.25">
      <c r="B2" s="13" t="s">
        <v>1709</v>
      </c>
      <c r="C2" s="159"/>
      <c r="D2" s="159"/>
      <c r="E2" s="159"/>
      <c r="F2" s="159"/>
      <c r="G2" s="14" t="s">
        <v>2460</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4181.2398825306163</v>
      </c>
      <c r="D10" s="3463">
        <f>IF(SUM(D11,D16:D17)=0,"NO",SUM(D11,D16:D17))</f>
        <v>-2234.7013315378381</v>
      </c>
      <c r="E10" s="3464"/>
      <c r="F10" s="3465">
        <f>IF(SUM(F11,F16:F17)=0,"NO",SUM(F11,F16:F17))</f>
        <v>1946.538550992778</v>
      </c>
      <c r="G10" s="3466">
        <f>IF(SUM(G11,G16:G17)=0,"NO",SUM(G11,G16:G17))</f>
        <v>-7137.3080203068521</v>
      </c>
      <c r="H10" s="226"/>
      <c r="I10" s="2"/>
      <c r="J10" s="2"/>
    </row>
    <row r="11" spans="1:10" ht="18" customHeight="1" x14ac:dyDescent="0.2">
      <c r="B11" s="592" t="s">
        <v>1722</v>
      </c>
      <c r="C11" s="3467">
        <f>IF(SUM(C13:C15)=0,"NO",SUM(C13:C15))</f>
        <v>1586.951737736814</v>
      </c>
      <c r="D11" s="3468">
        <f>IF(SUM(D13:D15)=0,"NO",SUM(D13:D15))</f>
        <v>-489.46415906347846</v>
      </c>
      <c r="E11" s="3469"/>
      <c r="F11" s="3470">
        <f>IF(SUM(F13:F15)=0,"NO",SUM(F13:F15))</f>
        <v>1097.4875786733355</v>
      </c>
      <c r="G11" s="3471">
        <f>IF(SUM(G13:G15)=0,"NO",SUM(G13:G15))</f>
        <v>-4024.1211218022299</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1225.8474807376442</v>
      </c>
      <c r="D13" s="3476">
        <f>F13-C13</f>
        <v>-309.93794239113413</v>
      </c>
      <c r="E13" s="3477" t="s">
        <v>205</v>
      </c>
      <c r="F13" s="3478">
        <f>G13/(-44/12)</f>
        <v>915.90953834651009</v>
      </c>
      <c r="G13" s="3479">
        <v>-3358.3349739372034</v>
      </c>
      <c r="H13" s="226"/>
      <c r="I13" s="2"/>
      <c r="J13" s="2"/>
    </row>
    <row r="14" spans="1:10" ht="18" customHeight="1" x14ac:dyDescent="0.2">
      <c r="B14" s="1192" t="s">
        <v>1724</v>
      </c>
      <c r="C14" s="3480">
        <v>361.10425699916976</v>
      </c>
      <c r="D14" s="3481">
        <f>F14-C14</f>
        <v>-179.52621667234433</v>
      </c>
      <c r="E14" s="3202" t="s">
        <v>205</v>
      </c>
      <c r="F14" s="3482">
        <f>G14/(-44/12)</f>
        <v>181.57804032682543</v>
      </c>
      <c r="G14" s="3479">
        <v>-665.78614786502658</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1316.3890990000002</v>
      </c>
      <c r="D16" s="3481">
        <f>F16-C16</f>
        <v>-1319.6441804815313</v>
      </c>
      <c r="E16" s="3202" t="s">
        <v>205</v>
      </c>
      <c r="F16" s="3482">
        <f>G16/(-44/12)</f>
        <v>-3.255081481530965</v>
      </c>
      <c r="G16" s="3479">
        <v>11.935298765613538</v>
      </c>
      <c r="H16" s="226"/>
      <c r="I16" s="2"/>
      <c r="J16" s="2"/>
    </row>
    <row r="17" spans="2:10" ht="18" customHeight="1" x14ac:dyDescent="0.2">
      <c r="B17" s="1196" t="s">
        <v>1727</v>
      </c>
      <c r="C17" s="3484">
        <f>C18</f>
        <v>1277.8990457938019</v>
      </c>
      <c r="D17" s="3485">
        <f t="shared" ref="D17:F17" si="0">D18</f>
        <v>-425.5929919928285</v>
      </c>
      <c r="E17" s="3486"/>
      <c r="F17" s="3193">
        <f t="shared" si="0"/>
        <v>852.30605380097336</v>
      </c>
      <c r="G17" s="3479">
        <f>-F17*44/12</f>
        <v>-3125.1221972702356</v>
      </c>
      <c r="H17" s="226"/>
      <c r="I17" s="2"/>
      <c r="J17" s="2"/>
    </row>
    <row r="18" spans="2:10" ht="18" customHeight="1" thickBot="1" x14ac:dyDescent="0.25">
      <c r="B18" s="547" t="s">
        <v>1728</v>
      </c>
      <c r="C18" s="3487">
        <v>1277.8990457938019</v>
      </c>
      <c r="D18" s="3488">
        <f>F18-C18</f>
        <v>-425.5929919928285</v>
      </c>
      <c r="E18" s="3205" t="s">
        <v>205</v>
      </c>
      <c r="F18" s="3489">
        <f>G18/(-44/12)</f>
        <v>852.30605380097336</v>
      </c>
      <c r="G18" s="3490">
        <v>-3125.1221972702356</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4" t="s">
        <v>1764</v>
      </c>
      <c r="C99" s="4535"/>
      <c r="D99" s="4535"/>
      <c r="E99" s="4535"/>
      <c r="F99" s="4535"/>
      <c r="G99" s="4536"/>
      <c r="H99" s="2"/>
      <c r="I99" s="2"/>
    </row>
    <row r="100" spans="2:10" ht="26.25" customHeight="1" thickBot="1" x14ac:dyDescent="0.25">
      <c r="B100" s="4537"/>
      <c r="C100" s="4538"/>
      <c r="D100" s="4538"/>
      <c r="E100" s="4538"/>
      <c r="F100" s="4538"/>
      <c r="G100" s="4539"/>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2459</v>
      </c>
      <c r="Q1" s="84"/>
    </row>
    <row r="2" spans="2:25" ht="18.75" x14ac:dyDescent="0.25">
      <c r="B2" s="13" t="s">
        <v>1709</v>
      </c>
      <c r="N2" s="14" t="s">
        <v>2460</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4" t="s">
        <v>1793</v>
      </c>
      <c r="C85" s="4535"/>
      <c r="D85" s="4535"/>
      <c r="E85" s="4535"/>
      <c r="F85" s="4535"/>
      <c r="G85" s="4535"/>
      <c r="H85" s="4535"/>
      <c r="I85" s="4535"/>
      <c r="J85" s="4535"/>
      <c r="K85" s="4535"/>
      <c r="L85" s="4535"/>
      <c r="M85" s="4535"/>
      <c r="N85" s="4536"/>
    </row>
    <row r="86" spans="2:14" ht="13.5" thickBot="1" x14ac:dyDescent="0.25">
      <c r="B86" s="4537"/>
      <c r="C86" s="4538"/>
      <c r="D86" s="4538"/>
      <c r="E86" s="4538"/>
      <c r="F86" s="4538"/>
      <c r="G86" s="4538"/>
      <c r="H86" s="4538"/>
      <c r="I86" s="4538"/>
      <c r="J86" s="4538"/>
      <c r="K86" s="4538"/>
      <c r="L86" s="4538"/>
      <c r="M86" s="4538"/>
      <c r="N86" s="4539"/>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workbookViewId="0">
      <selection activeCell="I11" sqref="I11"/>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2459</v>
      </c>
    </row>
    <row r="2" spans="1:10" ht="15.75" customHeight="1" x14ac:dyDescent="0.2">
      <c r="B2" s="138" t="s">
        <v>162</v>
      </c>
      <c r="I2" s="2"/>
      <c r="J2" s="14" t="s">
        <v>2460</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40"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1"/>
      <c r="C9" s="1879" t="s">
        <v>171</v>
      </c>
      <c r="D9" s="1880"/>
      <c r="E9" s="1880"/>
      <c r="F9" s="1880"/>
      <c r="G9" s="1880"/>
      <c r="H9" s="1880"/>
      <c r="I9" s="1881"/>
      <c r="J9" s="1803" t="s">
        <v>921</v>
      </c>
    </row>
    <row r="10" spans="1:10" ht="18" customHeight="1" thickTop="1" thickBot="1" x14ac:dyDescent="0.25">
      <c r="B10" s="1502" t="s">
        <v>1799</v>
      </c>
      <c r="C10" s="1882">
        <f>IF(SUM(C11,C15,C18,C21)=0,"NO",SUM(C11,C15,C18,C21))</f>
        <v>73.841444217785693</v>
      </c>
      <c r="D10" s="1882">
        <f t="shared" ref="D10:I10" si="0">IF(SUM(D11,D15,D18,D21)=0,"NO",SUM(D11,D15,D18,D21))</f>
        <v>829.68013553291394</v>
      </c>
      <c r="E10" s="1882">
        <f t="shared" si="0"/>
        <v>0.59380049335514651</v>
      </c>
      <c r="F10" s="1882" t="str">
        <f t="shared" si="0"/>
        <v>NO</v>
      </c>
      <c r="G10" s="1882" t="str">
        <f t="shared" si="0"/>
        <v>NO</v>
      </c>
      <c r="H10" s="1882">
        <f t="shared" si="0"/>
        <v>471.31226339718177</v>
      </c>
      <c r="I10" s="1883" t="str">
        <f t="shared" si="0"/>
        <v>NO</v>
      </c>
      <c r="J10" s="4487">
        <f>IF(SUM(C10:E10)=0,"NO",SUM(C10,IFERROR(28*D10,0),IFERROR(265*E10,0)))</f>
        <v>23462.242369878491</v>
      </c>
    </row>
    <row r="11" spans="1:10" ht="18" customHeight="1" x14ac:dyDescent="0.2">
      <c r="B11" s="1503" t="s">
        <v>1800</v>
      </c>
      <c r="C11" s="2893"/>
      <c r="D11" s="2894">
        <f>IF(SUM(D12:D14)=0,"NO",SUM(D12:D14))</f>
        <v>609.44937919462336</v>
      </c>
      <c r="E11" s="2893"/>
      <c r="F11" s="1886" t="str">
        <f>IF(SUM(F12:F14)=0,"NO",SUM(F12:F14))</f>
        <v>NO</v>
      </c>
      <c r="G11" s="1886" t="str">
        <f t="shared" ref="G11:H11" si="1">IF(SUM(G12:G14)=0,"NO",SUM(G12:G14))</f>
        <v>NO</v>
      </c>
      <c r="H11" s="1886">
        <f t="shared" si="1"/>
        <v>2.7188245392397148</v>
      </c>
      <c r="I11" s="2994"/>
      <c r="J11" s="1886">
        <f t="shared" ref="J11:J18" si="2">IF(SUM(C11:E11)=0,"NO",SUM(C11,IFERROR(28*D11,0),IFERROR(265*E11,0)))</f>
        <v>17064.582617449454</v>
      </c>
    </row>
    <row r="12" spans="1:10" ht="18" customHeight="1" x14ac:dyDescent="0.2">
      <c r="B12" s="1269" t="s">
        <v>1801</v>
      </c>
      <c r="C12" s="1885"/>
      <c r="D12" s="1884">
        <f>IF(SUM(Table5.A!F10:H10)=0,"NO",SUM(Table5.A!F10))</f>
        <v>609.44937919462336</v>
      </c>
      <c r="E12" s="1885"/>
      <c r="F12" s="2916" t="s">
        <v>205</v>
      </c>
      <c r="G12" s="2916" t="s">
        <v>205</v>
      </c>
      <c r="H12" s="2916">
        <v>2.7188245392397148</v>
      </c>
      <c r="I12" s="2940"/>
      <c r="J12" s="1887">
        <f t="shared" si="2"/>
        <v>17064.582617449454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0.35026726298999472</v>
      </c>
      <c r="E15" s="2892">
        <f t="shared" ref="E15" si="3">IF(SUM(E16:E17)=0,"NO",SUM(E16:E17))</f>
        <v>4.4834209662719324E-2</v>
      </c>
      <c r="F15" s="2892" t="s">
        <v>1805</v>
      </c>
      <c r="G15" s="2892" t="s">
        <v>1805</v>
      </c>
      <c r="H15" s="2892" t="s">
        <v>1805</v>
      </c>
      <c r="I15" s="2997"/>
      <c r="J15" s="2884">
        <f t="shared" si="2"/>
        <v>21.688548924340473</v>
      </c>
    </row>
    <row r="16" spans="1:10" ht="18" customHeight="1" x14ac:dyDescent="0.2">
      <c r="B16" s="1891" t="s">
        <v>1806</v>
      </c>
      <c r="C16" s="2998"/>
      <c r="D16" s="1884">
        <f>Table5.B!F10</f>
        <v>0.35026726298999472</v>
      </c>
      <c r="E16" s="1884">
        <f>Table5.B!G10</f>
        <v>4.4834209662719324E-2</v>
      </c>
      <c r="F16" s="699" t="s">
        <v>205</v>
      </c>
      <c r="G16" s="699" t="s">
        <v>205</v>
      </c>
      <c r="H16" s="699" t="s">
        <v>205</v>
      </c>
      <c r="I16" s="2940"/>
      <c r="J16" s="1887">
        <f t="shared" si="2"/>
        <v>21.688548924340473</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73.841444217785693</v>
      </c>
      <c r="D18" s="2883">
        <f>IF(SUM(D19:D20)=0,"NO,NE",SUM(D19:D20))</f>
        <v>9.2671199999999995E-2</v>
      </c>
      <c r="E18" s="2883">
        <f>IF(SUM(E19:E20)=0,"NO,NE",SUM(E19:E20))</f>
        <v>3.7979999999999993E-2</v>
      </c>
      <c r="F18" s="2883" t="s">
        <v>205</v>
      </c>
      <c r="G18" s="2883" t="s">
        <v>205</v>
      </c>
      <c r="H18" s="2883" t="s">
        <v>205</v>
      </c>
      <c r="I18" s="2883" t="s">
        <v>205</v>
      </c>
      <c r="J18" s="2885">
        <f t="shared" si="2"/>
        <v>86.500937817785697</v>
      </c>
    </row>
    <row r="19" spans="2:12" ht="18" customHeight="1" x14ac:dyDescent="0.2">
      <c r="B19" s="1269" t="s">
        <v>1809</v>
      </c>
      <c r="C19" s="1884">
        <f>Table5.C!G10</f>
        <v>73.841444217785693</v>
      </c>
      <c r="D19" s="1884">
        <f>Table5.C!H10</f>
        <v>9.2671199999999995E-2</v>
      </c>
      <c r="E19" s="1884">
        <f>Table5.C!I10</f>
        <v>3.7979999999999993E-2</v>
      </c>
      <c r="F19" s="700" t="s">
        <v>205</v>
      </c>
      <c r="G19" s="700" t="s">
        <v>205</v>
      </c>
      <c r="H19" s="700" t="s">
        <v>205</v>
      </c>
      <c r="I19" s="700" t="s">
        <v>205</v>
      </c>
      <c r="J19" s="1887">
        <f>IF(SUM(C19:E19)=0,"NO",SUM(C19,IFERROR(28*D19,0),IFERROR(265*E19,0)))</f>
        <v>86.500937817785697</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219.7878178753005</v>
      </c>
      <c r="E21" s="2883">
        <f t="shared" ref="E21:H21" si="5">IF(SUM(E22:E24)=0,"NO",SUM(E22:E24))</f>
        <v>0.51098628369242716</v>
      </c>
      <c r="F21" s="2883" t="str">
        <f t="shared" si="5"/>
        <v>NO</v>
      </c>
      <c r="G21" s="2883" t="str">
        <f t="shared" si="5"/>
        <v>NO</v>
      </c>
      <c r="H21" s="2883">
        <f t="shared" si="5"/>
        <v>468.59343885794203</v>
      </c>
      <c r="I21" s="3000"/>
      <c r="J21" s="2885">
        <f t="shared" si="4"/>
        <v>6289.4702656869067</v>
      </c>
    </row>
    <row r="22" spans="2:12" ht="18" customHeight="1" x14ac:dyDescent="0.2">
      <c r="B22" s="1269" t="s">
        <v>1812</v>
      </c>
      <c r="C22" s="1894"/>
      <c r="D22" s="1884">
        <f>IF(SUM(Table5.D!H10)=0,"NO",SUM(Table5.D!H10))</f>
        <v>81.312085809911764</v>
      </c>
      <c r="E22" s="1884">
        <f>IF(SUM(Table5.D!I10:J10)=0,"NO",SUM(Table5.D!I10:J10))</f>
        <v>0.51098628369242716</v>
      </c>
      <c r="F22" s="2916" t="s">
        <v>205</v>
      </c>
      <c r="G22" s="2916" t="s">
        <v>205</v>
      </c>
      <c r="H22" s="2916">
        <v>20.421699176521411</v>
      </c>
      <c r="I22" s="2940"/>
      <c r="J22" s="1887">
        <f t="shared" si="4"/>
        <v>2412.1497678560227</v>
      </c>
    </row>
    <row r="23" spans="2:12" ht="18" customHeight="1" x14ac:dyDescent="0.2">
      <c r="B23" s="1269" t="s">
        <v>1813</v>
      </c>
      <c r="C23" s="1894"/>
      <c r="D23" s="1884">
        <f>IF(SUM(Table5.D!H11)=0,"NO",SUM(Table5.D!H11))</f>
        <v>138.47573206538874</v>
      </c>
      <c r="E23" s="1884" t="str">
        <f>IF(SUM(Table5.D!I11:J11)=0,"IE",SUM(Table5.D!I11:J11))</f>
        <v>IE</v>
      </c>
      <c r="F23" s="2916" t="s">
        <v>205</v>
      </c>
      <c r="G23" s="2916" t="s">
        <v>205</v>
      </c>
      <c r="H23" s="2916">
        <v>448.1717396814206</v>
      </c>
      <c r="I23" s="2940"/>
      <c r="J23" s="1887">
        <f t="shared" si="4"/>
        <v>3877.320497830885</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186837.52681501082</v>
      </c>
      <c r="D28" s="1903"/>
      <c r="E28" s="1903"/>
      <c r="F28" s="1903"/>
      <c r="G28" s="1903"/>
      <c r="H28" s="1903"/>
      <c r="I28" s="1904"/>
      <c r="J28" s="1907"/>
      <c r="K28"/>
      <c r="L28"/>
    </row>
    <row r="29" spans="2:12" ht="18" customHeight="1" x14ac:dyDescent="0.2">
      <c r="B29" s="4215" t="s">
        <v>1819</v>
      </c>
      <c r="C29" s="1905">
        <v>4572.0061058987221</v>
      </c>
      <c r="D29" s="1906"/>
      <c r="E29" s="1906"/>
      <c r="F29" s="1906"/>
      <c r="G29" s="1906"/>
      <c r="H29" s="1906"/>
      <c r="I29" s="1907"/>
      <c r="J29" s="1907"/>
      <c r="K29"/>
      <c r="L29"/>
    </row>
    <row r="30" spans="2:12" ht="18" customHeight="1" thickBot="1" x14ac:dyDescent="0.25">
      <c r="B30" s="4216" t="s">
        <v>1820</v>
      </c>
      <c r="C30" s="1899">
        <v>3645.2914097059206</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workbookViewId="0">
      <selection activeCell="E10" sqref="E10:E11"/>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2459</v>
      </c>
      <c r="J1" s="2"/>
      <c r="K1" s="2"/>
    </row>
    <row r="2" spans="1:13" ht="15.75" customHeight="1" x14ac:dyDescent="0.2">
      <c r="B2" s="138" t="s">
        <v>1823</v>
      </c>
      <c r="H2" s="14" t="s">
        <v>2460</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16500.469759395539</v>
      </c>
      <c r="D10" s="3678"/>
      <c r="E10" s="4121">
        <f>IF(SUM(C10)=0,"NA",(F10-SUM(G10:H10))/C10)</f>
        <v>3.7073824578879484E-2</v>
      </c>
      <c r="F10" s="3679">
        <f>F11</f>
        <v>609.44937919462336</v>
      </c>
      <c r="G10" s="3679" t="str">
        <f>G11</f>
        <v>IE</v>
      </c>
      <c r="H10" s="3680">
        <f>H11</f>
        <v>-2.2861421343126564</v>
      </c>
      <c r="I10" s="44"/>
    </row>
    <row r="11" spans="1:13" ht="18" customHeight="1" x14ac:dyDescent="0.2">
      <c r="B11" s="1753" t="s">
        <v>1834</v>
      </c>
      <c r="C11" s="3681">
        <f>IF(SUM(C13:C16)=0,"NO",SUM(C13:C16))</f>
        <v>16500.469759395539</v>
      </c>
      <c r="D11" s="3681">
        <v>1</v>
      </c>
      <c r="E11" s="4121">
        <f>IF(SUM(C11)=0,"NA",(F11-SUM(G11:H11))/C11)</f>
        <v>3.7073824578879484E-2</v>
      </c>
      <c r="F11" s="4227">
        <f>IF(SUM(F13:F16)=0,"NO",SUM(F13:F16))</f>
        <v>609.44937919462336</v>
      </c>
      <c r="G11" s="3682" t="s">
        <v>274</v>
      </c>
      <c r="H11" s="3683">
        <v>-2.2861421343126564</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8802.5002895194029</v>
      </c>
      <c r="D13" s="3688">
        <v>1</v>
      </c>
      <c r="E13" s="4218" t="s">
        <v>274</v>
      </c>
      <c r="F13" s="3688">
        <v>20.77720095264694</v>
      </c>
      <c r="G13" s="3689"/>
      <c r="H13" s="3690"/>
      <c r="I13" s="44"/>
    </row>
    <row r="14" spans="1:13" ht="18" customHeight="1" x14ac:dyDescent="0.2">
      <c r="B14" s="1754" t="s">
        <v>1837</v>
      </c>
      <c r="C14" s="3688">
        <v>3058.0764112410779</v>
      </c>
      <c r="D14" s="3688">
        <v>1</v>
      </c>
      <c r="E14" s="3681" t="s">
        <v>274</v>
      </c>
      <c r="F14" s="3688">
        <v>224.85380781237288</v>
      </c>
      <c r="G14" s="3689"/>
      <c r="H14" s="3690"/>
      <c r="I14" s="44"/>
    </row>
    <row r="15" spans="1:13" ht="18" customHeight="1" x14ac:dyDescent="0.2">
      <c r="B15" s="1754" t="s">
        <v>1838</v>
      </c>
      <c r="C15" s="3688">
        <v>4639.893058635058</v>
      </c>
      <c r="D15" s="3688">
        <v>1</v>
      </c>
      <c r="E15" s="4121" t="s">
        <v>274</v>
      </c>
      <c r="F15" s="3688">
        <v>363.81837042960353</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2459</v>
      </c>
    </row>
    <row r="2" spans="1:9" ht="15.75" x14ac:dyDescent="0.2">
      <c r="B2" s="818" t="s">
        <v>1843</v>
      </c>
      <c r="C2" s="818"/>
      <c r="I2" s="14" t="s">
        <v>2460</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467.02301731999302</v>
      </c>
      <c r="D10" s="1938">
        <f>IF(SUM($C10)=0,"NA",F10*1000/$C10)</f>
        <v>0.74999999999999989</v>
      </c>
      <c r="E10" s="1938">
        <f>IF(SUM($C10)=0,"NA",G10*1000/$C10)</f>
        <v>9.5999999999999988E-2</v>
      </c>
      <c r="F10" s="1934">
        <f>IF(SUM(F11:F12)=0,"NO",SUM(F11:F12))</f>
        <v>0.35026726298999472</v>
      </c>
      <c r="G10" s="1934">
        <f>IF(SUM(G11:G12)=0,"NO",SUM(G11:G12))</f>
        <v>4.4834209662719324E-2</v>
      </c>
      <c r="H10" s="1935"/>
      <c r="I10" s="1936"/>
    </row>
    <row r="11" spans="1:9" ht="18" customHeight="1" x14ac:dyDescent="0.2">
      <c r="B11" s="1525" t="s">
        <v>1851</v>
      </c>
      <c r="C11" s="1937">
        <v>467.02301731999302</v>
      </c>
      <c r="D11" s="1938">
        <f>IF(SUM($C11)=0,"NA",F11*1000/$C11)</f>
        <v>0.74999999999999989</v>
      </c>
      <c r="E11" s="1938">
        <f>IF(SUM($C11)=0,"NA",G11*1000/$C11)</f>
        <v>9.5999999999999988E-2</v>
      </c>
      <c r="F11" s="1937">
        <v>0.35026726298999472</v>
      </c>
      <c r="G11" s="1937">
        <v>4.4834209662719324E-2</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4" sqref="C24"/>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2459</v>
      </c>
    </row>
    <row r="2" spans="1:9" ht="15.75" x14ac:dyDescent="0.2">
      <c r="B2" s="818" t="s">
        <v>1857</v>
      </c>
      <c r="C2" s="214"/>
      <c r="D2" s="214"/>
      <c r="E2" s="214"/>
      <c r="F2" s="214"/>
      <c r="G2" s="214"/>
      <c r="H2" s="214"/>
      <c r="I2" s="14" t="s">
        <v>2460</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268.1199576626932</v>
      </c>
      <c r="D10" s="2898">
        <f t="shared" ref="D10:D20" si="0">IF(SUM(G10)=0,"NA",G10*1000/$C10)</f>
        <v>275.40450498907472</v>
      </c>
      <c r="E10" s="2898">
        <f t="shared" ref="E10:E20" si="1">IF(SUM(H10)=0,"NA",H10*1000/$C10)</f>
        <v>0.34563335310004967</v>
      </c>
      <c r="F10" s="2898">
        <f t="shared" ref="F10:F20" si="2">IF(SUM(I10)=0,"NA",I10*1000/$C10)</f>
        <v>0.14165301356559409</v>
      </c>
      <c r="G10" s="2898">
        <f>IF(SUM(G11,G21)=0,"NO",SUM(G11,G21))</f>
        <v>73.841444217785693</v>
      </c>
      <c r="H10" s="2898">
        <f>IF(SUM(H11,H21)=0,"NO,NE",SUM(H11,H21))</f>
        <v>9.2671199999999995E-2</v>
      </c>
      <c r="I10" s="2899">
        <f>IF(SUM(I11,I21)=0,"NO,NE",SUM(I11,I21))</f>
        <v>3.7979999999999993E-2</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268.1199576626932</v>
      </c>
      <c r="D21" s="116">
        <f>IF(SUM(G21)=0,"NA",G21*1000/$C21)</f>
        <v>275.40450498907472</v>
      </c>
      <c r="E21" s="116">
        <f t="shared" ref="E21:F21" si="3">IF(SUM(H21)=0,"NA",H21*1000/$C21)</f>
        <v>0.34563335310004967</v>
      </c>
      <c r="F21" s="116">
        <f t="shared" si="3"/>
        <v>0.14165301356559409</v>
      </c>
      <c r="G21" s="2900">
        <f>IF(SUM(G22:G23)=0,"NO",SUM(G22:G23))</f>
        <v>73.841444217785693</v>
      </c>
      <c r="H21" s="116">
        <f>IF(SUM(H22:H23)=0,"NO,NE",SUM(H22:H23))</f>
        <v>9.2671199999999995E-2</v>
      </c>
      <c r="I21" s="2901">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900">
        <f>IF(SUM(C25:C30)=0,"NO",SUM(C25:C30))</f>
        <v>14.919957662693184</v>
      </c>
      <c r="D23" s="116">
        <f t="shared" si="4"/>
        <v>1464.5513554253205</v>
      </c>
      <c r="E23" s="151" t="str">
        <f t="shared" si="5"/>
        <v>NA</v>
      </c>
      <c r="F23" s="151" t="str">
        <f t="shared" si="6"/>
        <v>NA</v>
      </c>
      <c r="G23" s="151">
        <f>IF(SUM(G25:G30)=0,"NO",SUM(G25:G30))</f>
        <v>21.851044217785699</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10.93171846632603</v>
      </c>
      <c r="D27" s="116">
        <f t="shared" si="4"/>
        <v>880.00000000000023</v>
      </c>
      <c r="E27" s="116" t="str">
        <f t="shared" si="5"/>
        <v>NA</v>
      </c>
      <c r="F27" s="116" t="str">
        <f t="shared" si="6"/>
        <v>NA</v>
      </c>
      <c r="G27" s="2908">
        <v>9.6199122503669088</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3.9882391963671533</v>
      </c>
      <c r="D30" s="116">
        <f t="shared" si="4"/>
        <v>3066.8000000000006</v>
      </c>
      <c r="E30" s="153" t="str">
        <f t="shared" si="5"/>
        <v>NA</v>
      </c>
      <c r="F30" s="153" t="str">
        <f t="shared" si="6"/>
        <v>NA</v>
      </c>
      <c r="G30" s="1540">
        <f>G31</f>
        <v>12.231131967418788</v>
      </c>
      <c r="H30" s="1540" t="str">
        <f>H31</f>
        <v>NE</v>
      </c>
      <c r="I30" s="2905" t="str">
        <f>I31</f>
        <v>NE</v>
      </c>
    </row>
    <row r="31" spans="2:9" ht="18" customHeight="1" x14ac:dyDescent="0.2">
      <c r="B31" s="2902" t="s">
        <v>1883</v>
      </c>
      <c r="C31" s="162">
        <v>3.9882391963671533</v>
      </c>
      <c r="D31" s="116">
        <f t="shared" si="4"/>
        <v>3066.8000000000006</v>
      </c>
      <c r="E31" s="153" t="str">
        <f t="shared" si="5"/>
        <v>NA</v>
      </c>
      <c r="F31" s="153" t="str">
        <f t="shared" si="6"/>
        <v>NA</v>
      </c>
      <c r="G31" s="161">
        <v>12.231131967418788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2459</v>
      </c>
      <c r="M1"/>
      <c r="N1"/>
      <c r="O1"/>
    </row>
    <row r="2" spans="1:15" ht="15.75" customHeight="1" x14ac:dyDescent="0.2">
      <c r="A2"/>
      <c r="B2" s="213" t="s">
        <v>1891</v>
      </c>
      <c r="C2" s="213"/>
      <c r="D2"/>
      <c r="E2"/>
      <c r="F2"/>
      <c r="G2"/>
      <c r="H2"/>
      <c r="I2"/>
      <c r="J2"/>
      <c r="K2" s="226"/>
      <c r="L2" s="14" t="s">
        <v>2460</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17068.962</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36.280999999999999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1781.0533559000123</v>
      </c>
      <c r="D10" s="3399">
        <v>1322.1984020750901</v>
      </c>
      <c r="E10" s="3399">
        <v>98.339255762720001</v>
      </c>
      <c r="F10" s="3400">
        <f>(SUM(H10)-SUM(K10:L10))/C10</f>
        <v>5.9162751937335369E-2</v>
      </c>
      <c r="G10" s="3400">
        <f>SUM(I10:J10)/E10/(44/28)</f>
        <v>3.3066458262309265E-3</v>
      </c>
      <c r="H10" s="3398">
        <v>81.312085809911764</v>
      </c>
      <c r="I10" s="3190">
        <v>0.51098628369242716</v>
      </c>
      <c r="J10" s="3190" t="s">
        <v>274</v>
      </c>
      <c r="K10" s="3401" t="s">
        <v>274</v>
      </c>
      <c r="L10" s="2921">
        <v>-24.059932072359352</v>
      </c>
      <c r="M10"/>
      <c r="N10" s="1773" t="s">
        <v>1910</v>
      </c>
      <c r="O10" s="3403">
        <v>1</v>
      </c>
    </row>
    <row r="11" spans="1:15" ht="18" customHeight="1" x14ac:dyDescent="0.2">
      <c r="A11"/>
      <c r="B11" s="1752" t="s">
        <v>1813</v>
      </c>
      <c r="C11" s="3399">
        <v>1493.905798938069</v>
      </c>
      <c r="D11" s="3399">
        <v>222.47266770449181</v>
      </c>
      <c r="E11" s="699" t="s">
        <v>274</v>
      </c>
      <c r="F11" s="3134">
        <f>(SUM(H11)-SUM(K11:L11))/C11</f>
        <v>9.4392681600286923E-2</v>
      </c>
      <c r="G11" s="3134" t="s">
        <v>205</v>
      </c>
      <c r="H11" s="699">
        <v>138.47573206538874</v>
      </c>
      <c r="I11" s="699" t="s">
        <v>274</v>
      </c>
      <c r="J11" s="699" t="s">
        <v>274</v>
      </c>
      <c r="K11" s="3125" t="s">
        <v>274</v>
      </c>
      <c r="L11" s="2921">
        <v>-2.5380423545946518</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2"/>
      <c r="C33" s="4543"/>
      <c r="D33" s="4543"/>
      <c r="E33" s="4543"/>
      <c r="F33" s="4543"/>
      <c r="G33" s="4543"/>
      <c r="H33" s="4543"/>
      <c r="I33" s="4543"/>
      <c r="J33" s="4543"/>
      <c r="K33" s="4543"/>
      <c r="L33" s="4544"/>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J13" sqref="J13"/>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2459</v>
      </c>
    </row>
    <row r="2" spans="1:15" ht="15.75" x14ac:dyDescent="0.25">
      <c r="A2" s="1123"/>
      <c r="B2" s="3" t="s">
        <v>162</v>
      </c>
      <c r="N2" s="2"/>
      <c r="O2" s="14" t="s">
        <v>2460</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431510.49931750051</v>
      </c>
      <c r="D10" s="3798">
        <f t="shared" si="0"/>
        <v>5741.8314129686241</v>
      </c>
      <c r="E10" s="3798">
        <f t="shared" si="0"/>
        <v>66.192589200412655</v>
      </c>
      <c r="F10" s="3798">
        <f t="shared" si="0"/>
        <v>1193.6537599999999</v>
      </c>
      <c r="G10" s="3798">
        <f t="shared" si="0"/>
        <v>4143.5315389337156</v>
      </c>
      <c r="H10" s="3798" t="str">
        <f>IF(SUM(H11,H22,H31,H42,H51)=0,"NO",SUM(H11,H22,H31,H42,H51))</f>
        <v>NO</v>
      </c>
      <c r="I10" s="3798">
        <f t="shared" ref="I10:N10" si="1">IF(SUM(I11,I22,I31,I42,I51)=0,"NO",SUM(I11,I22,I31,I42,I51))</f>
        <v>9.6736708047799533E-3</v>
      </c>
      <c r="J10" s="3826" t="str">
        <f t="shared" si="1"/>
        <v>NO</v>
      </c>
      <c r="K10" s="3798">
        <f t="shared" si="1"/>
        <v>2430.6274554579227</v>
      </c>
      <c r="L10" s="3798">
        <f t="shared" si="1"/>
        <v>28663.709408073377</v>
      </c>
      <c r="M10" s="3798">
        <f t="shared" si="1"/>
        <v>2617.9620247622429</v>
      </c>
      <c r="N10" s="3799">
        <f t="shared" si="1"/>
        <v>1585.1759779137747</v>
      </c>
      <c r="O10" s="3800">
        <f>IF(SUM(C10:J10)=0,"NO",SUM(C10,F10:H10)+28*SUM(D10)+265*SUM(E10)+23500*SUM(I10)+16100*SUM(J10))</f>
        <v>615387.33158157743</v>
      </c>
    </row>
    <row r="11" spans="1:15" ht="18" customHeight="1" x14ac:dyDescent="0.25">
      <c r="B11" s="1116" t="s">
        <v>1921</v>
      </c>
      <c r="C11" s="2572">
        <f>Table1!C10</f>
        <v>258952.01190728179</v>
      </c>
      <c r="D11" s="3766">
        <f>Table1!D10</f>
        <v>1310.3254018992955</v>
      </c>
      <c r="E11" s="3766">
        <f>Table1!E10</f>
        <v>6.5822252886058914</v>
      </c>
      <c r="F11" s="1553"/>
      <c r="G11" s="1553"/>
      <c r="H11" s="3714"/>
      <c r="I11" s="1553"/>
      <c r="J11" s="98"/>
      <c r="K11" s="3766">
        <f>Table1!F10</f>
        <v>1555.2536257430033</v>
      </c>
      <c r="L11" s="3713">
        <f>Table1!G10</f>
        <v>5262.8719420722582</v>
      </c>
      <c r="M11" s="3713">
        <f>Table1!H10</f>
        <v>798.55565194226097</v>
      </c>
      <c r="N11" s="960">
        <f>Table1!I10</f>
        <v>560.29188011979056</v>
      </c>
      <c r="O11" s="3715">
        <f t="shared" ref="O11:O58" si="2">IF(SUM(C11:J11)=0,"NO",SUM(C11,F11:H11)+28*SUM(D11)+265*SUM(E11)+23500*SUM(I11)+16100*SUM(J11))</f>
        <v>297385.4128619426</v>
      </c>
    </row>
    <row r="12" spans="1:15" ht="18" customHeight="1" x14ac:dyDescent="0.25">
      <c r="B12" s="1369" t="s">
        <v>1922</v>
      </c>
      <c r="C12" s="3794">
        <f>Table1!C11</f>
        <v>251679.28872254479</v>
      </c>
      <c r="D12" s="617">
        <f>Table1!D11</f>
        <v>131.64849530369341</v>
      </c>
      <c r="E12" s="617">
        <f>Table1!E11</f>
        <v>6.4471737052587219</v>
      </c>
      <c r="F12" s="69"/>
      <c r="G12" s="69"/>
      <c r="H12" s="69"/>
      <c r="I12" s="69"/>
      <c r="J12" s="69"/>
      <c r="K12" s="617">
        <f>Table1!F11</f>
        <v>1551.0907917052798</v>
      </c>
      <c r="L12" s="617">
        <f>Table1!G11</f>
        <v>5238.7261046534622</v>
      </c>
      <c r="M12" s="617">
        <f>Table1!H11</f>
        <v>619.22966598668847</v>
      </c>
      <c r="N12" s="619">
        <f>Table1!I11</f>
        <v>560.29188011979056</v>
      </c>
      <c r="O12" s="3716">
        <f t="shared" si="2"/>
        <v>257073.94762294178</v>
      </c>
    </row>
    <row r="13" spans="1:15" ht="18" customHeight="1" x14ac:dyDescent="0.25">
      <c r="B13" s="1370" t="s">
        <v>1923</v>
      </c>
      <c r="C13" s="3794">
        <f>Table1!C12</f>
        <v>142550.6880303224</v>
      </c>
      <c r="D13" s="617">
        <f>Table1!D12</f>
        <v>6.1186320590812233</v>
      </c>
      <c r="E13" s="617">
        <f>Table1!E12</f>
        <v>1.7009294785985118</v>
      </c>
      <c r="F13" s="69"/>
      <c r="G13" s="69"/>
      <c r="H13" s="69"/>
      <c r="I13" s="69"/>
      <c r="J13" s="69"/>
      <c r="K13" s="617">
        <f>Table1!F12</f>
        <v>497.22413598484798</v>
      </c>
      <c r="L13" s="617">
        <f>Table1!G12</f>
        <v>69.848222145047913</v>
      </c>
      <c r="M13" s="617">
        <f>Table1!H12</f>
        <v>9.9195002545177626</v>
      </c>
      <c r="N13" s="619">
        <f>Table1!I12</f>
        <v>408.55299865570981</v>
      </c>
      <c r="O13" s="3717">
        <f t="shared" si="2"/>
        <v>143172.75603980527</v>
      </c>
    </row>
    <row r="14" spans="1:15" ht="18" customHeight="1" x14ac:dyDescent="0.25">
      <c r="B14" s="1370" t="s">
        <v>1924</v>
      </c>
      <c r="C14" s="3794">
        <f>Table1!C16</f>
        <v>35866.538631108211</v>
      </c>
      <c r="D14" s="3718">
        <f>Table1!D16</f>
        <v>2.0601759875475625</v>
      </c>
      <c r="E14" s="3718">
        <f>Table1!E16</f>
        <v>1.134710846917538</v>
      </c>
      <c r="F14" s="3719"/>
      <c r="G14" s="3719"/>
      <c r="H14" s="3719"/>
      <c r="I14" s="3719"/>
      <c r="J14" s="69"/>
      <c r="K14" s="3718">
        <f>Table1!F16</f>
        <v>489.65028701797826</v>
      </c>
      <c r="L14" s="3718">
        <f>Table1!G16</f>
        <v>163.67831876735977</v>
      </c>
      <c r="M14" s="3718">
        <f>Table1!H16</f>
        <v>71.036113398548565</v>
      </c>
      <c r="N14" s="3720">
        <f>Table1!I16</f>
        <v>108.1075225959341</v>
      </c>
      <c r="O14" s="3721">
        <f t="shared" si="2"/>
        <v>36224.921933192687</v>
      </c>
    </row>
    <row r="15" spans="1:15" ht="18" customHeight="1" x14ac:dyDescent="0.25">
      <c r="B15" s="1370" t="s">
        <v>1925</v>
      </c>
      <c r="C15" s="3794">
        <f>Table1!C24</f>
        <v>59818.854504549039</v>
      </c>
      <c r="D15" s="617">
        <f>Table1!D24</f>
        <v>26.345084452755309</v>
      </c>
      <c r="E15" s="617">
        <f>Table1!E24</f>
        <v>3.0681889642603744</v>
      </c>
      <c r="F15" s="69"/>
      <c r="G15" s="69"/>
      <c r="H15" s="69"/>
      <c r="I15" s="69"/>
      <c r="J15" s="69"/>
      <c r="K15" s="617">
        <f>Table1!F24</f>
        <v>361.44922480394467</v>
      </c>
      <c r="L15" s="617">
        <f>Table1!G24</f>
        <v>3915.0502143912036</v>
      </c>
      <c r="M15" s="617">
        <f>Table1!H24</f>
        <v>377.6735277242451</v>
      </c>
      <c r="N15" s="619">
        <f>Table1!I24</f>
        <v>36.262719229362709</v>
      </c>
      <c r="O15" s="3717">
        <f t="shared" si="2"/>
        <v>61369.586944755189</v>
      </c>
    </row>
    <row r="16" spans="1:15" ht="18" customHeight="1" x14ac:dyDescent="0.25">
      <c r="B16" s="1370" t="s">
        <v>1926</v>
      </c>
      <c r="C16" s="3794">
        <f>Table1!C30</f>
        <v>13024.212038643214</v>
      </c>
      <c r="D16" s="617">
        <f>Table1!D30</f>
        <v>97.098418812831753</v>
      </c>
      <c r="E16" s="617">
        <f>Table1!E30</f>
        <v>0.53214797381676537</v>
      </c>
      <c r="F16" s="69"/>
      <c r="G16" s="69"/>
      <c r="H16" s="69"/>
      <c r="I16" s="69"/>
      <c r="J16" s="69"/>
      <c r="K16" s="617">
        <f>Table1!F30</f>
        <v>198.36036237624756</v>
      </c>
      <c r="L16" s="617">
        <f>Table1!G30</f>
        <v>1084.2346034130701</v>
      </c>
      <c r="M16" s="617">
        <f>Table1!H30</f>
        <v>160.09076931222785</v>
      </c>
      <c r="N16" s="619">
        <f>Table1!I30</f>
        <v>7.1768312165339516</v>
      </c>
      <c r="O16" s="3717">
        <f t="shared" si="2"/>
        <v>15883.986978463947</v>
      </c>
    </row>
    <row r="17" spans="2:15" ht="18" customHeight="1" x14ac:dyDescent="0.25">
      <c r="B17" s="1370" t="s">
        <v>1927</v>
      </c>
      <c r="C17" s="3794">
        <f>Table1!C34</f>
        <v>418.99551792193483</v>
      </c>
      <c r="D17" s="617">
        <f>Table1!D34</f>
        <v>2.6183991477554305E-2</v>
      </c>
      <c r="E17" s="617">
        <f>Table1!E34</f>
        <v>1.1196441665532852E-2</v>
      </c>
      <c r="F17" s="69"/>
      <c r="G17" s="69"/>
      <c r="H17" s="69"/>
      <c r="I17" s="69"/>
      <c r="J17" s="69"/>
      <c r="K17" s="617">
        <f>Table1!F34</f>
        <v>4.4067815222614115</v>
      </c>
      <c r="L17" s="617">
        <f>Table1!G34</f>
        <v>5.9147459367815376</v>
      </c>
      <c r="M17" s="617">
        <f>Table1!H34</f>
        <v>0.50975529714912982</v>
      </c>
      <c r="N17" s="619">
        <f>Table1!I34</f>
        <v>0.19180842224998346</v>
      </c>
      <c r="O17" s="3717">
        <f t="shared" si="2"/>
        <v>422.69572672467257</v>
      </c>
    </row>
    <row r="18" spans="2:15" ht="18" customHeight="1" x14ac:dyDescent="0.25">
      <c r="B18" s="1369" t="s">
        <v>201</v>
      </c>
      <c r="C18" s="3711">
        <f>Table1!C37</f>
        <v>7272.7231847369876</v>
      </c>
      <c r="D18" s="3795">
        <f>Table1!D37</f>
        <v>1178.6769065956021</v>
      </c>
      <c r="E18" s="3795">
        <f>Table1!E37</f>
        <v>0.13505158334716988</v>
      </c>
      <c r="F18" s="69"/>
      <c r="G18" s="69"/>
      <c r="H18" s="69"/>
      <c r="I18" s="69"/>
      <c r="J18" s="69"/>
      <c r="K18" s="3795">
        <f>Table1!F37</f>
        <v>4.1628340377234334</v>
      </c>
      <c r="L18" s="617">
        <f>Table1!G37</f>
        <v>24.14583741879591</v>
      </c>
      <c r="M18" s="617">
        <f>Table1!H37</f>
        <v>179.32598595557243</v>
      </c>
      <c r="N18" s="619" t="str">
        <f>Table1!I37</f>
        <v>NO</v>
      </c>
      <c r="O18" s="3717">
        <f t="shared" si="2"/>
        <v>40311.465239000841</v>
      </c>
    </row>
    <row r="19" spans="2:15" ht="18" customHeight="1" x14ac:dyDescent="0.25">
      <c r="B19" s="1370" t="s">
        <v>1928</v>
      </c>
      <c r="C19" s="3712">
        <f>Table1!C38</f>
        <v>1183.8805823664284</v>
      </c>
      <c r="D19" s="3722">
        <f>Table1!D38</f>
        <v>871.21359774724669</v>
      </c>
      <c r="E19" s="3795">
        <f>Table1!E38</f>
        <v>5.3299565513660411E-7</v>
      </c>
      <c r="F19" s="69"/>
      <c r="G19" s="69"/>
      <c r="H19" s="69"/>
      <c r="I19" s="69"/>
      <c r="J19" s="69"/>
      <c r="K19" s="3795" t="str">
        <f>Table1!F38</f>
        <v>NO</v>
      </c>
      <c r="L19" s="617" t="str">
        <f>Table1!G38</f>
        <v>NO</v>
      </c>
      <c r="M19" s="617" t="str">
        <f>Table1!H38</f>
        <v>NO</v>
      </c>
      <c r="N19" s="619" t="str">
        <f>Table1!I38</f>
        <v>NO</v>
      </c>
      <c r="O19" s="3717">
        <f t="shared" si="2"/>
        <v>25577.861460533186</v>
      </c>
    </row>
    <row r="20" spans="2:15" ht="18" customHeight="1" x14ac:dyDescent="0.25">
      <c r="B20" s="1371" t="s">
        <v>1929</v>
      </c>
      <c r="C20" s="3712">
        <f>Table1!C42</f>
        <v>6088.8426023705597</v>
      </c>
      <c r="D20" s="3796">
        <f>Table1!D42</f>
        <v>307.46330884835538</v>
      </c>
      <c r="E20" s="3795">
        <f>Table1!E42</f>
        <v>0.13505105035151474</v>
      </c>
      <c r="F20" s="3719"/>
      <c r="G20" s="3719"/>
      <c r="H20" s="3719"/>
      <c r="I20" s="3719"/>
      <c r="J20" s="69"/>
      <c r="K20" s="3795">
        <f>Table1!F42</f>
        <v>4.1628340377234334</v>
      </c>
      <c r="L20" s="3718">
        <f>Table1!G42</f>
        <v>24.14583741879591</v>
      </c>
      <c r="M20" s="3718">
        <f>Table1!H42</f>
        <v>179.32598595557243</v>
      </c>
      <c r="N20" s="3720" t="str">
        <f>Table1!I42</f>
        <v>NO</v>
      </c>
      <c r="O20" s="3721">
        <f t="shared" si="2"/>
        <v>14733.603778467663</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18552.628794626791</v>
      </c>
      <c r="D22" s="3727">
        <f>'Table2(I)'!D10</f>
        <v>3.2646478675884056</v>
      </c>
      <c r="E22" s="3728">
        <f>'Table2(I)'!E10</f>
        <v>3.4138016387751899</v>
      </c>
      <c r="F22" s="3713">
        <f>'Table2(I)'!F10</f>
        <v>1193.6537599999999</v>
      </c>
      <c r="G22" s="3713">
        <f>'Table2(I)'!G10</f>
        <v>4143.5315389337156</v>
      </c>
      <c r="H22" s="3713" t="str">
        <f>'Table2(I)'!H10</f>
        <v>NO</v>
      </c>
      <c r="I22" s="3713">
        <f>'Table2(I)'!I10</f>
        <v>9.6736708047799533E-3</v>
      </c>
      <c r="J22" s="3713" t="str">
        <f>'Table2(I)'!J10</f>
        <v>NO</v>
      </c>
      <c r="K22" s="3713">
        <f>'Table2(I)'!K10</f>
        <v>38.265821273188067</v>
      </c>
      <c r="L22" s="3713">
        <f>'Table2(I)'!L10</f>
        <v>10.241960561549927</v>
      </c>
      <c r="M22" s="3713">
        <f>'Table2(I)'!M10</f>
        <v>219.54182808646141</v>
      </c>
      <c r="N22" s="960">
        <f>'Table2(I)'!N10</f>
        <v>1024.884097793984</v>
      </c>
      <c r="O22" s="3715">
        <f t="shared" si="2"/>
        <v>25113.212932040737</v>
      </c>
    </row>
    <row r="23" spans="2:15" ht="18" customHeight="1" x14ac:dyDescent="0.25">
      <c r="B23" s="1129" t="s">
        <v>1932</v>
      </c>
      <c r="C23" s="3729">
        <f>'Table2(I)'!C11</f>
        <v>5489.5881371538135</v>
      </c>
      <c r="D23" s="3730"/>
      <c r="E23" s="98"/>
      <c r="F23" s="98"/>
      <c r="G23" s="98"/>
      <c r="H23" s="98"/>
      <c r="I23" s="98"/>
      <c r="J23" s="69"/>
      <c r="K23" s="620" t="str">
        <f>'Table2(I)'!K11</f>
        <v>NO</v>
      </c>
      <c r="L23" s="620" t="str">
        <f>'Table2(I)'!L11</f>
        <v>NO</v>
      </c>
      <c r="M23" s="620" t="str">
        <f>'Table2(I)'!M11</f>
        <v>NO</v>
      </c>
      <c r="N23" s="622" t="str">
        <f>'Table2(I)'!N11</f>
        <v>NO</v>
      </c>
      <c r="O23" s="3716">
        <f t="shared" si="2"/>
        <v>5489.5881371538135</v>
      </c>
    </row>
    <row r="24" spans="2:15" ht="18" customHeight="1" x14ac:dyDescent="0.25">
      <c r="B24" s="1129" t="s">
        <v>846</v>
      </c>
      <c r="C24" s="3729">
        <f>'Table2(I)'!C16</f>
        <v>1054.6897029809472</v>
      </c>
      <c r="D24" s="3731">
        <f>'Table2(I)'!D16</f>
        <v>0.43762607399999998</v>
      </c>
      <c r="E24" s="3732">
        <f>'Table2(I)'!E16</f>
        <v>3.33906306</v>
      </c>
      <c r="F24" s="617">
        <f>'Table2(I)'!F16</f>
        <v>1193.6537599999999</v>
      </c>
      <c r="G24" s="617" t="str">
        <f>'Table2(I)'!G16</f>
        <v>NO</v>
      </c>
      <c r="H24" s="617" t="str">
        <f>'Table2(I)'!H16</f>
        <v>NO</v>
      </c>
      <c r="I24" s="617" t="str">
        <f>'Table2(I)'!I16</f>
        <v>NO</v>
      </c>
      <c r="J24" s="602" t="str">
        <f>'Table2(I)'!J16</f>
        <v>NO</v>
      </c>
      <c r="K24" s="617" t="str">
        <f>'Table2(I)'!K16</f>
        <v>NO</v>
      </c>
      <c r="L24" s="617" t="str">
        <f>'Table2(I)'!L16</f>
        <v>NO</v>
      </c>
      <c r="M24" s="617">
        <f>'Table2(I)'!M16</f>
        <v>4.1018873770000006</v>
      </c>
      <c r="N24" s="619" t="str">
        <f>'Table2(I)'!N16</f>
        <v>NO</v>
      </c>
      <c r="O24" s="3717">
        <f t="shared" si="2"/>
        <v>3145.4487039529472</v>
      </c>
    </row>
    <row r="25" spans="2:15" ht="18" customHeight="1" x14ac:dyDescent="0.25">
      <c r="B25" s="1129" t="s">
        <v>637</v>
      </c>
      <c r="C25" s="3729">
        <f>'Table2(I)'!C27</f>
        <v>11644.473410340323</v>
      </c>
      <c r="D25" s="3731">
        <f>'Table2(I)'!D27</f>
        <v>2.8270217935884054</v>
      </c>
      <c r="E25" s="3732">
        <f>'Table2(I)'!E27</f>
        <v>7.4738578775190162E-2</v>
      </c>
      <c r="F25" s="617" t="str">
        <f>'Table2(I)'!F27</f>
        <v>NO</v>
      </c>
      <c r="G25" s="617">
        <f>'Table2(I)'!G27</f>
        <v>4143.5315389337156</v>
      </c>
      <c r="H25" s="617" t="str">
        <f>'Table2(I)'!H27</f>
        <v>NO</v>
      </c>
      <c r="I25" s="617" t="str">
        <f>'Table2(I)'!I27</f>
        <v>NO</v>
      </c>
      <c r="J25" s="617" t="str">
        <f>'Table2(I)'!J27</f>
        <v>NO</v>
      </c>
      <c r="K25" s="617">
        <f>'Table2(I)'!K27</f>
        <v>38.265821273188067</v>
      </c>
      <c r="L25" s="617">
        <f>'Table2(I)'!L27</f>
        <v>10.241960561549927</v>
      </c>
      <c r="M25" s="617">
        <f>'Table2(I)'!M27</f>
        <v>9.2903543299075117E-2</v>
      </c>
      <c r="N25" s="619">
        <f>'Table2(I)'!N27</f>
        <v>1024.884097793984</v>
      </c>
      <c r="O25" s="3717">
        <f t="shared" si="2"/>
        <v>15886.96728286994</v>
      </c>
    </row>
    <row r="26" spans="2:15" ht="18" customHeight="1" x14ac:dyDescent="0.25">
      <c r="B26" s="1129" t="s">
        <v>1933</v>
      </c>
      <c r="C26" s="3729">
        <f>'Table2(I)'!C35</f>
        <v>281.30450949999999</v>
      </c>
      <c r="D26" s="3733" t="str">
        <f>'Table2(I)'!D35</f>
        <v>NO</v>
      </c>
      <c r="E26" s="602" t="str">
        <f>'Table2(I)'!E35</f>
        <v>NO</v>
      </c>
      <c r="F26" s="69"/>
      <c r="G26" s="69"/>
      <c r="H26" s="69"/>
      <c r="I26" s="69"/>
      <c r="J26" s="69"/>
      <c r="K26" s="602" t="str">
        <f>'Table2(I)'!K35</f>
        <v>NO</v>
      </c>
      <c r="L26" s="3732" t="str">
        <f>'Table2(I)'!L35</f>
        <v>NO</v>
      </c>
      <c r="M26" s="3732">
        <f>'Table2(I)'!M35</f>
        <v>175.34334066616231</v>
      </c>
      <c r="N26" s="3734" t="str">
        <f>'Table2(I)'!N35</f>
        <v>NO</v>
      </c>
      <c r="O26" s="3717">
        <f t="shared" si="2"/>
        <v>281.30450949999999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t="str">
        <f>'Table2(I)'!F45</f>
        <v>NO</v>
      </c>
      <c r="G28" s="3718" t="str">
        <f>'Table2(I)'!G45</f>
        <v>NO</v>
      </c>
      <c r="H28" s="3718" t="str">
        <f>'Table2(I)'!H45</f>
        <v>NO</v>
      </c>
      <c r="I28" s="3718" t="str">
        <f>'Table2(I)'!I45</f>
        <v>NO</v>
      </c>
      <c r="J28" s="3718" t="str">
        <f>'Table2(I)'!J45</f>
        <v>NO</v>
      </c>
      <c r="K28" s="3719"/>
      <c r="L28" s="3719"/>
      <c r="M28" s="3719"/>
      <c r="N28" s="3738"/>
      <c r="O28" s="3721" t="str">
        <f t="shared" si="2"/>
        <v>NO</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9.6736708047799533E-3</v>
      </c>
      <c r="J29" s="602" t="str">
        <f>'Table2(I)'!J52</f>
        <v>NO</v>
      </c>
      <c r="K29" s="3741" t="str">
        <f>'Table2(I)'!K52</f>
        <v>NO</v>
      </c>
      <c r="L29" s="3741" t="str">
        <f>'Table2(I)'!L52</f>
        <v>NO</v>
      </c>
      <c r="M29" s="3741" t="str">
        <f>'Table2(I)'!M52</f>
        <v>NO</v>
      </c>
      <c r="N29" s="3742" t="str">
        <f>'Table2(I)'!N52</f>
        <v>NO</v>
      </c>
      <c r="O29" s="3721">
        <f t="shared" si="2"/>
        <v>227.33126391232889</v>
      </c>
    </row>
    <row r="30" spans="2:15" ht="18" customHeight="1" thickBot="1" x14ac:dyDescent="0.3">
      <c r="B30" s="1374" t="s">
        <v>1936</v>
      </c>
      <c r="C30" s="3743">
        <f>'Table2(I)'!C57</f>
        <v>82.573034651705768</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40.003696500000004</v>
      </c>
      <c r="N30" s="3746" t="str">
        <f>'Table2(I)'!N57</f>
        <v>NA</v>
      </c>
      <c r="O30" s="3747">
        <f t="shared" si="2"/>
        <v>82.573034651705768</v>
      </c>
    </row>
    <row r="31" spans="2:15" ht="18" customHeight="1" x14ac:dyDescent="0.25">
      <c r="B31" s="1130" t="s">
        <v>1937</v>
      </c>
      <c r="C31" s="3789">
        <f>Table3!C10</f>
        <v>582.01320937951778</v>
      </c>
      <c r="D31" s="3748">
        <f>Table3!D10</f>
        <v>2861.8682856006867</v>
      </c>
      <c r="E31" s="3749">
        <f>Table3!E10</f>
        <v>39.414720273129603</v>
      </c>
      <c r="F31" s="3750"/>
      <c r="G31" s="3750"/>
      <c r="H31" s="3750"/>
      <c r="I31" s="3750"/>
      <c r="J31" s="3750"/>
      <c r="K31" s="3751">
        <f>Table3!F10</f>
        <v>26.929788553329907</v>
      </c>
      <c r="L31" s="3751">
        <f>Table3!G10</f>
        <v>455.45136336696817</v>
      </c>
      <c r="M31" s="3751">
        <f>Table3!H10</f>
        <v>26.567996196406479</v>
      </c>
      <c r="N31" s="3752" t="str">
        <f>Table3!I10</f>
        <v>NO</v>
      </c>
      <c r="O31" s="3716">
        <f t="shared" si="2"/>
        <v>91159.226078578096</v>
      </c>
    </row>
    <row r="32" spans="2:15" ht="18" customHeight="1" x14ac:dyDescent="0.25">
      <c r="B32" s="1131" t="s">
        <v>1938</v>
      </c>
      <c r="C32" s="3735"/>
      <c r="D32" s="3753">
        <f>Table3!D11</f>
        <v>2585.3162725086167</v>
      </c>
      <c r="E32" s="98"/>
      <c r="F32" s="3754"/>
      <c r="G32" s="3754"/>
      <c r="H32" s="3730"/>
      <c r="I32" s="3754"/>
      <c r="J32" s="3730"/>
      <c r="K32" s="98"/>
      <c r="L32" s="98"/>
      <c r="M32" s="98"/>
      <c r="N32" s="3755"/>
      <c r="O32" s="3716">
        <f t="shared" si="2"/>
        <v>72388.855630241276</v>
      </c>
    </row>
    <row r="33" spans="2:15" ht="18" customHeight="1" x14ac:dyDescent="0.25">
      <c r="B33" s="1131" t="s">
        <v>1939</v>
      </c>
      <c r="C33" s="3735"/>
      <c r="D33" s="3722">
        <f>Table3!D21</f>
        <v>245.84893086022439</v>
      </c>
      <c r="E33" s="3722">
        <f>Table3!E21</f>
        <v>0.93246402239747295</v>
      </c>
      <c r="F33" s="3754"/>
      <c r="G33" s="3754"/>
      <c r="H33" s="3754"/>
      <c r="I33" s="3754"/>
      <c r="J33" s="3754"/>
      <c r="K33" s="69"/>
      <c r="L33" s="69"/>
      <c r="M33" s="3756" t="str">
        <f>Table3!H21</f>
        <v>NE</v>
      </c>
      <c r="N33" s="3757"/>
      <c r="O33" s="3717">
        <f t="shared" si="2"/>
        <v>7130.8730300216139</v>
      </c>
    </row>
    <row r="34" spans="2:15" ht="18" customHeight="1" x14ac:dyDescent="0.25">
      <c r="B34" s="1131" t="s">
        <v>1940</v>
      </c>
      <c r="C34" s="3735"/>
      <c r="D34" s="3722">
        <f>Table3!D32</f>
        <v>19.024842145513141</v>
      </c>
      <c r="E34" s="69"/>
      <c r="F34" s="3754"/>
      <c r="G34" s="3754"/>
      <c r="H34" s="3754"/>
      <c r="I34" s="3754"/>
      <c r="J34" s="3754"/>
      <c r="K34" s="69"/>
      <c r="L34" s="69"/>
      <c r="M34" s="3756" t="str">
        <f>Table3!H32</f>
        <v>NE</v>
      </c>
      <c r="N34" s="3757"/>
      <c r="O34" s="3717">
        <f t="shared" si="2"/>
        <v>532.69558007436797</v>
      </c>
    </row>
    <row r="35" spans="2:15" ht="18" customHeight="1" x14ac:dyDescent="0.25">
      <c r="B35" s="1131" t="s">
        <v>1941</v>
      </c>
      <c r="C35" s="3758"/>
      <c r="D35" s="3722" t="str">
        <f>Table3!D33</f>
        <v>NE</v>
      </c>
      <c r="E35" s="3722">
        <f>Table3!E33</f>
        <v>38.016142312210725</v>
      </c>
      <c r="F35" s="3754"/>
      <c r="G35" s="3754"/>
      <c r="H35" s="3754"/>
      <c r="I35" s="3754"/>
      <c r="J35" s="3754"/>
      <c r="K35" s="3756" t="str">
        <f>Table3!F33</f>
        <v>NO</v>
      </c>
      <c r="L35" s="3756" t="str">
        <f>Table3!G33</f>
        <v>NO</v>
      </c>
      <c r="M35" s="3756" t="str">
        <f>Table3!H33</f>
        <v>NO</v>
      </c>
      <c r="N35" s="3757"/>
      <c r="O35" s="3717">
        <f t="shared" si="2"/>
        <v>10074.277712735842</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11.678240086332517</v>
      </c>
      <c r="E37" s="3722">
        <f>Table3!E44</f>
        <v>0.46611393852140365</v>
      </c>
      <c r="F37" s="3754"/>
      <c r="G37" s="3754"/>
      <c r="H37" s="3754"/>
      <c r="I37" s="3754"/>
      <c r="J37" s="3754"/>
      <c r="K37" s="3756">
        <f>Table3!F44</f>
        <v>26.929788553329907</v>
      </c>
      <c r="L37" s="3756">
        <f>Table3!G44</f>
        <v>455.45136336696817</v>
      </c>
      <c r="M37" s="3756">
        <f>Table3!H44</f>
        <v>26.567996196406479</v>
      </c>
      <c r="N37" s="3756" t="str">
        <f>Table3!I44</f>
        <v>NO</v>
      </c>
      <c r="O37" s="3717">
        <f t="shared" si="2"/>
        <v>450.51091612548242</v>
      </c>
    </row>
    <row r="38" spans="2:15" ht="18" customHeight="1" x14ac:dyDescent="0.25">
      <c r="B38" s="1132" t="s">
        <v>955</v>
      </c>
      <c r="C38" s="3739">
        <f>Table3!C45</f>
        <v>215.34654271285109</v>
      </c>
      <c r="D38" s="3759"/>
      <c r="E38" s="3759"/>
      <c r="F38" s="3736"/>
      <c r="G38" s="3736"/>
      <c r="H38" s="3736"/>
      <c r="I38" s="3736"/>
      <c r="J38" s="3736"/>
      <c r="K38" s="3760"/>
      <c r="L38" s="3760"/>
      <c r="M38" s="3760"/>
      <c r="N38" s="3738"/>
      <c r="O38" s="3721">
        <f t="shared" si="2"/>
        <v>215.34654271285109</v>
      </c>
    </row>
    <row r="39" spans="2:15" ht="18" customHeight="1" x14ac:dyDescent="0.25">
      <c r="B39" s="1132" t="s">
        <v>956</v>
      </c>
      <c r="C39" s="3761">
        <f>Table3!C46</f>
        <v>366.66666666666663</v>
      </c>
      <c r="D39" s="3759"/>
      <c r="E39" s="3759"/>
      <c r="F39" s="3736"/>
      <c r="G39" s="3736"/>
      <c r="H39" s="3736"/>
      <c r="I39" s="3736"/>
      <c r="J39" s="3736"/>
      <c r="K39" s="3760"/>
      <c r="L39" s="3760"/>
      <c r="M39" s="3760"/>
      <c r="N39" s="3738"/>
      <c r="O39" s="3721">
        <f t="shared" si="2"/>
        <v>366.66666666666663</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153350.00396199466</v>
      </c>
      <c r="D42" s="3765">
        <f>Table4!D10</f>
        <v>736.69294206813959</v>
      </c>
      <c r="E42" s="3766">
        <f>Table4!E10</f>
        <v>16.188041506546817</v>
      </c>
      <c r="F42" s="3750"/>
      <c r="G42" s="3750"/>
      <c r="H42" s="3750"/>
      <c r="I42" s="3750"/>
      <c r="J42" s="3750"/>
      <c r="K42" s="3767">
        <f>Table4!F10</f>
        <v>810.17821988840149</v>
      </c>
      <c r="L42" s="3767">
        <f>Table4!G10</f>
        <v>22935.144142072601</v>
      </c>
      <c r="M42" s="3767">
        <f>Table4!H10</f>
        <v>1101.9842851399324</v>
      </c>
      <c r="N42" s="3768" t="str">
        <f>N50</f>
        <v>NO</v>
      </c>
      <c r="O42" s="3715">
        <f t="shared" si="2"/>
        <v>178267.23733913747</v>
      </c>
    </row>
    <row r="43" spans="2:15" ht="18" customHeight="1" x14ac:dyDescent="0.25">
      <c r="B43" s="1131" t="s">
        <v>1947</v>
      </c>
      <c r="C43" s="3769">
        <f>Table4!C11</f>
        <v>-13132.69831950849</v>
      </c>
      <c r="D43" s="3770">
        <f>Table4!D11</f>
        <v>240.31573030424929</v>
      </c>
      <c r="E43" s="3771">
        <f>Table4!E11</f>
        <v>4.9755500626910081</v>
      </c>
      <c r="F43" s="3736"/>
      <c r="G43" s="3736"/>
      <c r="H43" s="3736"/>
      <c r="I43" s="3736"/>
      <c r="J43" s="3736"/>
      <c r="K43" s="3756">
        <f>Table4!F11</f>
        <v>262.63745966100856</v>
      </c>
      <c r="L43" s="3756">
        <f>Table4!G11</f>
        <v>7067.392629607959</v>
      </c>
      <c r="M43" s="3756">
        <f>Table4!H11</f>
        <v>243.18647795925807</v>
      </c>
      <c r="N43" s="3772"/>
      <c r="O43" s="3773">
        <f t="shared" si="2"/>
        <v>-5085.3371043763927</v>
      </c>
    </row>
    <row r="44" spans="2:15" ht="18" customHeight="1" x14ac:dyDescent="0.25">
      <c r="B44" s="1131" t="s">
        <v>1948</v>
      </c>
      <c r="C44" s="3769">
        <f>Table4!C14</f>
        <v>34547.320297364073</v>
      </c>
      <c r="D44" s="3774">
        <f>Table4!D14</f>
        <v>23.02205712224827</v>
      </c>
      <c r="E44" s="3774">
        <f>Table4!E14</f>
        <v>0.52541536381525189</v>
      </c>
      <c r="F44" s="3754"/>
      <c r="G44" s="3754"/>
      <c r="H44" s="3754"/>
      <c r="I44" s="3754"/>
      <c r="J44" s="3754"/>
      <c r="K44" s="3756">
        <f>Table4!F14</f>
        <v>17.33506086883575</v>
      </c>
      <c r="L44" s="3756">
        <f>Table4!G14</f>
        <v>678.93751791074749</v>
      </c>
      <c r="M44" s="3756">
        <f>Table4!H14</f>
        <v>82.069370296903557</v>
      </c>
      <c r="N44" s="3775"/>
      <c r="O44" s="3717">
        <f t="shared" si="2"/>
        <v>35331.172968198065</v>
      </c>
    </row>
    <row r="45" spans="2:15" ht="18" customHeight="1" x14ac:dyDescent="0.25">
      <c r="B45" s="1131" t="s">
        <v>1949</v>
      </c>
      <c r="C45" s="3769">
        <f>Table4!C17</f>
        <v>129951.71841814725</v>
      </c>
      <c r="D45" s="3774">
        <f>Table4!D17</f>
        <v>382.5923130443627</v>
      </c>
      <c r="E45" s="3774">
        <f>Table4!E17</f>
        <v>10.253159465212009</v>
      </c>
      <c r="F45" s="3754"/>
      <c r="G45" s="3754"/>
      <c r="H45" s="3754"/>
      <c r="I45" s="3754"/>
      <c r="J45" s="3754"/>
      <c r="K45" s="3756">
        <f>Table4!F17</f>
        <v>505.05906985394535</v>
      </c>
      <c r="L45" s="3756">
        <f>Table4!G17</f>
        <v>14509.370567758453</v>
      </c>
      <c r="M45" s="3756">
        <f>Table4!H17</f>
        <v>752.58501068663782</v>
      </c>
      <c r="N45" s="3775"/>
      <c r="O45" s="3717">
        <f t="shared" si="2"/>
        <v>143381.39044167061</v>
      </c>
    </row>
    <row r="46" spans="2:15" ht="18" customHeight="1" x14ac:dyDescent="0.25">
      <c r="B46" s="1131" t="s">
        <v>1950</v>
      </c>
      <c r="C46" s="3769">
        <f>Table4!C20</f>
        <v>1783.0929076139928</v>
      </c>
      <c r="D46" s="3774">
        <f>Table4!D20</f>
        <v>84.076949093280405</v>
      </c>
      <c r="E46" s="3774">
        <f>Table4!E20</f>
        <v>0.2823977966740186</v>
      </c>
      <c r="F46" s="3754"/>
      <c r="G46" s="3754"/>
      <c r="H46" s="3754"/>
      <c r="I46" s="3754"/>
      <c r="J46" s="3754"/>
      <c r="K46" s="3756">
        <f>Table4!F20</f>
        <v>20.112311637017378</v>
      </c>
      <c r="L46" s="3756">
        <f>Table4!G20</f>
        <v>482.27150433954711</v>
      </c>
      <c r="M46" s="3756">
        <f>Table4!H20</f>
        <v>0.30945754861787605</v>
      </c>
      <c r="N46" s="3775"/>
      <c r="O46" s="3717">
        <f t="shared" si="2"/>
        <v>4212.0828983444599</v>
      </c>
    </row>
    <row r="47" spans="2:15" ht="18" customHeight="1" x14ac:dyDescent="0.25">
      <c r="B47" s="1131" t="s">
        <v>1951</v>
      </c>
      <c r="C47" s="3769">
        <f>Table4!C23</f>
        <v>7337.8786786846822</v>
      </c>
      <c r="D47" s="3774">
        <f>Table4!D23</f>
        <v>6.6858925039989572</v>
      </c>
      <c r="E47" s="3776">
        <f>Table4!E23</f>
        <v>0.13876076672595797</v>
      </c>
      <c r="F47" s="3754"/>
      <c r="G47" s="3754"/>
      <c r="H47" s="3754"/>
      <c r="I47" s="3754"/>
      <c r="J47" s="3754"/>
      <c r="K47" s="3756">
        <f>Table4!F23</f>
        <v>5.0343178675944538</v>
      </c>
      <c r="L47" s="3756">
        <f>Table4!G23</f>
        <v>197.17192245589521</v>
      </c>
      <c r="M47" s="3756">
        <f>Table4!H23</f>
        <v>23.833968648514805</v>
      </c>
      <c r="N47" s="1842"/>
      <c r="O47" s="3717">
        <f t="shared" si="2"/>
        <v>7561.8552719790323</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-7137.3080203068521</v>
      </c>
      <c r="D49" s="3736"/>
      <c r="E49" s="3736"/>
      <c r="F49" s="3736"/>
      <c r="G49" s="3736"/>
      <c r="H49" s="3736"/>
      <c r="I49" s="3736"/>
      <c r="J49" s="3736"/>
      <c r="K49" s="3736"/>
      <c r="L49" s="3736"/>
      <c r="M49" s="3736"/>
      <c r="N49" s="3781"/>
      <c r="O49" s="3721">
        <f t="shared" si="2"/>
        <v>-7137.3080203068521</v>
      </c>
    </row>
    <row r="50" spans="2:15" ht="18" customHeight="1" thickBot="1" x14ac:dyDescent="0.3">
      <c r="B50" s="1375" t="s">
        <v>1954</v>
      </c>
      <c r="C50" s="3782" t="str">
        <f>Table4!C30</f>
        <v>NO</v>
      </c>
      <c r="D50" s="3783" t="str">
        <f>Table4!D30</f>
        <v>NO</v>
      </c>
      <c r="E50" s="3783">
        <f>Table4!E30</f>
        <v>1.2758051428571431E-2</v>
      </c>
      <c r="F50" s="3762"/>
      <c r="G50" s="3762"/>
      <c r="H50" s="3762"/>
      <c r="I50" s="3762"/>
      <c r="J50" s="3762"/>
      <c r="K50" s="3784" t="str">
        <f>Table4!F30</f>
        <v>NO</v>
      </c>
      <c r="L50" s="3784" t="str">
        <f>Table4!G30</f>
        <v>NO</v>
      </c>
      <c r="M50" s="3784" t="str">
        <f>Table4!H30</f>
        <v>NO</v>
      </c>
      <c r="N50" s="3785" t="s">
        <v>199</v>
      </c>
      <c r="O50" s="3747">
        <f t="shared" si="2"/>
        <v>3.3808836285714294</v>
      </c>
    </row>
    <row r="51" spans="2:15" ht="18" customHeight="1" x14ac:dyDescent="0.25">
      <c r="B51" s="1376" t="s">
        <v>1955</v>
      </c>
      <c r="C51" s="3786">
        <f>Table5!C10</f>
        <v>73.841444217785693</v>
      </c>
      <c r="D51" s="3748">
        <f>Table5!D10</f>
        <v>829.68013553291394</v>
      </c>
      <c r="E51" s="3749">
        <f>Table5!E10</f>
        <v>0.59380049335514651</v>
      </c>
      <c r="F51" s="3750"/>
      <c r="G51" s="3750"/>
      <c r="H51" s="3750"/>
      <c r="I51" s="3750"/>
      <c r="J51" s="3750"/>
      <c r="K51" s="3751" t="str">
        <f>Table5!F10</f>
        <v>NO</v>
      </c>
      <c r="L51" s="3751" t="str">
        <f>Table5!G10</f>
        <v>NO</v>
      </c>
      <c r="M51" s="3751">
        <f>Table5!H10</f>
        <v>471.31226339718177</v>
      </c>
      <c r="N51" s="3752" t="str">
        <f>Table5!I10</f>
        <v>NO</v>
      </c>
      <c r="O51" s="3787">
        <f t="shared" si="2"/>
        <v>23462.242369878491</v>
      </c>
    </row>
    <row r="52" spans="2:15" ht="18" customHeight="1" x14ac:dyDescent="0.25">
      <c r="B52" s="1131" t="s">
        <v>1956</v>
      </c>
      <c r="C52" s="3758"/>
      <c r="D52" s="3753">
        <f>Table5!D11</f>
        <v>609.44937919462336</v>
      </c>
      <c r="E52" s="3788"/>
      <c r="F52" s="3750"/>
      <c r="G52" s="3750"/>
      <c r="H52" s="3750"/>
      <c r="I52" s="3750"/>
      <c r="J52" s="3750"/>
      <c r="K52" s="3756" t="str">
        <f>Table5!F11</f>
        <v>NO</v>
      </c>
      <c r="L52" s="3756" t="str">
        <f>Table5!G11</f>
        <v>NO</v>
      </c>
      <c r="M52" s="3756">
        <f>Table5!H11</f>
        <v>2.7188245392397148</v>
      </c>
      <c r="N52" s="3755"/>
      <c r="O52" s="3787">
        <f t="shared" si="2"/>
        <v>17064.582617449454</v>
      </c>
    </row>
    <row r="53" spans="2:15" ht="18" customHeight="1" x14ac:dyDescent="0.25">
      <c r="B53" s="1131" t="s">
        <v>1957</v>
      </c>
      <c r="C53" s="3758"/>
      <c r="D53" s="3753">
        <f>Table5!D15</f>
        <v>0.35026726298999472</v>
      </c>
      <c r="E53" s="3753">
        <f>Table5!E15</f>
        <v>4.4834209662719324E-2</v>
      </c>
      <c r="F53" s="3754"/>
      <c r="G53" s="3754"/>
      <c r="H53" s="3754"/>
      <c r="I53" s="3754"/>
      <c r="J53" s="3754"/>
      <c r="K53" s="3756" t="str">
        <f>Table5!F15</f>
        <v>NA,NE</v>
      </c>
      <c r="L53" s="3756" t="str">
        <f>Table5!G15</f>
        <v>NA,NE</v>
      </c>
      <c r="M53" s="3756" t="str">
        <f>Table5!H15</f>
        <v>NA,NE</v>
      </c>
      <c r="N53" s="3755"/>
      <c r="O53" s="3716">
        <f t="shared" si="2"/>
        <v>21.688548924340473</v>
      </c>
    </row>
    <row r="54" spans="2:15" ht="18" customHeight="1" x14ac:dyDescent="0.25">
      <c r="B54" s="1131" t="s">
        <v>1958</v>
      </c>
      <c r="C54" s="3817">
        <f>Table5!C18</f>
        <v>73.841444217785693</v>
      </c>
      <c r="D54" s="3722">
        <f>Table5!D18</f>
        <v>9.2671199999999995E-2</v>
      </c>
      <c r="E54" s="3722">
        <f>Table5!E18</f>
        <v>3.7979999999999993E-2</v>
      </c>
      <c r="F54" s="3754"/>
      <c r="G54" s="3754"/>
      <c r="H54" s="3754"/>
      <c r="I54" s="3754"/>
      <c r="J54" s="3754"/>
      <c r="K54" s="3756" t="str">
        <f>Table5!F18</f>
        <v>NA</v>
      </c>
      <c r="L54" s="3756" t="str">
        <f>Table5!G18</f>
        <v>NA</v>
      </c>
      <c r="M54" s="3756" t="str">
        <f>Table5!H18</f>
        <v>NA</v>
      </c>
      <c r="N54" s="3790" t="str">
        <f>Table5!I18</f>
        <v>NA</v>
      </c>
      <c r="O54" s="3791">
        <f t="shared" si="2"/>
        <v>86.500937817785697</v>
      </c>
    </row>
    <row r="55" spans="2:15" ht="18" customHeight="1" x14ac:dyDescent="0.25">
      <c r="B55" s="1131" t="s">
        <v>1959</v>
      </c>
      <c r="C55" s="3735"/>
      <c r="D55" s="3722">
        <f>Table5!D21</f>
        <v>219.7878178753005</v>
      </c>
      <c r="E55" s="3722">
        <f>Table5!E21</f>
        <v>0.51098628369242716</v>
      </c>
      <c r="F55" s="3754"/>
      <c r="G55" s="3754"/>
      <c r="H55" s="3754"/>
      <c r="I55" s="3754"/>
      <c r="J55" s="3754"/>
      <c r="K55" s="3756" t="str">
        <f>Table5!F21</f>
        <v>NO</v>
      </c>
      <c r="L55" s="3756" t="str">
        <f>Table5!G21</f>
        <v>NO</v>
      </c>
      <c r="M55" s="3756">
        <f>Table5!H21</f>
        <v>468.59343885794203</v>
      </c>
      <c r="N55" s="3755"/>
      <c r="O55" s="3791">
        <f t="shared" si="2"/>
        <v>6289.4702656869067</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6460.402</v>
      </c>
      <c r="D61" s="3802">
        <f>Table1!D52</f>
        <v>0.20738744833333336</v>
      </c>
      <c r="E61" s="3802">
        <f>Table1!E52</f>
        <v>7.9993873321929823E-2</v>
      </c>
      <c r="F61" s="615"/>
      <c r="G61" s="615"/>
      <c r="H61" s="615"/>
      <c r="I61" s="615"/>
      <c r="J61" s="615"/>
      <c r="K61" s="3802">
        <f>Table1!F52</f>
        <v>76.895369280614034</v>
      </c>
      <c r="L61" s="3802">
        <f>Table1!G52</f>
        <v>8.8486802076315776</v>
      </c>
      <c r="M61" s="3802">
        <f>Table1!H52</f>
        <v>5.0486217502543864</v>
      </c>
      <c r="N61" s="3803">
        <f>Table1!I52</f>
        <v>30.231947792172743</v>
      </c>
      <c r="O61" s="3787">
        <f t="shared" ref="O61:O67" si="4">IF(SUM(C61:J61)=0,"NO",SUM(C61,F61:H61)+28*SUM(D61)+265*SUM(E61)+23500*SUM(I61)+16100*SUM(J61))</f>
        <v>6487.4072249836445</v>
      </c>
    </row>
    <row r="62" spans="2:15" ht="18" customHeight="1" x14ac:dyDescent="0.25">
      <c r="B62" s="1370" t="s">
        <v>218</v>
      </c>
      <c r="C62" s="3804">
        <f>Table1!C53</f>
        <v>4382.7120000000004</v>
      </c>
      <c r="D62" s="620">
        <f>Table1!D53</f>
        <v>7.8174483333333343E-3</v>
      </c>
      <c r="E62" s="620">
        <f>Table1!E53</f>
        <v>2.2973873321929825E-2</v>
      </c>
      <c r="F62" s="615"/>
      <c r="G62" s="615"/>
      <c r="H62" s="615"/>
      <c r="I62" s="615"/>
      <c r="J62" s="2161"/>
      <c r="K62" s="620">
        <f>Table1!F53</f>
        <v>22.218969280614033</v>
      </c>
      <c r="L62" s="620">
        <f>Table1!G53</f>
        <v>6.9302202076315771</v>
      </c>
      <c r="M62" s="620">
        <f>Table1!H53</f>
        <v>3.3473517502543864</v>
      </c>
      <c r="N62" s="622">
        <f>Table1!I53</f>
        <v>0.51635400000000009</v>
      </c>
      <c r="O62" s="3716">
        <f t="shared" si="4"/>
        <v>4389.0189649836448</v>
      </c>
    </row>
    <row r="63" spans="2:15" ht="18" customHeight="1" x14ac:dyDescent="0.25">
      <c r="B63" s="1379" t="s">
        <v>1963</v>
      </c>
      <c r="C63" s="3804">
        <f>Table1!C54</f>
        <v>2077.69</v>
      </c>
      <c r="D63" s="617">
        <f>Table1!D54</f>
        <v>0.19957000000000003</v>
      </c>
      <c r="E63" s="617">
        <f>Table1!E54</f>
        <v>5.7020000000000001E-2</v>
      </c>
      <c r="F63" s="615"/>
      <c r="G63" s="615"/>
      <c r="H63" s="615"/>
      <c r="I63" s="615"/>
      <c r="J63" s="615"/>
      <c r="K63" s="617">
        <f>Table1!F54</f>
        <v>54.676400000000001</v>
      </c>
      <c r="L63" s="617">
        <f>Table1!G54</f>
        <v>1.9184600000000001</v>
      </c>
      <c r="M63" s="617">
        <f>Table1!H54</f>
        <v>1.7012700000000001</v>
      </c>
      <c r="N63" s="619">
        <f>Table1!I54</f>
        <v>29.715593792172744</v>
      </c>
      <c r="O63" s="3717">
        <f t="shared" si="4"/>
        <v>2098.3882599999997</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15142.26513</v>
      </c>
      <c r="D65" s="3806"/>
      <c r="E65" s="3806"/>
      <c r="F65" s="3807"/>
      <c r="G65" s="3807"/>
      <c r="H65" s="3807"/>
      <c r="I65" s="3807"/>
      <c r="J65" s="3806"/>
      <c r="K65" s="3806"/>
      <c r="L65" s="3806"/>
      <c r="M65" s="3806"/>
      <c r="N65" s="3808"/>
      <c r="O65" s="3773">
        <f t="shared" si="4"/>
        <v>15142.26513</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186837.52681501082</v>
      </c>
      <c r="D67" s="3807"/>
      <c r="E67" s="3807"/>
      <c r="F67" s="3811"/>
      <c r="G67" s="3807"/>
      <c r="H67" s="3807"/>
      <c r="I67" s="3807"/>
      <c r="J67" s="3807"/>
      <c r="K67" s="3807"/>
      <c r="L67" s="3807"/>
      <c r="M67" s="3807"/>
      <c r="N67" s="3812"/>
      <c r="O67" s="3721">
        <f t="shared" si="4"/>
        <v>186837.52681501082</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topLeftCell="A49"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2459</v>
      </c>
    </row>
    <row r="2" spans="2:12" ht="15.75" x14ac:dyDescent="0.2">
      <c r="B2" s="3" t="s">
        <v>162</v>
      </c>
      <c r="K2" s="14" t="s">
        <v>2460</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431510.49931750051</v>
      </c>
      <c r="D10" s="3798">
        <f>IFERROR(Summary1!D10*28,Summary1!D10)</f>
        <v>160771.27956312147</v>
      </c>
      <c r="E10" s="3798">
        <f>IFERROR(Summary1!E10*265,Summary1!E10)</f>
        <v>17541.036138109353</v>
      </c>
      <c r="F10" s="3798">
        <f>Summary1!F10</f>
        <v>1193.6537599999999</v>
      </c>
      <c r="G10" s="3798">
        <f>Summary1!G10</f>
        <v>4143.5315389337156</v>
      </c>
      <c r="H10" s="3798" t="str">
        <f>Summary1!H10</f>
        <v>NO</v>
      </c>
      <c r="I10" s="3827">
        <f>IFERROR(Summary1!I10*23500,Summary1!I10)</f>
        <v>227.33126391232889</v>
      </c>
      <c r="J10" s="4181" t="str">
        <f>IFERROR(Summary1!J10*16100,Summary1!J10)</f>
        <v>NO</v>
      </c>
      <c r="K10" s="3799">
        <f>IF(SUM(C10:J10)=0,"NO",SUM(C10:J10))</f>
        <v>615387.33158157754</v>
      </c>
    </row>
    <row r="11" spans="2:12" ht="18" customHeight="1" x14ac:dyDescent="0.2">
      <c r="B11" s="1549" t="s">
        <v>1921</v>
      </c>
      <c r="C11" s="3767">
        <f>Summary1!C11</f>
        <v>258952.01190728179</v>
      </c>
      <c r="D11" s="3767">
        <f>IFERROR(Summary1!D11*28,Summary1!D11)</f>
        <v>36689.111253180272</v>
      </c>
      <c r="E11" s="3767">
        <f>IFERROR(Summary1!E11*265,Summary1!E11)</f>
        <v>1744.2897014805612</v>
      </c>
      <c r="F11" s="1550"/>
      <c r="G11" s="1550"/>
      <c r="H11" s="1551"/>
      <c r="I11" s="1551"/>
      <c r="J11" s="613"/>
      <c r="K11" s="3828">
        <f t="shared" ref="K11:K55" si="0">IF(SUM(C11:J11)=0,"NO",SUM(C11:J11))</f>
        <v>297385.4128619426</v>
      </c>
      <c r="L11" s="19"/>
    </row>
    <row r="12" spans="2:12" ht="18" customHeight="1" x14ac:dyDescent="0.2">
      <c r="B12" s="606" t="s">
        <v>242</v>
      </c>
      <c r="C12" s="3756">
        <f>Summary1!C12</f>
        <v>251679.28872254479</v>
      </c>
      <c r="D12" s="3756">
        <f>IFERROR(Summary1!D12*28,Summary1!D12)</f>
        <v>3686.1578685034156</v>
      </c>
      <c r="E12" s="3756">
        <f>IFERROR(Summary1!E12*265,Summary1!E12)</f>
        <v>1708.5010318935613</v>
      </c>
      <c r="F12" s="615"/>
      <c r="G12" s="615"/>
      <c r="H12" s="615"/>
      <c r="I12" s="69"/>
      <c r="J12" s="69"/>
      <c r="K12" s="3829">
        <f t="shared" si="0"/>
        <v>257073.94762294178</v>
      </c>
      <c r="L12" s="19"/>
    </row>
    <row r="13" spans="2:12" ht="18" customHeight="1" x14ac:dyDescent="0.2">
      <c r="B13" s="1391" t="s">
        <v>1923</v>
      </c>
      <c r="C13" s="3756">
        <f>Summary1!C13</f>
        <v>142550.6880303224</v>
      </c>
      <c r="D13" s="3756">
        <f>IFERROR(Summary1!D13*28,Summary1!D13)</f>
        <v>171.32169765427426</v>
      </c>
      <c r="E13" s="3756">
        <f>IFERROR(Summary1!E13*265,Summary1!E13)</f>
        <v>450.74631182860566</v>
      </c>
      <c r="F13" s="615"/>
      <c r="G13" s="615"/>
      <c r="H13" s="615"/>
      <c r="I13" s="69"/>
      <c r="J13" s="69"/>
      <c r="K13" s="3829">
        <f t="shared" si="0"/>
        <v>143172.75603980527</v>
      </c>
      <c r="L13" s="19"/>
    </row>
    <row r="14" spans="2:12" ht="18" customHeight="1" x14ac:dyDescent="0.2">
      <c r="B14" s="1391" t="s">
        <v>1976</v>
      </c>
      <c r="C14" s="3756">
        <f>Summary1!C14</f>
        <v>35866.538631108211</v>
      </c>
      <c r="D14" s="3756">
        <f>IFERROR(Summary1!D14*28,Summary1!D14)</f>
        <v>57.684927651331748</v>
      </c>
      <c r="E14" s="3756">
        <f>IFERROR(Summary1!E14*265,Summary1!E14)</f>
        <v>300.69837443314759</v>
      </c>
      <c r="F14" s="615"/>
      <c r="G14" s="615"/>
      <c r="H14" s="615"/>
      <c r="I14" s="69"/>
      <c r="J14" s="69"/>
      <c r="K14" s="3829">
        <f t="shared" si="0"/>
        <v>36224.921933192687</v>
      </c>
      <c r="L14" s="19"/>
    </row>
    <row r="15" spans="2:12" ht="18" customHeight="1" x14ac:dyDescent="0.2">
      <c r="B15" s="1391" t="s">
        <v>1925</v>
      </c>
      <c r="C15" s="3756">
        <f>Summary1!C15</f>
        <v>59818.854504549039</v>
      </c>
      <c r="D15" s="3756">
        <f>IFERROR(Summary1!D15*28,Summary1!D15)</f>
        <v>737.66236467714862</v>
      </c>
      <c r="E15" s="3756">
        <f>IFERROR(Summary1!E15*265,Summary1!E15)</f>
        <v>813.07007552899915</v>
      </c>
      <c r="F15" s="615"/>
      <c r="G15" s="615"/>
      <c r="H15" s="615"/>
      <c r="I15" s="69"/>
      <c r="J15" s="69"/>
      <c r="K15" s="3829">
        <f t="shared" si="0"/>
        <v>61369.586944755189</v>
      </c>
      <c r="L15" s="19"/>
    </row>
    <row r="16" spans="2:12" ht="18" customHeight="1" x14ac:dyDescent="0.2">
      <c r="B16" s="1391" t="s">
        <v>1926</v>
      </c>
      <c r="C16" s="3756">
        <f>Summary1!C16</f>
        <v>13024.212038643214</v>
      </c>
      <c r="D16" s="3756">
        <f>IFERROR(Summary1!D16*28,Summary1!D16)</f>
        <v>2718.7557267592892</v>
      </c>
      <c r="E16" s="3756">
        <f>IFERROR(Summary1!E16*265,Summary1!E16)</f>
        <v>141.01921306144283</v>
      </c>
      <c r="F16" s="615"/>
      <c r="G16" s="615"/>
      <c r="H16" s="615"/>
      <c r="I16" s="69"/>
      <c r="J16" s="69"/>
      <c r="K16" s="3829">
        <f t="shared" si="0"/>
        <v>15883.986978463947</v>
      </c>
      <c r="L16" s="19"/>
    </row>
    <row r="17" spans="2:12" ht="18" customHeight="1" x14ac:dyDescent="0.2">
      <c r="B17" s="1391" t="s">
        <v>1927</v>
      </c>
      <c r="C17" s="3756">
        <f>Summary1!C17</f>
        <v>418.99551792193483</v>
      </c>
      <c r="D17" s="3756">
        <f>IFERROR(Summary1!D17*28,Summary1!D17)</f>
        <v>0.7331517613715206</v>
      </c>
      <c r="E17" s="3756">
        <f>IFERROR(Summary1!E17*265,Summary1!E17)</f>
        <v>2.9670570413662061</v>
      </c>
      <c r="F17" s="615"/>
      <c r="G17" s="615"/>
      <c r="H17" s="615"/>
      <c r="I17" s="69"/>
      <c r="J17" s="69"/>
      <c r="K17" s="3829">
        <f t="shared" si="0"/>
        <v>422.69572672467257</v>
      </c>
      <c r="L17" s="19"/>
    </row>
    <row r="18" spans="2:12" ht="18" customHeight="1" x14ac:dyDescent="0.2">
      <c r="B18" s="606" t="s">
        <v>201</v>
      </c>
      <c r="C18" s="3756">
        <f>Summary1!C18</f>
        <v>7272.7231847369876</v>
      </c>
      <c r="D18" s="3756">
        <f>IFERROR(Summary1!D18*28,Summary1!D18)</f>
        <v>33002.953384676861</v>
      </c>
      <c r="E18" s="3756">
        <f>IFERROR(Summary1!E18*265,Summary1!E18)</f>
        <v>35.788669587000015</v>
      </c>
      <c r="F18" s="615"/>
      <c r="G18" s="615"/>
      <c r="H18" s="615"/>
      <c r="I18" s="69"/>
      <c r="J18" s="69"/>
      <c r="K18" s="3829">
        <f t="shared" si="0"/>
        <v>40311.465239000841</v>
      </c>
      <c r="L18" s="19"/>
    </row>
    <row r="19" spans="2:12" ht="18" customHeight="1" x14ac:dyDescent="0.2">
      <c r="B19" s="1391" t="s">
        <v>1928</v>
      </c>
      <c r="C19" s="3756">
        <f>Summary1!C19</f>
        <v>1183.8805823664284</v>
      </c>
      <c r="D19" s="3756">
        <f>IFERROR(Summary1!D19*28,Summary1!D19)</f>
        <v>24393.980736922909</v>
      </c>
      <c r="E19" s="3756">
        <f>IFERROR(Summary1!E19*265,Summary1!E19)</f>
        <v>1.412438486112001E-4</v>
      </c>
      <c r="F19" s="615"/>
      <c r="G19" s="615"/>
      <c r="H19" s="615"/>
      <c r="I19" s="69"/>
      <c r="J19" s="69"/>
      <c r="K19" s="3829">
        <f t="shared" si="0"/>
        <v>25577.861460533186</v>
      </c>
      <c r="L19" s="19"/>
    </row>
    <row r="20" spans="2:12" ht="18" customHeight="1" x14ac:dyDescent="0.2">
      <c r="B20" s="1392" t="s">
        <v>1929</v>
      </c>
      <c r="C20" s="3756">
        <f>Summary1!C20</f>
        <v>6088.8426023705597</v>
      </c>
      <c r="D20" s="3756">
        <f>IFERROR(Summary1!D20*28,Summary1!D20)</f>
        <v>8608.9726477539516</v>
      </c>
      <c r="E20" s="3756">
        <f>IFERROR(Summary1!E20*265,Summary1!E20)</f>
        <v>35.788528343151405</v>
      </c>
      <c r="F20" s="615"/>
      <c r="G20" s="615"/>
      <c r="H20" s="615"/>
      <c r="I20" s="69"/>
      <c r="J20" s="69"/>
      <c r="K20" s="3829">
        <f t="shared" si="0"/>
        <v>14733.603778467663</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18552.628794626791</v>
      </c>
      <c r="D22" s="3767">
        <f>IFERROR(Summary1!D22*28,Summary1!D22)</f>
        <v>91.410140292475361</v>
      </c>
      <c r="E22" s="3767">
        <f>IFERROR(Summary1!E22*265,Summary1!E22)</f>
        <v>904.65743427542532</v>
      </c>
      <c r="F22" s="3767">
        <f>Summary1!F22</f>
        <v>1193.6537599999999</v>
      </c>
      <c r="G22" s="3767">
        <f>Summary1!G22</f>
        <v>4143.5315389337156</v>
      </c>
      <c r="H22" s="3767" t="str">
        <f>Summary1!H22</f>
        <v>NO</v>
      </c>
      <c r="I22" s="3767">
        <f>IFERROR(Summary1!I22*23500,Summary1!I22)</f>
        <v>227.33126391232889</v>
      </c>
      <c r="J22" s="3831" t="str">
        <f>IFERROR(Summary1!J22*16100,Summary1!J22)</f>
        <v>NO</v>
      </c>
      <c r="K22" s="3828">
        <f t="shared" si="0"/>
        <v>25113.212932040737</v>
      </c>
      <c r="L22" s="19"/>
    </row>
    <row r="23" spans="2:12" ht="18" customHeight="1" x14ac:dyDescent="0.2">
      <c r="B23" s="1393" t="s">
        <v>1932</v>
      </c>
      <c r="C23" s="3756">
        <f>Summary1!C23</f>
        <v>5489.5881371538135</v>
      </c>
      <c r="D23" s="615"/>
      <c r="E23" s="615"/>
      <c r="F23" s="615"/>
      <c r="G23" s="615"/>
      <c r="H23" s="615"/>
      <c r="I23" s="69"/>
      <c r="J23" s="69"/>
      <c r="K23" s="3829">
        <f t="shared" si="0"/>
        <v>5489.5881371538135</v>
      </c>
      <c r="L23" s="19"/>
    </row>
    <row r="24" spans="2:12" ht="18" customHeight="1" x14ac:dyDescent="0.2">
      <c r="B24" s="1393" t="s">
        <v>846</v>
      </c>
      <c r="C24" s="3756">
        <f>Summary1!C24</f>
        <v>1054.6897029809472</v>
      </c>
      <c r="D24" s="3756">
        <f>IFERROR(Summary1!D24*28,Summary1!D24)</f>
        <v>12.253530072</v>
      </c>
      <c r="E24" s="3756">
        <f>IFERROR(Summary1!E24*265,Summary1!E24)</f>
        <v>884.85171089999994</v>
      </c>
      <c r="F24" s="1949">
        <f>Summary1!F24</f>
        <v>1193.6537599999999</v>
      </c>
      <c r="G24" s="1949" t="str">
        <f>Summary1!G24</f>
        <v>NO</v>
      </c>
      <c r="H24" s="1949" t="str">
        <f>Summary1!H24</f>
        <v>NO</v>
      </c>
      <c r="I24" s="602" t="str">
        <f>IFERROR(Summary1!I24*23500,Summary1!I24)</f>
        <v>NO</v>
      </c>
      <c r="J24" s="602" t="str">
        <f>IFERROR(Summary1!J24*16100,Summary1!J24)</f>
        <v>NO</v>
      </c>
      <c r="K24" s="3829">
        <f t="shared" si="0"/>
        <v>3145.4487039529472</v>
      </c>
      <c r="L24" s="19"/>
    </row>
    <row r="25" spans="2:12" ht="18" customHeight="1" x14ac:dyDescent="0.2">
      <c r="B25" s="1393" t="s">
        <v>637</v>
      </c>
      <c r="C25" s="3756">
        <f>Summary1!C25</f>
        <v>11644.473410340323</v>
      </c>
      <c r="D25" s="3756">
        <f>IFERROR(Summary1!D25*28,Summary1!D25)</f>
        <v>79.156610220475358</v>
      </c>
      <c r="E25" s="3756">
        <f>IFERROR(Summary1!E25*265,Summary1!E25)</f>
        <v>19.805723375425394</v>
      </c>
      <c r="F25" s="1949" t="str">
        <f>Summary1!F25</f>
        <v>NO</v>
      </c>
      <c r="G25" s="3756">
        <f>Summary1!G25</f>
        <v>4143.5315389337156</v>
      </c>
      <c r="H25" s="3756" t="str">
        <f>Summary1!H25</f>
        <v>NO</v>
      </c>
      <c r="I25" s="3756" t="str">
        <f>IFERROR(Summary1!I25*23500,Summary1!I25)</f>
        <v>NO</v>
      </c>
      <c r="J25" s="3756" t="str">
        <f>IFERROR(Summary1!J25*16100,Summary1!J25)</f>
        <v>NO</v>
      </c>
      <c r="K25" s="3829">
        <f t="shared" si="0"/>
        <v>15886.96728286994</v>
      </c>
      <c r="L25" s="19"/>
    </row>
    <row r="26" spans="2:12" ht="18" customHeight="1" x14ac:dyDescent="0.2">
      <c r="B26" s="1394" t="s">
        <v>1978</v>
      </c>
      <c r="C26" s="3756">
        <f>Summary1!C26</f>
        <v>281.30450949999999</v>
      </c>
      <c r="D26" s="3756" t="str">
        <f>IFERROR(Summary1!D26*28,Summary1!D26)</f>
        <v>NO</v>
      </c>
      <c r="E26" s="3756" t="str">
        <f>IFERROR(Summary1!E26*265,Summary1!E26)</f>
        <v>NO</v>
      </c>
      <c r="F26" s="615"/>
      <c r="G26" s="615"/>
      <c r="H26" s="615"/>
      <c r="I26" s="69"/>
      <c r="J26" s="69"/>
      <c r="K26" s="3829">
        <f t="shared" si="0"/>
        <v>281.30450949999999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t="str">
        <f>Summary1!F28</f>
        <v>NO</v>
      </c>
      <c r="G28" s="3756" t="str">
        <f>Summary1!G28</f>
        <v>NO</v>
      </c>
      <c r="H28" s="3756" t="str">
        <f>Summary1!H28</f>
        <v>NO</v>
      </c>
      <c r="I28" s="3756" t="str">
        <f>IFERROR(Summary1!I28*23500,Summary1!I28)</f>
        <v>NO</v>
      </c>
      <c r="J28" s="3756" t="str">
        <f>IFERROR(Summary1!J28*16100,Summary1!J28)</f>
        <v>NO</v>
      </c>
      <c r="K28" s="3829" t="str">
        <f t="shared" si="0"/>
        <v>NO</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227.33126391232889</v>
      </c>
      <c r="J29" s="3756" t="str">
        <f>IFERROR(Summary1!J29*16100,Summary1!J29)</f>
        <v>NO</v>
      </c>
      <c r="K29" s="3829">
        <f t="shared" si="0"/>
        <v>227.33126391232889</v>
      </c>
      <c r="L29" s="19"/>
    </row>
    <row r="30" spans="2:12" ht="18" customHeight="1" thickBot="1" x14ac:dyDescent="0.25">
      <c r="B30" s="1406" t="s">
        <v>1982</v>
      </c>
      <c r="C30" s="3784">
        <f>Summary1!C30</f>
        <v>82.573034651705768</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82.573034651705768</v>
      </c>
      <c r="L30" s="19"/>
    </row>
    <row r="31" spans="2:12" ht="18" customHeight="1" x14ac:dyDescent="0.2">
      <c r="B31" s="780" t="s">
        <v>1937</v>
      </c>
      <c r="C31" s="3767">
        <f>Summary1!C31</f>
        <v>582.01320937951778</v>
      </c>
      <c r="D31" s="3767">
        <f>IFERROR(Summary1!D31*28,Summary1!D31)</f>
        <v>80132.311996819233</v>
      </c>
      <c r="E31" s="3767">
        <f>IFERROR(Summary1!E31*265,Summary1!E31)</f>
        <v>10444.900872379345</v>
      </c>
      <c r="F31" s="1550"/>
      <c r="G31" s="1550"/>
      <c r="H31" s="1550"/>
      <c r="I31" s="1553"/>
      <c r="J31" s="613"/>
      <c r="K31" s="3828">
        <f t="shared" si="0"/>
        <v>91159.226078578096</v>
      </c>
      <c r="L31" s="19"/>
    </row>
    <row r="32" spans="2:12" ht="18" customHeight="1" x14ac:dyDescent="0.2">
      <c r="B32" s="606" t="s">
        <v>1938</v>
      </c>
      <c r="C32" s="615"/>
      <c r="D32" s="3756">
        <f>IFERROR(Summary1!D32*28,Summary1!D32)</f>
        <v>72388.855630241276</v>
      </c>
      <c r="E32" s="615"/>
      <c r="F32" s="615"/>
      <c r="G32" s="615"/>
      <c r="H32" s="615"/>
      <c r="I32" s="69"/>
      <c r="J32" s="69"/>
      <c r="K32" s="3829">
        <f t="shared" si="0"/>
        <v>72388.855630241276</v>
      </c>
      <c r="L32" s="19"/>
    </row>
    <row r="33" spans="2:12" ht="18" customHeight="1" x14ac:dyDescent="0.2">
      <c r="B33" s="606" t="s">
        <v>1939</v>
      </c>
      <c r="C33" s="615"/>
      <c r="D33" s="3756">
        <f>IFERROR(Summary1!D33*28,Summary1!D33)</f>
        <v>6883.7700640862831</v>
      </c>
      <c r="E33" s="3756">
        <f>IFERROR(Summary1!E33*265,Summary1!E33)</f>
        <v>247.10296593533033</v>
      </c>
      <c r="F33" s="615"/>
      <c r="G33" s="615"/>
      <c r="H33" s="615"/>
      <c r="I33" s="69"/>
      <c r="J33" s="69"/>
      <c r="K33" s="3829">
        <f t="shared" si="0"/>
        <v>7130.8730300216139</v>
      </c>
      <c r="L33" s="19"/>
    </row>
    <row r="34" spans="2:12" ht="18" customHeight="1" x14ac:dyDescent="0.2">
      <c r="B34" s="606" t="s">
        <v>1940</v>
      </c>
      <c r="C34" s="615"/>
      <c r="D34" s="3756">
        <f>IFERROR(Summary1!D34*28,Summary1!D34)</f>
        <v>532.69558007436797</v>
      </c>
      <c r="E34" s="615"/>
      <c r="F34" s="615"/>
      <c r="G34" s="615"/>
      <c r="H34" s="615"/>
      <c r="I34" s="69"/>
      <c r="J34" s="69"/>
      <c r="K34" s="3829">
        <f t="shared" si="0"/>
        <v>532.69558007436797</v>
      </c>
      <c r="L34" s="19"/>
    </row>
    <row r="35" spans="2:12" ht="18" customHeight="1" x14ac:dyDescent="0.2">
      <c r="B35" s="606" t="s">
        <v>1941</v>
      </c>
      <c r="C35" s="1950"/>
      <c r="D35" s="3756" t="str">
        <f>IFERROR(Summary1!D35*28,Summary1!D35)</f>
        <v>NE</v>
      </c>
      <c r="E35" s="3756">
        <f>IFERROR(Summary1!E35*265,Summary1!E35)</f>
        <v>10074.277712735842</v>
      </c>
      <c r="F35" s="615"/>
      <c r="G35" s="615"/>
      <c r="H35" s="615"/>
      <c r="I35" s="69"/>
      <c r="J35" s="69"/>
      <c r="K35" s="3829">
        <f t="shared" si="0"/>
        <v>10074.277712735842</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326.99072241731045</v>
      </c>
      <c r="E37" s="3756">
        <f>IFERROR(Summary1!E37*265,Summary1!E37)</f>
        <v>123.52019370817197</v>
      </c>
      <c r="F37" s="615"/>
      <c r="G37" s="615"/>
      <c r="H37" s="615"/>
      <c r="I37" s="69"/>
      <c r="J37" s="69"/>
      <c r="K37" s="3829">
        <f t="shared" si="0"/>
        <v>450.51091612548242</v>
      </c>
      <c r="L37" s="19"/>
    </row>
    <row r="38" spans="2:12" ht="18" customHeight="1" x14ac:dyDescent="0.2">
      <c r="B38" s="606" t="s">
        <v>955</v>
      </c>
      <c r="C38" s="1949">
        <f>Summary1!C38</f>
        <v>215.34654271285109</v>
      </c>
      <c r="D38" s="3832"/>
      <c r="E38" s="3832"/>
      <c r="F38" s="615"/>
      <c r="G38" s="615"/>
      <c r="H38" s="615"/>
      <c r="I38" s="69"/>
      <c r="J38" s="69"/>
      <c r="K38" s="3829">
        <f t="shared" si="0"/>
        <v>215.34654271285109</v>
      </c>
      <c r="L38" s="19"/>
    </row>
    <row r="39" spans="2:12" ht="18" customHeight="1" x14ac:dyDescent="0.2">
      <c r="B39" s="606" t="s">
        <v>956</v>
      </c>
      <c r="C39" s="1949">
        <f>Summary1!C39</f>
        <v>366.66666666666663</v>
      </c>
      <c r="D39" s="3832"/>
      <c r="E39" s="3832"/>
      <c r="F39" s="615"/>
      <c r="G39" s="615"/>
      <c r="H39" s="615"/>
      <c r="I39" s="69"/>
      <c r="J39" s="69"/>
      <c r="K39" s="3829">
        <f t="shared" si="0"/>
        <v>366.66666666666663</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153350.00396199466</v>
      </c>
      <c r="D42" s="1952">
        <f>IFERROR(Summary1!D42*28,Summary1!D42)</f>
        <v>20627.402377907907</v>
      </c>
      <c r="E42" s="1952">
        <f>IFERROR(Summary1!E42*265,Summary1!E42)</f>
        <v>4289.8309992349068</v>
      </c>
      <c r="F42" s="1550"/>
      <c r="G42" s="1550"/>
      <c r="H42" s="1550"/>
      <c r="I42" s="1553"/>
      <c r="J42" s="613"/>
      <c r="K42" s="3828">
        <f t="shared" si="0"/>
        <v>178267.23733913747</v>
      </c>
      <c r="L42" s="19"/>
    </row>
    <row r="43" spans="2:12" ht="18" customHeight="1" x14ac:dyDescent="0.2">
      <c r="B43" s="606" t="s">
        <v>1252</v>
      </c>
      <c r="C43" s="1949">
        <f>Summary1!C43</f>
        <v>-13132.69831950849</v>
      </c>
      <c r="D43" s="1949">
        <f>IFERROR(Summary1!D43*28,Summary1!D43)</f>
        <v>6728.8404485189803</v>
      </c>
      <c r="E43" s="1949">
        <f>IFERROR(Summary1!E43*265,Summary1!E43)</f>
        <v>1318.5207666131171</v>
      </c>
      <c r="F43" s="627"/>
      <c r="G43" s="627"/>
      <c r="H43" s="627"/>
      <c r="I43" s="614"/>
      <c r="J43" s="69"/>
      <c r="K43" s="3829">
        <f t="shared" si="0"/>
        <v>-5085.3371043763927</v>
      </c>
      <c r="L43" s="19"/>
    </row>
    <row r="44" spans="2:12" ht="18" customHeight="1" x14ac:dyDescent="0.2">
      <c r="B44" s="606" t="s">
        <v>1255</v>
      </c>
      <c r="C44" s="1949">
        <f>Summary1!C44</f>
        <v>34547.320297364073</v>
      </c>
      <c r="D44" s="1949">
        <f>IFERROR(Summary1!D44*28,Summary1!D44)</f>
        <v>644.61759942295157</v>
      </c>
      <c r="E44" s="1949">
        <f>IFERROR(Summary1!E44*265,Summary1!E44)</f>
        <v>139.23507141104176</v>
      </c>
      <c r="F44" s="627"/>
      <c r="G44" s="627"/>
      <c r="H44" s="627"/>
      <c r="I44" s="614"/>
      <c r="J44" s="69"/>
      <c r="K44" s="3829">
        <f t="shared" si="0"/>
        <v>35331.172968198065</v>
      </c>
      <c r="L44" s="19"/>
    </row>
    <row r="45" spans="2:12" ht="18" customHeight="1" x14ac:dyDescent="0.2">
      <c r="B45" s="606" t="s">
        <v>1258</v>
      </c>
      <c r="C45" s="1949">
        <f>Summary1!C45</f>
        <v>129951.71841814725</v>
      </c>
      <c r="D45" s="1949">
        <f>IFERROR(Summary1!D45*28,Summary1!D45)</f>
        <v>10712.584765242156</v>
      </c>
      <c r="E45" s="1949">
        <f>IFERROR(Summary1!E45*265,Summary1!E45)</f>
        <v>2717.0872582811826</v>
      </c>
      <c r="F45" s="627"/>
      <c r="G45" s="627"/>
      <c r="H45" s="627"/>
      <c r="I45" s="614"/>
      <c r="J45" s="69"/>
      <c r="K45" s="3829">
        <f t="shared" si="0"/>
        <v>143381.39044167061</v>
      </c>
      <c r="L45" s="19"/>
    </row>
    <row r="46" spans="2:12" ht="18" customHeight="1" x14ac:dyDescent="0.2">
      <c r="B46" s="606" t="s">
        <v>1984</v>
      </c>
      <c r="C46" s="1949">
        <f>Summary1!C46</f>
        <v>1783.0929076139928</v>
      </c>
      <c r="D46" s="1949">
        <f>IFERROR(Summary1!D46*28,Summary1!D46)</f>
        <v>2354.1545746118513</v>
      </c>
      <c r="E46" s="1949">
        <f>IFERROR(Summary1!E46*265,Summary1!E46)</f>
        <v>74.83541611861493</v>
      </c>
      <c r="F46" s="627"/>
      <c r="G46" s="627"/>
      <c r="H46" s="627"/>
      <c r="I46" s="614"/>
      <c r="J46" s="69"/>
      <c r="K46" s="3829">
        <f t="shared" si="0"/>
        <v>4212.0828983444599</v>
      </c>
      <c r="L46" s="19"/>
    </row>
    <row r="47" spans="2:12" ht="18" customHeight="1" x14ac:dyDescent="0.2">
      <c r="B47" s="606" t="s">
        <v>1985</v>
      </c>
      <c r="C47" s="1949">
        <f>Summary1!C47</f>
        <v>7337.8786786846822</v>
      </c>
      <c r="D47" s="1949">
        <f>IFERROR(Summary1!D47*28,Summary1!D47)</f>
        <v>187.2049901119708</v>
      </c>
      <c r="E47" s="1949">
        <f>IFERROR(Summary1!E47*265,Summary1!E47)</f>
        <v>36.771603182378861</v>
      </c>
      <c r="F47" s="627"/>
      <c r="G47" s="627"/>
      <c r="H47" s="627"/>
      <c r="I47" s="614"/>
      <c r="J47" s="69"/>
      <c r="K47" s="3829">
        <f t="shared" si="0"/>
        <v>7561.8552719790323</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-7137.3080203068521</v>
      </c>
      <c r="D49" s="3833"/>
      <c r="E49" s="3833"/>
      <c r="F49" s="627"/>
      <c r="G49" s="627"/>
      <c r="H49" s="627"/>
      <c r="I49" s="614"/>
      <c r="J49" s="69"/>
      <c r="K49" s="3829">
        <f t="shared" si="0"/>
        <v>-7137.3080203068521</v>
      </c>
      <c r="L49" s="19"/>
    </row>
    <row r="50" spans="2:12" ht="18" customHeight="1" thickBot="1" x14ac:dyDescent="0.25">
      <c r="B50" s="1554" t="s">
        <v>1988</v>
      </c>
      <c r="C50" s="1951" t="str">
        <f>Summary1!C50</f>
        <v>NO</v>
      </c>
      <c r="D50" s="1951" t="str">
        <f>IFERROR(Summary1!D50*28,Summary1!D50)</f>
        <v>NO</v>
      </c>
      <c r="E50" s="1951">
        <f>IFERROR(Summary1!E50*265,Summary1!E50)</f>
        <v>3.3808836285714294</v>
      </c>
      <c r="F50" s="1953"/>
      <c r="G50" s="1953"/>
      <c r="H50" s="1953"/>
      <c r="I50" s="1555"/>
      <c r="J50" s="87"/>
      <c r="K50" s="3830">
        <f t="shared" si="0"/>
        <v>3.3808836285714294</v>
      </c>
      <c r="L50" s="19"/>
    </row>
    <row r="51" spans="2:12" ht="18" customHeight="1" x14ac:dyDescent="0.2">
      <c r="B51" s="1549" t="s">
        <v>1955</v>
      </c>
      <c r="C51" s="1952">
        <f>Summary1!C51</f>
        <v>73.841444217785693</v>
      </c>
      <c r="D51" s="1952">
        <f>IFERROR(Summary1!D51*28,Summary1!D51)</f>
        <v>23231.043794921592</v>
      </c>
      <c r="E51" s="1952">
        <f>IFERROR(Summary1!E51*265,Summary1!E51)</f>
        <v>157.35713073911381</v>
      </c>
      <c r="F51" s="1550"/>
      <c r="G51" s="1550"/>
      <c r="H51" s="1550"/>
      <c r="I51" s="1553"/>
      <c r="J51" s="613"/>
      <c r="K51" s="3828">
        <f t="shared" si="0"/>
        <v>23462.242369878491</v>
      </c>
      <c r="L51" s="19"/>
    </row>
    <row r="52" spans="2:12" ht="18" customHeight="1" x14ac:dyDescent="0.2">
      <c r="B52" s="606" t="s">
        <v>1989</v>
      </c>
      <c r="C52" s="615"/>
      <c r="D52" s="1949">
        <f>IFERROR(Summary1!D52*28,Summary1!D52)</f>
        <v>17064.582617449454</v>
      </c>
      <c r="E52" s="627"/>
      <c r="F52" s="615"/>
      <c r="G52" s="615"/>
      <c r="H52" s="615"/>
      <c r="I52" s="69"/>
      <c r="J52" s="69"/>
      <c r="K52" s="3829">
        <f t="shared" si="0"/>
        <v>17064.582617449454</v>
      </c>
      <c r="L52" s="19"/>
    </row>
    <row r="53" spans="2:12" ht="18" customHeight="1" x14ac:dyDescent="0.2">
      <c r="B53" s="1395" t="s">
        <v>1990</v>
      </c>
      <c r="C53" s="615"/>
      <c r="D53" s="1949">
        <f>IFERROR(Summary1!D53*28,Summary1!D53)</f>
        <v>9.807483363719852</v>
      </c>
      <c r="E53" s="1949">
        <f>IFERROR(Summary1!E53*265,Summary1!E53)</f>
        <v>11.881065560620621</v>
      </c>
      <c r="F53" s="615"/>
      <c r="G53" s="615"/>
      <c r="H53" s="615"/>
      <c r="I53" s="69"/>
      <c r="J53" s="69"/>
      <c r="K53" s="3829">
        <f t="shared" si="0"/>
        <v>21.688548924340473</v>
      </c>
      <c r="L53" s="19"/>
    </row>
    <row r="54" spans="2:12" ht="18" customHeight="1" x14ac:dyDescent="0.2">
      <c r="B54" s="1396" t="s">
        <v>1991</v>
      </c>
      <c r="C54" s="1949">
        <f>Summary1!C54</f>
        <v>73.841444217785693</v>
      </c>
      <c r="D54" s="1949">
        <f>IFERROR(Summary1!D54*28,Summary1!D54)</f>
        <v>2.5947936</v>
      </c>
      <c r="E54" s="1949">
        <f>IFERROR(Summary1!E54*265,Summary1!E54)</f>
        <v>10.064699999999998</v>
      </c>
      <c r="F54" s="615"/>
      <c r="G54" s="615"/>
      <c r="H54" s="615"/>
      <c r="I54" s="69"/>
      <c r="J54" s="69"/>
      <c r="K54" s="3829">
        <f t="shared" si="0"/>
        <v>86.500937817785697</v>
      </c>
      <c r="L54" s="19"/>
    </row>
    <row r="55" spans="2:12" ht="18" customHeight="1" x14ac:dyDescent="0.2">
      <c r="B55" s="606" t="s">
        <v>1992</v>
      </c>
      <c r="C55" s="615"/>
      <c r="D55" s="1949">
        <f>IFERROR(Summary1!D55*28,Summary1!D55)</f>
        <v>6154.0589005084139</v>
      </c>
      <c r="E55" s="1949">
        <f>IFERROR(Summary1!E55*265,Summary1!E55)</f>
        <v>135.41136517849318</v>
      </c>
      <c r="F55" s="615"/>
      <c r="G55" s="615"/>
      <c r="H55" s="615"/>
      <c r="I55" s="69"/>
      <c r="J55" s="69"/>
      <c r="K55" s="3829">
        <f t="shared" si="0"/>
        <v>6289.4702656869067</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6460.402</v>
      </c>
      <c r="D60" s="617">
        <f>IFERROR(Summary1!D61*28,Summary1!D61)</f>
        <v>5.8068485533333343</v>
      </c>
      <c r="E60" s="617">
        <f>IFERROR(Summary1!E61*265,Summary1!E61)</f>
        <v>21.198376430311402</v>
      </c>
      <c r="F60" s="1957"/>
      <c r="G60" s="1957"/>
      <c r="H60" s="1958"/>
      <c r="I60" s="618"/>
      <c r="J60" s="618"/>
      <c r="K60" s="619">
        <f t="shared" ref="K60:K66" si="2">IF(SUM(C60:J60)=0,"NO",SUM(C60:J60))</f>
        <v>6487.4072249836445</v>
      </c>
    </row>
    <row r="61" spans="2:12" ht="18" customHeight="1" x14ac:dyDescent="0.2">
      <c r="B61" s="1385" t="s">
        <v>218</v>
      </c>
      <c r="C61" s="617">
        <f>Summary1!C62</f>
        <v>4382.7120000000004</v>
      </c>
      <c r="D61" s="617">
        <f>IFERROR(Summary1!D62*28,Summary1!D62)</f>
        <v>0.21888855333333335</v>
      </c>
      <c r="E61" s="617">
        <f>IFERROR(Summary1!E62*265,Summary1!E62)</f>
        <v>6.0880764303114034</v>
      </c>
      <c r="F61" s="615"/>
      <c r="G61" s="615"/>
      <c r="H61" s="615"/>
      <c r="I61" s="621"/>
      <c r="J61" s="621"/>
      <c r="K61" s="622">
        <f t="shared" si="2"/>
        <v>4389.0189649836448</v>
      </c>
    </row>
    <row r="62" spans="2:12" ht="18" customHeight="1" x14ac:dyDescent="0.2">
      <c r="B62" s="1386" t="s">
        <v>1963</v>
      </c>
      <c r="C62" s="617">
        <f>Summary1!C63</f>
        <v>2077.69</v>
      </c>
      <c r="D62" s="617">
        <f>IFERROR(Summary1!D63*28,Summary1!D63)</f>
        <v>5.5879600000000007</v>
      </c>
      <c r="E62" s="617">
        <f>IFERROR(Summary1!E63*265,Summary1!E63)</f>
        <v>15.110300000000001</v>
      </c>
      <c r="F62" s="615"/>
      <c r="G62" s="615"/>
      <c r="H62" s="615"/>
      <c r="I62" s="623"/>
      <c r="J62" s="623"/>
      <c r="K62" s="619">
        <f t="shared" si="2"/>
        <v>2098.3882599999997</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15142.26513</v>
      </c>
      <c r="D64" s="627"/>
      <c r="E64" s="627"/>
      <c r="F64" s="627"/>
      <c r="G64" s="627"/>
      <c r="H64" s="627"/>
      <c r="I64" s="614"/>
      <c r="J64" s="614"/>
      <c r="K64" s="628">
        <f t="shared" si="2"/>
        <v>15142.26513</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186837.52681501082</v>
      </c>
      <c r="D66" s="631"/>
      <c r="E66" s="631"/>
      <c r="F66" s="631"/>
      <c r="G66" s="631"/>
      <c r="H66" s="631"/>
      <c r="I66" s="630"/>
      <c r="J66" s="630"/>
      <c r="K66" s="632">
        <f t="shared" si="2"/>
        <v>186837.52681501082</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437120.09424244007</v>
      </c>
      <c r="N71" s="1122"/>
    </row>
    <row r="72" spans="2:14" s="636" customFormat="1" ht="18" customHeight="1" x14ac:dyDescent="0.25">
      <c r="B72" s="640"/>
      <c r="C72" s="641"/>
      <c r="D72" s="641"/>
      <c r="E72" s="641"/>
      <c r="F72" s="641"/>
      <c r="G72" s="641"/>
      <c r="H72" s="641"/>
      <c r="I72" s="641"/>
      <c r="J72" s="2573" t="s">
        <v>1999</v>
      </c>
      <c r="K72" s="628">
        <f>K10</f>
        <v>615387.33158157754</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2459</v>
      </c>
    </row>
    <row r="2" spans="2:11" ht="16.350000000000001" customHeight="1" x14ac:dyDescent="0.25">
      <c r="B2" s="985" t="s">
        <v>229</v>
      </c>
      <c r="C2" s="985"/>
      <c r="J2" s="226"/>
      <c r="K2" s="14" t="s">
        <v>2460</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657807.80878273176</v>
      </c>
      <c r="D10" s="3055" t="s">
        <v>97</v>
      </c>
      <c r="E10" s="615"/>
      <c r="F10" s="615"/>
      <c r="G10" s="615"/>
      <c r="H10" s="4219">
        <f>IF(SUM(H11:H15)=0,"NO",SUM(H11:H15))</f>
        <v>35866.538631108211</v>
      </c>
      <c r="I10" s="4219">
        <f t="shared" ref="I10:K10" si="0">IF(SUM(I11:I16)=0,"NO",SUM(I11:I16))</f>
        <v>2.0601759875475629</v>
      </c>
      <c r="J10" s="4226">
        <f t="shared" si="0"/>
        <v>1.134710846917538</v>
      </c>
      <c r="K10" s="3044" t="str">
        <f t="shared" si="0"/>
        <v>NO</v>
      </c>
    </row>
    <row r="11" spans="2:11" ht="18" customHeight="1" x14ac:dyDescent="0.2">
      <c r="B11" s="282" t="s">
        <v>243</v>
      </c>
      <c r="C11" s="1938">
        <f>IF(SUM(C18,C25,C32,C39,C46,C53,C68,C75,C82,C89,C96,C103,C120,C110:C113)=0,"NO",SUM(C18,C25,C32,C39,C46,C53,C68,C75,C82,C89,C96,C103,C120,C110:C113))</f>
        <v>173885.72449745872</v>
      </c>
      <c r="D11" s="3056" t="s">
        <v>97</v>
      </c>
      <c r="E11" s="1938">
        <f>IFERROR(H11*1000/$C11,"NA")</f>
        <v>68.406280028370333</v>
      </c>
      <c r="F11" s="1938">
        <f t="shared" ref="F11:G16" si="1">IFERROR(I11*1000000/$C11,"NA")</f>
        <v>4.7809885973354467</v>
      </c>
      <c r="G11" s="1938">
        <f t="shared" si="1"/>
        <v>2.0858055555383426</v>
      </c>
      <c r="H11" s="1938">
        <f>IF(SUM(H18,H25,H32,H39,H46,H53,H68,H75,H82,H89,H96,H103,H120,H110:H113)=0,"NO",SUM(H18,H25,H32,H39,H46,H53,H68,H75,H82,H89,H96,H103,H120,H110:H113))</f>
        <v>11894.875562909216</v>
      </c>
      <c r="I11" s="1938">
        <f>IF(SUM(I18,I25,I32,I39,I46,I53,I68,I75,I82,I89,I96,I103,I120,I110:I113)=0,"NO",SUM(I18,I25,I32,I39,I46,I53,I68,I75,I82,I89,I96,I103,I120,I110:I113))</f>
        <v>0.83134566606176308</v>
      </c>
      <c r="J11" s="1938">
        <f>IF(SUM(J18,J25,J32,J39,J46,J53,J68,J75,J82,J89,J96,J103,J120,J110:J113)=0,"NO",SUM(J18,J25,J32,J39,J46,J53,J68,J75,J82,J89,J96,J103,J120,J110:J113))</f>
        <v>0.36269181018560909</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134635.05204651164</v>
      </c>
      <c r="D12" s="3056" t="s">
        <v>97</v>
      </c>
      <c r="E12" s="1938">
        <f t="shared" ref="E12:E16" si="2">IFERROR(H12*1000/$C12,"NA")</f>
        <v>80.195557167261839</v>
      </c>
      <c r="F12" s="1938">
        <f t="shared" si="1"/>
        <v>0.9649362919514588</v>
      </c>
      <c r="G12" s="1938">
        <f t="shared" si="1"/>
        <v>0.69898203040893314</v>
      </c>
      <c r="H12" s="1938">
        <f>IF(SUM(H19,H26,H33,H40,H47,H54,H69,H76,H83,H90,H97,H104,H121)=0,"NO",SUM(H19,H26,H33,H40,H47,H54,H69,H76,H83,H90,H97,H104,H121))</f>
        <v>10797.133013113298</v>
      </c>
      <c r="I12" s="1938">
        <f>IF(SUM(I19,I26,I33,I40,I47,I54,I69,I76,I83,I90,I97,I104,I121)=0,"NO",SUM(I19,I26,I33,I40,I47,I54,I69,I76,I83,I90,I97,I104,I121))</f>
        <v>0.1299142478884526</v>
      </c>
      <c r="J12" s="1938">
        <f>IF(SUM(J19,J26,J33,J40,J47,J54,J69,J76,J83,J90,J97,J104,J121)=0,"NO",SUM(J19,J26,J33,J40,J47,J54,J69,J76,J83,J90,J97,J104,J121))</f>
        <v>9.4107482043683091E-2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256237.30201987934</v>
      </c>
      <c r="D13" s="3056" t="s">
        <v>97</v>
      </c>
      <c r="E13" s="1938">
        <f t="shared" si="2"/>
        <v>51.415348004497773</v>
      </c>
      <c r="F13" s="1938">
        <f t="shared" si="1"/>
        <v>0.95989230029635664</v>
      </c>
      <c r="G13" s="1938">
        <f t="shared" si="1"/>
        <v>0.52732939614812213</v>
      </c>
      <c r="H13" s="1938">
        <f t="shared" ref="H13:K14" si="3">IF(SUM(H20,H27,H34,H41,H48,H55,H70,H77,H84,H91,H98,H105,H122,H115)=0,"NO",SUM(H20,H27,H34,H41,H48,H55,H70,H77,H84,H91,H98,H105,H122,H115))</f>
        <v>13174.530055085695</v>
      </c>
      <c r="I13" s="1938">
        <f t="shared" si="3"/>
        <v>0.24596021325759423</v>
      </c>
      <c r="J13" s="1938">
        <f t="shared" si="3"/>
        <v>0.13512146174476697</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93049.730218882105</v>
      </c>
      <c r="D16" s="3071" t="s">
        <v>97</v>
      </c>
      <c r="E16" s="1938">
        <f t="shared" si="2"/>
        <v>94.753895041435015</v>
      </c>
      <c r="F16" s="1938">
        <f t="shared" si="1"/>
        <v>9.1666666666666661</v>
      </c>
      <c r="G16" s="1938">
        <f t="shared" si="1"/>
        <v>5.833333333333333</v>
      </c>
      <c r="H16" s="1938">
        <f>IF(SUM(H23,H30,H37,H44,H51,H58,H73,H80,H87,H94,H101,H108,H125,H117)=0,"NO",SUM(H23,H30,H37,H44,H51,H58,H73,H80,H87,H94,H101,H108,H125,H117))</f>
        <v>8816.8243707937982</v>
      </c>
      <c r="I16" s="1938">
        <f>IF(SUM(I23,I30,I37,I44,I51,I58,I73,I80,I87,I94,I101,I108,I125,I117)=0,"NO",SUM(I23,I30,I37,I44,I51,I58,I73,I80,I87,I94,I101,I108,I125,I117))</f>
        <v>0.85295586033975268</v>
      </c>
      <c r="J16" s="1938">
        <f>IF(SUM(J23,J30,J37,J44,J51,J58,J73,J80,J87,J94,J101,J108,J125,J117)=0,"NO",SUM(J23,J30,J37,J44,J51,J58,J73,J80,J87,J94,J101,J108,J125,J117))</f>
        <v>0.54279009294347891</v>
      </c>
      <c r="K16" s="3044" t="str">
        <f>IF(SUM(K23,K30,K37,K44,K51,K58,K73,K80,K87,K94,K101,K108,K125,K117)=0,"NO",SUM(K23,K30,K37,K44,K51,K58,K73,K80,K87,K94,K101,K108,K125,K117))</f>
        <v>NO</v>
      </c>
    </row>
    <row r="17" spans="2:11" ht="18" customHeight="1" x14ac:dyDescent="0.2">
      <c r="B17" s="1240" t="s">
        <v>264</v>
      </c>
      <c r="C17" s="1938">
        <f>IF(SUM(C18:C23)=0,"NO",SUM(C18:C23))</f>
        <v>57531.39999999998</v>
      </c>
      <c r="D17" s="3055" t="s">
        <v>97</v>
      </c>
      <c r="E17" s="615"/>
      <c r="F17" s="615"/>
      <c r="G17" s="615"/>
      <c r="H17" s="1938">
        <f>IF(SUM(H18:H22)=0,"NO",SUM(H18:H22))</f>
        <v>2722.848026994081</v>
      </c>
      <c r="I17" s="1938">
        <f t="shared" ref="I17:K17" si="4">IF(SUM(I18:I23)=0,"NO",SUM(I18:I23))</f>
        <v>8.4992418258270017E-2</v>
      </c>
      <c r="J17" s="1938">
        <f t="shared" si="4"/>
        <v>3.4340092874442535E-2</v>
      </c>
      <c r="K17" s="3044" t="str">
        <f t="shared" si="4"/>
        <v>NO</v>
      </c>
    </row>
    <row r="18" spans="2:11" ht="18" customHeight="1" x14ac:dyDescent="0.2">
      <c r="B18" s="282" t="s">
        <v>243</v>
      </c>
      <c r="C18" s="699">
        <v>1800</v>
      </c>
      <c r="D18" s="3056" t="s">
        <v>97</v>
      </c>
      <c r="E18" s="1938">
        <f>IFERROR(H18*1000/$C18,"NA")</f>
        <v>68.722222222222229</v>
      </c>
      <c r="F18" s="1938">
        <f t="shared" ref="F18:G23" si="5">IFERROR(I18*1000000/$C18,"NA")</f>
        <v>17.19349905161226</v>
      </c>
      <c r="G18" s="1938">
        <f t="shared" si="5"/>
        <v>1.1234221822901072</v>
      </c>
      <c r="H18" s="699">
        <v>123.7</v>
      </c>
      <c r="I18" s="699">
        <v>3.0948298292902066E-2</v>
      </c>
      <c r="J18" s="699">
        <v>2.0221599281221928E-3</v>
      </c>
      <c r="K18" s="3072" t="s">
        <v>199</v>
      </c>
    </row>
    <row r="19" spans="2:11" ht="18" customHeight="1" x14ac:dyDescent="0.2">
      <c r="B19" s="282" t="s">
        <v>245</v>
      </c>
      <c r="C19" s="699">
        <v>28531.399999999991</v>
      </c>
      <c r="D19" s="3056" t="s">
        <v>97</v>
      </c>
      <c r="E19" s="1938">
        <f t="shared" ref="E19:E23" si="6">IFERROR(H19*1000/$C19,"NA")</f>
        <v>42.26518993109346</v>
      </c>
      <c r="F19" s="1938">
        <f t="shared" si="5"/>
        <v>0.95533079905553731</v>
      </c>
      <c r="G19" s="1938">
        <f t="shared" si="5"/>
        <v>0.58302031306466429</v>
      </c>
      <c r="H19" s="699">
        <v>1205.8850399999997</v>
      </c>
      <c r="I19" s="699">
        <v>2.7256925160173147E-2</v>
      </c>
      <c r="J19" s="699">
        <v>1.6634385760173159E-2</v>
      </c>
      <c r="K19" s="3072" t="s">
        <v>199</v>
      </c>
    </row>
    <row r="20" spans="2:11" ht="18" customHeight="1" x14ac:dyDescent="0.2">
      <c r="B20" s="282" t="s">
        <v>246</v>
      </c>
      <c r="C20" s="699">
        <v>27099.999999999993</v>
      </c>
      <c r="D20" s="3056" t="s">
        <v>97</v>
      </c>
      <c r="E20" s="1938">
        <f t="shared" si="6"/>
        <v>51.411918339265007</v>
      </c>
      <c r="F20" s="1938">
        <f t="shared" si="5"/>
        <v>0.95463203463203483</v>
      </c>
      <c r="G20" s="1938">
        <f t="shared" si="5"/>
        <v>0.55720346320346326</v>
      </c>
      <c r="H20" s="699">
        <v>1393.2629869940813</v>
      </c>
      <c r="I20" s="699">
        <v>2.5870528138528137E-2</v>
      </c>
      <c r="J20" s="699">
        <v>1.510021385281385E-2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v>100.00000000000001</v>
      </c>
      <c r="D23" s="3056" t="s">
        <v>97</v>
      </c>
      <c r="E23" s="1938">
        <f t="shared" si="6"/>
        <v>94</v>
      </c>
      <c r="F23" s="1938">
        <f t="shared" si="5"/>
        <v>9.1666666666666679</v>
      </c>
      <c r="G23" s="1938">
        <f t="shared" si="5"/>
        <v>5.8333333333333339</v>
      </c>
      <c r="H23" s="699">
        <v>9.4000000000000021</v>
      </c>
      <c r="I23" s="699">
        <v>9.1666666666666697E-4</v>
      </c>
      <c r="J23" s="699">
        <v>5.8333333333333349E-4</v>
      </c>
      <c r="K23" s="3072" t="s">
        <v>199</v>
      </c>
    </row>
    <row r="24" spans="2:11" ht="18" customHeight="1" x14ac:dyDescent="0.2">
      <c r="B24" s="1240" t="s">
        <v>265</v>
      </c>
      <c r="C24" s="1938">
        <f>IF(SUM(C25:C30)=0,"NO",SUM(C25:C30))</f>
        <v>168271.8062964</v>
      </c>
      <c r="D24" s="3056" t="s">
        <v>97</v>
      </c>
      <c r="E24" s="615"/>
      <c r="F24" s="615"/>
      <c r="G24" s="615"/>
      <c r="H24" s="1938">
        <f>IF(SUM(H25:H29)=0,"NO",SUM(H25:H29))</f>
        <v>11150.134838780814</v>
      </c>
      <c r="I24" s="1938">
        <f t="shared" ref="I24:K24" si="7">IF(SUM(I25:I30)=0,"NO",SUM(I25:I30))</f>
        <v>0.21833058967967806</v>
      </c>
      <c r="J24" s="1938">
        <f t="shared" si="7"/>
        <v>0.12405644379789114</v>
      </c>
      <c r="K24" s="3044" t="str">
        <f t="shared" si="7"/>
        <v>NO</v>
      </c>
    </row>
    <row r="25" spans="2:11" ht="18" customHeight="1" x14ac:dyDescent="0.2">
      <c r="B25" s="282" t="s">
        <v>243</v>
      </c>
      <c r="C25" s="699">
        <v>39142.340296399998</v>
      </c>
      <c r="D25" s="3056" t="s">
        <v>97</v>
      </c>
      <c r="E25" s="1938">
        <f>IFERROR(H25*1000/$C25,"NA")</f>
        <v>72.779741010292327</v>
      </c>
      <c r="F25" s="1938">
        <f t="shared" ref="F25:G30" si="8">IFERROR(I25*1000000/$C25,"NA")</f>
        <v>1.796279048497281</v>
      </c>
      <c r="G25" s="1938">
        <f t="shared" si="8"/>
        <v>0.72842435796113736</v>
      </c>
      <c r="H25" s="699">
        <v>2848.7693893087207</v>
      </c>
      <c r="I25" s="699">
        <v>7.0310565783574169E-2</v>
      </c>
      <c r="J25" s="699">
        <v>2.8512234099501522E-2</v>
      </c>
      <c r="K25" s="3072" t="s">
        <v>199</v>
      </c>
    </row>
    <row r="26" spans="2:11" ht="18" customHeight="1" x14ac:dyDescent="0.2">
      <c r="B26" s="282" t="s">
        <v>245</v>
      </c>
      <c r="C26" s="699">
        <v>45029.466000000015</v>
      </c>
      <c r="D26" s="3056" t="s">
        <v>97</v>
      </c>
      <c r="E26" s="1938">
        <f t="shared" ref="E26:E30" si="9">IFERROR(H26*1000/$C26,"NA")</f>
        <v>91.759002253273437</v>
      </c>
      <c r="F26" s="1938">
        <f t="shared" si="8"/>
        <v>0.95238095238095188</v>
      </c>
      <c r="G26" s="1938">
        <f t="shared" si="8"/>
        <v>0.706095238095238</v>
      </c>
      <c r="H26" s="699">
        <v>4131.8588721577007</v>
      </c>
      <c r="I26" s="699">
        <v>4.288520571428571E-2</v>
      </c>
      <c r="J26" s="699">
        <v>3.1795091516571436E-2</v>
      </c>
      <c r="K26" s="3072" t="s">
        <v>199</v>
      </c>
    </row>
    <row r="27" spans="2:11" ht="18" customHeight="1" x14ac:dyDescent="0.2">
      <c r="B27" s="282" t="s">
        <v>246</v>
      </c>
      <c r="C27" s="699">
        <v>81099.999999999985</v>
      </c>
      <c r="D27" s="3056" t="s">
        <v>97</v>
      </c>
      <c r="E27" s="1938">
        <f t="shared" si="9"/>
        <v>51.411918339265014</v>
      </c>
      <c r="F27" s="1938">
        <f t="shared" si="8"/>
        <v>0.95727272727272716</v>
      </c>
      <c r="G27" s="1938">
        <f t="shared" si="8"/>
        <v>0.57027272727272749</v>
      </c>
      <c r="H27" s="699">
        <v>4169.5065773143915</v>
      </c>
      <c r="I27" s="699">
        <v>7.7634818181818166E-2</v>
      </c>
      <c r="J27" s="699">
        <v>4.6249118181818184E-2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3000.0000000000009</v>
      </c>
      <c r="D30" s="3056" t="s">
        <v>97</v>
      </c>
      <c r="E30" s="1938">
        <f t="shared" si="9"/>
        <v>94.000000000000014</v>
      </c>
      <c r="F30" s="1938">
        <f t="shared" si="8"/>
        <v>9.1666666666666679</v>
      </c>
      <c r="G30" s="1938">
        <f t="shared" si="8"/>
        <v>5.833333333333333</v>
      </c>
      <c r="H30" s="699">
        <v>282.00000000000011</v>
      </c>
      <c r="I30" s="699">
        <v>2.7500000000000014E-2</v>
      </c>
      <c r="J30" s="699">
        <v>1.7500000000000005E-2</v>
      </c>
      <c r="K30" s="3072" t="s">
        <v>199</v>
      </c>
    </row>
    <row r="31" spans="2:11" ht="18" customHeight="1" x14ac:dyDescent="0.2">
      <c r="B31" s="1240" t="s">
        <v>266</v>
      </c>
      <c r="C31" s="1938">
        <f>IF(SUM(C32:C37)=0,"NO",SUM(C32:C37))</f>
        <v>89658.50825357865</v>
      </c>
      <c r="D31" s="3056" t="s">
        <v>97</v>
      </c>
      <c r="E31" s="615"/>
      <c r="F31" s="615"/>
      <c r="G31" s="615"/>
      <c r="H31" s="1938">
        <f>IF(SUM(H32:H36)=0,"NO",SUM(H32:H36))</f>
        <v>5624.6781507447249</v>
      </c>
      <c r="I31" s="1938">
        <f t="shared" ref="I31:K31" si="10">IF(SUM(I32:I37)=0,"NO",SUM(I32:I37))</f>
        <v>0.39245906633834488</v>
      </c>
      <c r="J31" s="1938">
        <f t="shared" si="10"/>
        <v>8.9902990939559668E-2</v>
      </c>
      <c r="K31" s="3044" t="str">
        <f t="shared" si="10"/>
        <v>NO</v>
      </c>
    </row>
    <row r="32" spans="2:11" ht="18" customHeight="1" x14ac:dyDescent="0.2">
      <c r="B32" s="282" t="s">
        <v>243</v>
      </c>
      <c r="C32" s="699">
        <v>51777.020187187649</v>
      </c>
      <c r="D32" s="3056" t="s">
        <v>97</v>
      </c>
      <c r="E32" s="1938">
        <f>IFERROR(H32*1000/$C32,"NA")</f>
        <v>63.681352868983474</v>
      </c>
      <c r="F32" s="1938">
        <f t="shared" ref="F32:G37" si="11">IFERROR(I32*1000000/$C32,"NA")</f>
        <v>6.8811131221610369</v>
      </c>
      <c r="G32" s="1938">
        <f t="shared" si="11"/>
        <v>1.3433392577175578</v>
      </c>
      <c r="H32" s="699">
        <v>3297.2306930447776</v>
      </c>
      <c r="I32" s="699">
        <v>0.35628353303645383</v>
      </c>
      <c r="J32" s="699">
        <v>6.955410386508365E-2</v>
      </c>
      <c r="K32" s="3072" t="s">
        <v>199</v>
      </c>
    </row>
    <row r="33" spans="2:11" ht="18" customHeight="1" x14ac:dyDescent="0.2">
      <c r="B33" s="282" t="s">
        <v>245</v>
      </c>
      <c r="C33" s="699">
        <v>9644.1860465116279</v>
      </c>
      <c r="D33" s="3056" t="s">
        <v>97</v>
      </c>
      <c r="E33" s="1938">
        <f t="shared" ref="E33:E37" si="12">IFERROR(H33*1000/$C33,"NA")</f>
        <v>90.802229230065294</v>
      </c>
      <c r="F33" s="1938">
        <f t="shared" si="11"/>
        <v>0.95238095238095233</v>
      </c>
      <c r="G33" s="1938">
        <f t="shared" si="11"/>
        <v>0.66666666666666663</v>
      </c>
      <c r="H33" s="699">
        <v>875.71359213274604</v>
      </c>
      <c r="I33" s="699">
        <v>9.1849390919158357E-3</v>
      </c>
      <c r="J33" s="699">
        <v>6.4294573643410846E-3</v>
      </c>
      <c r="K33" s="3072" t="s">
        <v>199</v>
      </c>
    </row>
    <row r="34" spans="2:11" ht="18" customHeight="1" x14ac:dyDescent="0.2">
      <c r="B34" s="282" t="s">
        <v>246</v>
      </c>
      <c r="C34" s="699">
        <v>28237.302019879375</v>
      </c>
      <c r="D34" s="3056" t="s">
        <v>97</v>
      </c>
      <c r="E34" s="1938">
        <f t="shared" si="12"/>
        <v>51.411918339265</v>
      </c>
      <c r="F34" s="1938">
        <f t="shared" si="11"/>
        <v>0.95584890479173745</v>
      </c>
      <c r="G34" s="1938">
        <f t="shared" si="11"/>
        <v>0.49294474735353588</v>
      </c>
      <c r="H34" s="699">
        <v>1451.7338655672011</v>
      </c>
      <c r="I34" s="699">
        <v>2.6990594209975217E-2</v>
      </c>
      <c r="J34" s="699">
        <v>1.3919429710134927E-2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37700</v>
      </c>
      <c r="D38" s="3056" t="s">
        <v>97</v>
      </c>
      <c r="E38" s="615"/>
      <c r="F38" s="615"/>
      <c r="G38" s="615"/>
      <c r="H38" s="1938">
        <f>IF(SUM(H39:H43)=0,"NO",SUM(H39:H43))</f>
        <v>1289.6062581323667</v>
      </c>
      <c r="I38" s="1938">
        <f t="shared" ref="I38:K38" si="13">IF(SUM(I39:I44)=0,"NO",SUM(I39:I44))</f>
        <v>0.16742446753246756</v>
      </c>
      <c r="J38" s="1938">
        <f t="shared" si="13"/>
        <v>0.11263538181818183</v>
      </c>
      <c r="K38" s="3044" t="str">
        <f t="shared" si="13"/>
        <v>NO</v>
      </c>
    </row>
    <row r="39" spans="2:11" ht="18" customHeight="1" x14ac:dyDescent="0.2">
      <c r="B39" s="282" t="s">
        <v>243</v>
      </c>
      <c r="C39" s="699">
        <v>1900</v>
      </c>
      <c r="D39" s="3056" t="s">
        <v>97</v>
      </c>
      <c r="E39" s="1938">
        <f>IFERROR(H39*1000/$C39,"NA")</f>
        <v>66.910526315789468</v>
      </c>
      <c r="F39" s="1938">
        <f t="shared" ref="F39:G44" si="14">IFERROR(I39*1000000/$C39,"NA")</f>
        <v>0.89428571428571413</v>
      </c>
      <c r="G39" s="1938">
        <f t="shared" si="14"/>
        <v>1.2388771929824562</v>
      </c>
      <c r="H39" s="699">
        <v>127.13</v>
      </c>
      <c r="I39" s="699">
        <v>1.699142857142857E-3</v>
      </c>
      <c r="J39" s="699">
        <v>2.3538666666666668E-3</v>
      </c>
      <c r="K39" s="3072" t="s">
        <v>199</v>
      </c>
    </row>
    <row r="40" spans="2:11" ht="18" customHeight="1" x14ac:dyDescent="0.2">
      <c r="B40" s="282" t="s">
        <v>245</v>
      </c>
      <c r="C40" s="699">
        <v>3700</v>
      </c>
      <c r="D40" s="3056" t="s">
        <v>97</v>
      </c>
      <c r="E40" s="1938">
        <f t="shared" ref="E40:E44" si="15">IFERROR(H40*1000/$C40,"NA")</f>
        <v>91.860963433547738</v>
      </c>
      <c r="F40" s="1938">
        <f t="shared" si="14"/>
        <v>0.95238095238095266</v>
      </c>
      <c r="G40" s="1938">
        <f t="shared" si="14"/>
        <v>0.66666666666666663</v>
      </c>
      <c r="H40" s="699">
        <v>339.88556470412664</v>
      </c>
      <c r="I40" s="699">
        <v>3.5238095238095245E-3</v>
      </c>
      <c r="J40" s="699">
        <v>2.4666666666666665E-3</v>
      </c>
      <c r="K40" s="3072" t="s">
        <v>199</v>
      </c>
    </row>
    <row r="41" spans="2:11" ht="18" customHeight="1" x14ac:dyDescent="0.2">
      <c r="B41" s="282" t="s">
        <v>246</v>
      </c>
      <c r="C41" s="699">
        <v>16000</v>
      </c>
      <c r="D41" s="3056" t="s">
        <v>97</v>
      </c>
      <c r="E41" s="1938">
        <f t="shared" si="15"/>
        <v>51.411918339265</v>
      </c>
      <c r="F41" s="1938">
        <f t="shared" si="14"/>
        <v>0.91363636363636347</v>
      </c>
      <c r="G41" s="1938">
        <f t="shared" si="14"/>
        <v>0.86863636363636365</v>
      </c>
      <c r="H41" s="699">
        <v>822.59069342824</v>
      </c>
      <c r="I41" s="699">
        <v>1.4618181818181817E-2</v>
      </c>
      <c r="J41" s="699">
        <v>1.3898181818181818E-2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16100.000000000002</v>
      </c>
      <c r="D44" s="3055" t="s">
        <v>97</v>
      </c>
      <c r="E44" s="1938">
        <f t="shared" si="15"/>
        <v>93.999999999999986</v>
      </c>
      <c r="F44" s="1938">
        <f t="shared" si="14"/>
        <v>9.1666666666666679</v>
      </c>
      <c r="G44" s="1938">
        <f t="shared" si="14"/>
        <v>5.833333333333333</v>
      </c>
      <c r="H44" s="699">
        <v>1513.4</v>
      </c>
      <c r="I44" s="699">
        <v>0.14758333333333337</v>
      </c>
      <c r="J44" s="699">
        <v>9.3916666666666676E-2</v>
      </c>
      <c r="K44" s="3072" t="s">
        <v>199</v>
      </c>
    </row>
    <row r="45" spans="2:11" ht="18" customHeight="1" x14ac:dyDescent="0.2">
      <c r="B45" s="1240" t="s">
        <v>268</v>
      </c>
      <c r="C45" s="1938">
        <f>IF(SUM(C46:C51)=0,"NO",SUM(C46:C51))</f>
        <v>116949.73021888212</v>
      </c>
      <c r="D45" s="3055" t="s">
        <v>97</v>
      </c>
      <c r="E45" s="615"/>
      <c r="F45" s="615"/>
      <c r="G45" s="615"/>
      <c r="H45" s="1938">
        <f>IF(SUM(H46:H50)=0,"NO",SUM(H46:H50))</f>
        <v>2895.9460068201715</v>
      </c>
      <c r="I45" s="1938">
        <f t="shared" ref="I45:K45" si="16">IF(SUM(I46:I51)=0,"NO",SUM(I46:I51))</f>
        <v>0.71484646283529629</v>
      </c>
      <c r="J45" s="1938">
        <f t="shared" si="16"/>
        <v>0.46947940664350429</v>
      </c>
      <c r="K45" s="3044" t="str">
        <f t="shared" si="16"/>
        <v>NO</v>
      </c>
    </row>
    <row r="46" spans="2:11" ht="18" customHeight="1" x14ac:dyDescent="0.2">
      <c r="B46" s="282" t="s">
        <v>243</v>
      </c>
      <c r="C46" s="699">
        <v>6400</v>
      </c>
      <c r="D46" s="3055" t="s">
        <v>97</v>
      </c>
      <c r="E46" s="1938">
        <f>IFERROR(H46*1000/$C46,"NA")</f>
        <v>66.682812499999997</v>
      </c>
      <c r="F46" s="1938">
        <f t="shared" ref="F46:G51" si="17">IFERROR(I46*1000000/$C46,"NA")</f>
        <v>1.8885600490196077</v>
      </c>
      <c r="G46" s="1938">
        <f t="shared" si="17"/>
        <v>2.2571815913865549</v>
      </c>
      <c r="H46" s="699">
        <v>426.77</v>
      </c>
      <c r="I46" s="699">
        <v>1.208678431372549E-2</v>
      </c>
      <c r="J46" s="699">
        <v>1.4445962184873951E-2</v>
      </c>
      <c r="K46" s="3072" t="s">
        <v>199</v>
      </c>
    </row>
    <row r="47" spans="2:11" ht="18" customHeight="1" x14ac:dyDescent="0.2">
      <c r="B47" s="282" t="s">
        <v>245</v>
      </c>
      <c r="C47" s="699">
        <v>13300</v>
      </c>
      <c r="D47" s="3055" t="s">
        <v>97</v>
      </c>
      <c r="E47" s="1938">
        <f t="shared" ref="E47:E51" si="18">IFERROR(H47*1000/$C47,"NA")</f>
        <v>91.266645953085103</v>
      </c>
      <c r="F47" s="1938">
        <f t="shared" si="17"/>
        <v>0.95238095238095222</v>
      </c>
      <c r="G47" s="1938">
        <f t="shared" si="17"/>
        <v>0.6752380952380953</v>
      </c>
      <c r="H47" s="699">
        <v>1213.8463911760318</v>
      </c>
      <c r="I47" s="699">
        <v>1.2666666666666665E-2</v>
      </c>
      <c r="J47" s="699">
        <v>8.980666666666668E-3</v>
      </c>
      <c r="K47" s="3072" t="s">
        <v>199</v>
      </c>
    </row>
    <row r="48" spans="2:11" ht="18" customHeight="1" x14ac:dyDescent="0.2">
      <c r="B48" s="282" t="s">
        <v>246</v>
      </c>
      <c r="C48" s="699">
        <v>24400.000000000007</v>
      </c>
      <c r="D48" s="3055" t="s">
        <v>97</v>
      </c>
      <c r="E48" s="1938">
        <f t="shared" si="18"/>
        <v>51.447935067382758</v>
      </c>
      <c r="F48" s="1938">
        <f t="shared" si="17"/>
        <v>0.91409090909090895</v>
      </c>
      <c r="G48" s="1938">
        <f t="shared" si="17"/>
        <v>0.86459090909090874</v>
      </c>
      <c r="H48" s="699">
        <v>1255.3296156441397</v>
      </c>
      <c r="I48" s="699">
        <v>2.2303818181818185E-2</v>
      </c>
      <c r="J48" s="699">
        <v>2.109601818181818E-2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72849.730218882105</v>
      </c>
      <c r="D51" s="3055" t="s">
        <v>97</v>
      </c>
      <c r="E51" s="1938">
        <f t="shared" si="18"/>
        <v>94.962937405644624</v>
      </c>
      <c r="F51" s="1938">
        <f t="shared" si="17"/>
        <v>9.1666666666666679</v>
      </c>
      <c r="G51" s="1938">
        <f t="shared" si="17"/>
        <v>5.8333333333333321</v>
      </c>
      <c r="H51" s="699">
        <v>6918.0243707937989</v>
      </c>
      <c r="I51" s="699">
        <v>0.66778919367308598</v>
      </c>
      <c r="J51" s="699">
        <v>0.42495675961014551</v>
      </c>
      <c r="K51" s="3072" t="s">
        <v>199</v>
      </c>
    </row>
    <row r="52" spans="2:11" ht="18" customHeight="1" x14ac:dyDescent="0.2">
      <c r="B52" s="1240" t="s">
        <v>269</v>
      </c>
      <c r="C52" s="3073">
        <f>IF(SUM(C53:C58)=0,"NO",SUM(C53:C58))</f>
        <v>88000</v>
      </c>
      <c r="D52" s="3055" t="s">
        <v>97</v>
      </c>
      <c r="E52" s="615"/>
      <c r="F52" s="615"/>
      <c r="G52" s="615"/>
      <c r="H52" s="1938">
        <f>IF(SUM(H53:H57)=0,"NO",SUM(H53:H57))</f>
        <v>5500.9888800095177</v>
      </c>
      <c r="I52" s="1938">
        <f t="shared" ref="I52:K52" si="19">IF(SUM(I53:I58)=0,"NO",SUM(I53:I58))</f>
        <v>0.14572418925082048</v>
      </c>
      <c r="J52" s="1938">
        <f t="shared" si="19"/>
        <v>4.033965665887608E-2</v>
      </c>
      <c r="K52" s="3044" t="str">
        <f t="shared" si="19"/>
        <v>NO</v>
      </c>
    </row>
    <row r="53" spans="2:11" ht="18" customHeight="1" x14ac:dyDescent="0.2">
      <c r="B53" s="282" t="s">
        <v>243</v>
      </c>
      <c r="C53" s="2173">
        <v>4700</v>
      </c>
      <c r="D53" s="3055" t="s">
        <v>97</v>
      </c>
      <c r="E53" s="1938">
        <f>IFERROR(H53*1000/$C53,"NA")</f>
        <v>67.527659574468089</v>
      </c>
      <c r="F53" s="1938">
        <f t="shared" ref="F53:G58" si="20">IFERROR(I53*1000000/$C53,"NA")</f>
        <v>11.809266571741308</v>
      </c>
      <c r="G53" s="1938">
        <f t="shared" si="20"/>
        <v>1.6619141458970002</v>
      </c>
      <c r="H53" s="699">
        <v>317.38</v>
      </c>
      <c r="I53" s="699">
        <v>5.5503552887184143E-2</v>
      </c>
      <c r="J53" s="699">
        <v>7.8109964857159004E-3</v>
      </c>
      <c r="K53" s="3072" t="s">
        <v>199</v>
      </c>
    </row>
    <row r="54" spans="2:11" ht="18" customHeight="1" x14ac:dyDescent="0.2">
      <c r="B54" s="282" t="s">
        <v>245</v>
      </c>
      <c r="C54" s="699">
        <v>24500.000000000007</v>
      </c>
      <c r="D54" s="3055" t="s">
        <v>97</v>
      </c>
      <c r="E54" s="1938">
        <f t="shared" ref="E54:E58" si="21">IFERROR(H54*1000/$C54,"NA")</f>
        <v>90.285714285714278</v>
      </c>
      <c r="F54" s="1938">
        <f t="shared" si="20"/>
        <v>0.952380952380952</v>
      </c>
      <c r="G54" s="1938">
        <f t="shared" si="20"/>
        <v>0.82485675413022341</v>
      </c>
      <c r="H54" s="699">
        <v>2212.0000000000005</v>
      </c>
      <c r="I54" s="699">
        <v>2.3333333333333331E-2</v>
      </c>
      <c r="J54" s="699">
        <v>2.0208990476190479E-2</v>
      </c>
      <c r="K54" s="3072" t="s">
        <v>199</v>
      </c>
    </row>
    <row r="55" spans="2:11" ht="18" customHeight="1" x14ac:dyDescent="0.2">
      <c r="B55" s="282" t="s">
        <v>246</v>
      </c>
      <c r="C55" s="699">
        <v>57800</v>
      </c>
      <c r="D55" s="3055" t="s">
        <v>97</v>
      </c>
      <c r="E55" s="1938">
        <f t="shared" si="21"/>
        <v>51.411918339265007</v>
      </c>
      <c r="F55" s="1938">
        <f t="shared" si="20"/>
        <v>0.99862692670651143</v>
      </c>
      <c r="G55" s="1938">
        <f t="shared" si="20"/>
        <v>0.11222035231204783</v>
      </c>
      <c r="H55" s="699">
        <v>2971.6088800095176</v>
      </c>
      <c r="I55" s="699">
        <v>5.7720636363636363E-2</v>
      </c>
      <c r="J55" s="699">
        <v>6.4863363636363646E-3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1000</v>
      </c>
      <c r="D58" s="3055" t="s">
        <v>97</v>
      </c>
      <c r="E58" s="3074">
        <f t="shared" si="21"/>
        <v>94.000000000000014</v>
      </c>
      <c r="F58" s="3074">
        <f t="shared" si="20"/>
        <v>9.1666666666666679</v>
      </c>
      <c r="G58" s="3074">
        <f t="shared" si="20"/>
        <v>5.8333333333333348</v>
      </c>
      <c r="H58" s="2215">
        <v>94.000000000000014</v>
      </c>
      <c r="I58" s="699">
        <v>9.1666666666666684E-3</v>
      </c>
      <c r="J58" s="699">
        <v>5.8333333333333345E-3</v>
      </c>
      <c r="K58" s="3072" t="s">
        <v>199</v>
      </c>
    </row>
    <row r="59" spans="2:11" ht="18" customHeight="1" x14ac:dyDescent="0.2">
      <c r="B59" s="1240" t="s">
        <v>270</v>
      </c>
      <c r="C59" s="3073">
        <f>IF(SUM(C60:C65)=0,"NO",SUM(C60:C65))</f>
        <v>99696.364013871076</v>
      </c>
      <c r="D59" s="4224" t="s">
        <v>97</v>
      </c>
      <c r="E59" s="4225"/>
      <c r="F59" s="4225"/>
      <c r="G59" s="4225"/>
      <c r="H59" s="1938">
        <f>IF(SUM(H60:H64)=0,"NO",SUM(H60:H64))</f>
        <v>6682.3364696265344</v>
      </c>
      <c r="I59" s="1938">
        <f t="shared" ref="I59:K59" si="22">IF(SUM(I60:I65)=0,"NO",SUM(I60:I65))</f>
        <v>0.33639879365268521</v>
      </c>
      <c r="J59" s="1938">
        <f t="shared" si="22"/>
        <v>0.26395687418508246</v>
      </c>
      <c r="K59" s="3044" t="str">
        <f t="shared" si="22"/>
        <v>NO</v>
      </c>
    </row>
    <row r="60" spans="2:11" ht="18" customHeight="1" x14ac:dyDescent="0.2">
      <c r="B60" s="282" t="s">
        <v>243</v>
      </c>
      <c r="C60" s="4223">
        <f>IF(SUM(C68,C75,C82,C89,C96,C103,C110,C111,C111,C112,C113,C120)=0,"NO",SUM(C68,C75,C82,C89,C96,C103,C110,C111,C111,C112,C113,C120))</f>
        <v>68166.364013871076</v>
      </c>
      <c r="D60" s="4224" t="s">
        <v>97</v>
      </c>
      <c r="E60" s="3074">
        <f t="shared" ref="E60:E65" si="23">IFERROR(H60*1000/$C60,"NA")</f>
        <v>69.73960763974965</v>
      </c>
      <c r="F60" s="3074">
        <f t="shared" ref="F60:F65" si="24">IFERROR(I60*1000000/$C60,"NA")</f>
        <v>4.4672147810145102</v>
      </c>
      <c r="G60" s="3074">
        <f t="shared" ref="G60:G65" si="25">IFERROR(J60*1000000/$C60,"NA")</f>
        <v>3.4913478281930437</v>
      </c>
      <c r="H60" s="3074">
        <f>IF(SUM(H68,H75,H82,H89,H96,H103,H110,H111,H111,H112,H113,H120)=0,"NO",SUM(H68,H75,H82,H89,H96,H103,H110,H111,H111,H112,H113,H120))</f>
        <v>4753.8954805557187</v>
      </c>
      <c r="I60" s="3074">
        <f>IF(SUM(I68,I75,I82,I89,I96,I103,I110,I111,I111,I112,I113,I120)=0,"NO",SUM(I68,I75,I82,I89,I96,I103,I110,I111,I111,I112,I113,I120))</f>
        <v>0.30451378889078046</v>
      </c>
      <c r="J60" s="3074">
        <f>IF(SUM(J68,J75,J82,J89,J96,J103,J110,J111,J111,J112,J113,J120)=0,"NO",SUM(J68,J75,J82,J89,J96,J103,J110,J111,J111,J112,J113,J120))</f>
        <v>0.23799248695564523</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9930</v>
      </c>
      <c r="D61" s="4224" t="s">
        <v>97</v>
      </c>
      <c r="E61" s="3074">
        <f t="shared" si="23"/>
        <v>82.370951957974967</v>
      </c>
      <c r="F61" s="3074">
        <f t="shared" si="24"/>
        <v>1.1141357903593552</v>
      </c>
      <c r="G61" s="3074">
        <f t="shared" si="25"/>
        <v>0.76457437996712907</v>
      </c>
      <c r="H61" s="3074">
        <f>IF(SUM(H69,H76,H83,H90,H97,H104,H121)=0,"NO",SUM(H69,H76,H83,H90,H97,H104,H121))</f>
        <v>817.94355294269144</v>
      </c>
      <c r="I61" s="3074">
        <f>IF(SUM(I69,I76,I83,I90,I97,I104,I121)=0,"NO",SUM(I69,I76,I83,I90,I97,I104,I121))</f>
        <v>1.1063368398268398E-2</v>
      </c>
      <c r="J61" s="3074">
        <f>IF(SUM(J69,J76,J83,J90,J97,J104,J121)=0,"NO",SUM(J69,J76,J83,J90,J97,J104,J121))</f>
        <v>7.5922235930735915E-3</v>
      </c>
      <c r="K61" s="3044" t="str">
        <f>IF(SUM(K69,K76,K83,K90,K97,K104,K121)=0,"NO",SUM(K69,K76,K83,K90,K97,K104,K121))</f>
        <v>NO</v>
      </c>
    </row>
    <row r="62" spans="2:11" ht="18" customHeight="1" x14ac:dyDescent="0.2">
      <c r="B62" s="282" t="s">
        <v>246</v>
      </c>
      <c r="C62" s="4223">
        <f>IF(SUM(C70,C77,C84,C91,C98,C105,C115,C122)=0,"NO",SUM(C70,C77,C84,C91,C98,C105,C115,C122))</f>
        <v>21600.000000000004</v>
      </c>
      <c r="D62" s="4224" t="s">
        <v>97</v>
      </c>
      <c r="E62" s="3074">
        <f t="shared" si="23"/>
        <v>51.411918339265007</v>
      </c>
      <c r="F62" s="3074">
        <f t="shared" si="24"/>
        <v>0.96396464646464664</v>
      </c>
      <c r="G62" s="3074">
        <f t="shared" si="25"/>
        <v>0.85056313131313133</v>
      </c>
      <c r="H62" s="3074">
        <f t="shared" ref="H62:K63" si="26">IF(SUM(H70,H77,H84,H91,H98,H105,H115,H122)=0,"NO",SUM(H70,H77,H84,H91,H98,H105,H115,H122))</f>
        <v>1110.4974361281243</v>
      </c>
      <c r="I62" s="3074">
        <f t="shared" si="26"/>
        <v>2.0821636363636372E-2</v>
      </c>
      <c r="J62" s="3074">
        <f t="shared" si="26"/>
        <v>1.8372163636363639E-2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9100</v>
      </c>
      <c r="D67" s="3055" t="s">
        <v>97</v>
      </c>
      <c r="E67" s="615"/>
      <c r="F67" s="615"/>
      <c r="G67" s="615"/>
      <c r="H67" s="1938">
        <f>IF(SUM(H68:H72)=0,"NO",SUM(H68:H72))</f>
        <v>479.70773038197297</v>
      </c>
      <c r="I67" s="1938">
        <f t="shared" ref="I67:K67" si="27">IF(SUM(I68:I73)=0,"NO",SUM(I68:I73))</f>
        <v>4.1425999999999991E-2</v>
      </c>
      <c r="J67" s="1938">
        <f t="shared" si="27"/>
        <v>8.4380285714285696E-3</v>
      </c>
      <c r="K67" s="3044" t="str">
        <f t="shared" si="27"/>
        <v>NO</v>
      </c>
    </row>
    <row r="68" spans="2:11" ht="18" customHeight="1" x14ac:dyDescent="0.2">
      <c r="B68" s="158" t="s">
        <v>243</v>
      </c>
      <c r="C68" s="699">
        <v>799.99999999999989</v>
      </c>
      <c r="D68" s="3055" t="s">
        <v>97</v>
      </c>
      <c r="E68" s="1938">
        <f>IFERROR(H68*1000/$C68,"NA")</f>
        <v>61.412500000000009</v>
      </c>
      <c r="F68" s="1938">
        <f t="shared" ref="F68:G73" si="28">IFERROR(I68*1000000/$C68,"NA")</f>
        <v>42.13095238095238</v>
      </c>
      <c r="G68" s="1938">
        <f t="shared" si="28"/>
        <v>2.1309523809523809</v>
      </c>
      <c r="H68" s="699">
        <v>49.13</v>
      </c>
      <c r="I68" s="699">
        <v>3.3704761904761904E-2</v>
      </c>
      <c r="J68" s="699">
        <v>1.7047619047619047E-3</v>
      </c>
      <c r="K68" s="3072" t="s">
        <v>199</v>
      </c>
    </row>
    <row r="69" spans="2:11" ht="18" customHeight="1" x14ac:dyDescent="0.2">
      <c r="B69" s="158" t="s">
        <v>245</v>
      </c>
      <c r="C69" s="699">
        <v>100</v>
      </c>
      <c r="D69" s="3055" t="s">
        <v>97</v>
      </c>
      <c r="E69" s="1938">
        <f t="shared" ref="E69:E73" si="29">IFERROR(H69*1000/$C69,"NA")</f>
        <v>90</v>
      </c>
      <c r="F69" s="1938">
        <f t="shared" si="28"/>
        <v>0.95238095238095244</v>
      </c>
      <c r="G69" s="1938">
        <f t="shared" si="28"/>
        <v>0.66666666666666652</v>
      </c>
      <c r="H69" s="699">
        <v>9</v>
      </c>
      <c r="I69" s="699">
        <v>9.5238095238095241E-5</v>
      </c>
      <c r="J69" s="699">
        <v>6.6666666666666656E-5</v>
      </c>
      <c r="K69" s="3072" t="s">
        <v>199</v>
      </c>
    </row>
    <row r="70" spans="2:11" ht="18" customHeight="1" x14ac:dyDescent="0.2">
      <c r="B70" s="158" t="s">
        <v>246</v>
      </c>
      <c r="C70" s="699">
        <v>8200</v>
      </c>
      <c r="D70" s="3055" t="s">
        <v>97</v>
      </c>
      <c r="E70" s="1938">
        <f t="shared" si="29"/>
        <v>51.411918339264993</v>
      </c>
      <c r="F70" s="1938">
        <f t="shared" si="28"/>
        <v>0.92999999999999972</v>
      </c>
      <c r="G70" s="1938">
        <f t="shared" si="28"/>
        <v>0.81299999999999983</v>
      </c>
      <c r="H70" s="699">
        <v>421.57773038197297</v>
      </c>
      <c r="I70" s="699">
        <v>7.6259999999999974E-3</v>
      </c>
      <c r="J70" s="699">
        <v>6.6665999999999982E-3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34294.755434782615</v>
      </c>
      <c r="D81" s="3056" t="s">
        <v>97</v>
      </c>
      <c r="E81" s="615"/>
      <c r="F81" s="615"/>
      <c r="G81" s="615"/>
      <c r="H81" s="1938">
        <f>IF(SUM(H82:H86)=0,"NO",SUM(H82:H86))</f>
        <v>2475.9289289045519</v>
      </c>
      <c r="I81" s="1938">
        <f t="shared" ref="I81:K81" si="33">IF(SUM(I82:I87)=0,"NO",SUM(I82:I87))</f>
        <v>9.6852288621523397E-2</v>
      </c>
      <c r="J81" s="1938">
        <f t="shared" si="33"/>
        <v>9.05898783736553E-2</v>
      </c>
      <c r="K81" s="3044" t="str">
        <f t="shared" si="33"/>
        <v>NO</v>
      </c>
    </row>
    <row r="82" spans="2:11" ht="18" customHeight="1" x14ac:dyDescent="0.2">
      <c r="B82" s="158" t="s">
        <v>243</v>
      </c>
      <c r="C82" s="699">
        <v>25064.755434782604</v>
      </c>
      <c r="D82" s="3056" t="s">
        <v>97</v>
      </c>
      <c r="E82" s="1938">
        <f>IFERROR(H82*1000/$C82,"NA")</f>
        <v>70.166838612593693</v>
      </c>
      <c r="F82" s="1938">
        <f t="shared" ref="F82:G87" si="34">IFERROR(I82*1000000/$C82,"NA")</f>
        <v>3.4125535706387913</v>
      </c>
      <c r="G82" s="1938">
        <f t="shared" si="34"/>
        <v>3.3222717116640044</v>
      </c>
      <c r="H82" s="699">
        <v>1758.7146494565218</v>
      </c>
      <c r="I82" s="699">
        <v>8.5534820656155419E-2</v>
      </c>
      <c r="J82" s="699">
        <v>8.3271927940754858E-2</v>
      </c>
      <c r="K82" s="3072" t="s">
        <v>199</v>
      </c>
    </row>
    <row r="83" spans="2:11" ht="18" customHeight="1" x14ac:dyDescent="0.2">
      <c r="B83" s="158" t="s">
        <v>245</v>
      </c>
      <c r="C83" s="699">
        <v>8330</v>
      </c>
      <c r="D83" s="3056" t="s">
        <v>97</v>
      </c>
      <c r="E83" s="1938">
        <f t="shared" ref="E83:E87" si="35">IFERROR(H83*1000/$C83,"NA")</f>
        <v>80.545444530935356</v>
      </c>
      <c r="F83" s="1938">
        <f t="shared" si="34"/>
        <v>1.1452051469938624</v>
      </c>
      <c r="G83" s="1938">
        <f t="shared" si="34"/>
        <v>0.782906851052109</v>
      </c>
      <c r="H83" s="699">
        <v>670.94355294269144</v>
      </c>
      <c r="I83" s="699">
        <v>9.5395588744588752E-3</v>
      </c>
      <c r="J83" s="699">
        <v>6.5216140692640687E-3</v>
      </c>
      <c r="K83" s="3072" t="s">
        <v>199</v>
      </c>
    </row>
    <row r="84" spans="2:11" ht="18" customHeight="1" x14ac:dyDescent="0.2">
      <c r="B84" s="158" t="s">
        <v>246</v>
      </c>
      <c r="C84" s="699">
        <v>900.0000000000058</v>
      </c>
      <c r="D84" s="3056" t="s">
        <v>97</v>
      </c>
      <c r="E84" s="1938">
        <f t="shared" si="35"/>
        <v>51.411918339265</v>
      </c>
      <c r="F84" s="1938">
        <f t="shared" si="34"/>
        <v>1.9754545454545454</v>
      </c>
      <c r="G84" s="1938">
        <f t="shared" si="34"/>
        <v>0.88481818181818184</v>
      </c>
      <c r="H84" s="699">
        <v>46.2707265053388</v>
      </c>
      <c r="I84" s="699">
        <v>1.7779090909091023E-3</v>
      </c>
      <c r="J84" s="699">
        <v>7.9633636363636877E-4</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40801.608579088468</v>
      </c>
      <c r="D95" s="3056" t="s">
        <v>97</v>
      </c>
      <c r="E95" s="615"/>
      <c r="F95" s="615"/>
      <c r="G95" s="615"/>
      <c r="H95" s="1938">
        <f>IF(SUM(H96:H100)=0,"NO",SUM(H96:H100))</f>
        <v>2848.0332147670497</v>
      </c>
      <c r="I95" s="1938">
        <f t="shared" ref="I95:K95" si="41">IF(SUM(I96:I101)=0,"NO",SUM(I96:I101))</f>
        <v>0.15072927126492808</v>
      </c>
      <c r="J95" s="1938">
        <f t="shared" si="41"/>
        <v>0.15003988022701159</v>
      </c>
      <c r="K95" s="3044" t="str">
        <f t="shared" si="41"/>
        <v>NO</v>
      </c>
    </row>
    <row r="96" spans="2:11" ht="18" customHeight="1" x14ac:dyDescent="0.2">
      <c r="B96" s="158" t="s">
        <v>243</v>
      </c>
      <c r="C96" s="699">
        <v>40601.608579088468</v>
      </c>
      <c r="D96" s="3056" t="s">
        <v>97</v>
      </c>
      <c r="E96" s="1938">
        <f>IFERROR(H96*1000/$C96,"NA")</f>
        <v>69.892571511581878</v>
      </c>
      <c r="F96" s="1938">
        <f t="shared" ref="F96:G101" si="42">IFERROR(I96*1000000/$C96,"NA")</f>
        <v>3.7079184384987189</v>
      </c>
      <c r="G96" s="1938">
        <f t="shared" si="42"/>
        <v>3.6909390364000654</v>
      </c>
      <c r="H96" s="699">
        <v>2837.7508310991966</v>
      </c>
      <c r="I96" s="699">
        <v>0.15054745308310991</v>
      </c>
      <c r="J96" s="699">
        <v>0.14985806204519342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200</v>
      </c>
      <c r="D98" s="3056" t="s">
        <v>97</v>
      </c>
      <c r="E98" s="1938">
        <f t="shared" si="43"/>
        <v>51.411918339265</v>
      </c>
      <c r="F98" s="1938">
        <f t="shared" si="42"/>
        <v>0.90909090909090906</v>
      </c>
      <c r="G98" s="1938">
        <f t="shared" si="42"/>
        <v>0.90909090909090917</v>
      </c>
      <c r="H98" s="699">
        <v>10.282383667853001</v>
      </c>
      <c r="I98" s="699">
        <v>1.8181818181818181E-4</v>
      </c>
      <c r="J98" s="699">
        <v>1.8181818181818183E-4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8800</v>
      </c>
      <c r="D102" s="3055" t="s">
        <v>97</v>
      </c>
      <c r="E102" s="615"/>
      <c r="F102" s="615"/>
      <c r="G102" s="615"/>
      <c r="H102" s="1938">
        <f>IF(SUM(H103:H107)=0,"NO",SUM(H103:H107))</f>
        <v>522.34746920522252</v>
      </c>
      <c r="I102" s="1938">
        <f t="shared" ref="I102:K102" si="47">IF(SUM(I103:I108)=0,"NO",SUM(I103:I108))</f>
        <v>8.6015584415584413E-3</v>
      </c>
      <c r="J102" s="1938">
        <f t="shared" si="47"/>
        <v>8.1677956709956707E-3</v>
      </c>
      <c r="K102" s="3044" t="str">
        <f t="shared" si="47"/>
        <v>NO</v>
      </c>
    </row>
    <row r="103" spans="2:11" ht="18" customHeight="1" x14ac:dyDescent="0.2">
      <c r="B103" s="158" t="s">
        <v>243</v>
      </c>
      <c r="C103" s="699">
        <v>899.99999999999989</v>
      </c>
      <c r="D103" s="3055" t="s">
        <v>97</v>
      </c>
      <c r="E103" s="1938">
        <f>IFERROR(H103*1000/$C103,"NA")</f>
        <v>65.744444444444454</v>
      </c>
      <c r="F103" s="1938">
        <f t="shared" ref="F103:G108" si="48">IFERROR(I103*1000000/$C103,"NA")</f>
        <v>1.4576238576238578</v>
      </c>
      <c r="G103" s="1938">
        <f t="shared" si="48"/>
        <v>1.9401096681096679</v>
      </c>
      <c r="H103" s="699">
        <v>59.17</v>
      </c>
      <c r="I103" s="699">
        <v>1.3118614718614719E-3</v>
      </c>
      <c r="J103" s="699">
        <v>1.7460987012987009E-3</v>
      </c>
      <c r="K103" s="3072" t="s">
        <v>199</v>
      </c>
    </row>
    <row r="104" spans="2:11" ht="18" customHeight="1" x14ac:dyDescent="0.2">
      <c r="B104" s="158" t="s">
        <v>245</v>
      </c>
      <c r="C104" s="699">
        <v>1400</v>
      </c>
      <c r="D104" s="3055" t="s">
        <v>97</v>
      </c>
      <c r="E104" s="1938">
        <f t="shared" ref="E104:E108" si="49">IFERROR(H104*1000/$C104,"NA")</f>
        <v>92.142857142857139</v>
      </c>
      <c r="F104" s="1938">
        <f t="shared" si="48"/>
        <v>0.95238095238095233</v>
      </c>
      <c r="G104" s="1938">
        <f t="shared" si="48"/>
        <v>0.66666666666666674</v>
      </c>
      <c r="H104" s="699">
        <v>129</v>
      </c>
      <c r="I104" s="699">
        <v>1.3333333333333333E-3</v>
      </c>
      <c r="J104" s="699">
        <v>9.3333333333333332E-4</v>
      </c>
      <c r="K104" s="3072" t="s">
        <v>199</v>
      </c>
    </row>
    <row r="105" spans="2:11" ht="18" customHeight="1" x14ac:dyDescent="0.2">
      <c r="B105" s="158" t="s">
        <v>246</v>
      </c>
      <c r="C105" s="699">
        <v>6500</v>
      </c>
      <c r="D105" s="3055" t="s">
        <v>97</v>
      </c>
      <c r="E105" s="1938">
        <f t="shared" si="49"/>
        <v>51.411918339265</v>
      </c>
      <c r="F105" s="1938">
        <f t="shared" si="48"/>
        <v>0.91636363636363627</v>
      </c>
      <c r="G105" s="1938">
        <f t="shared" si="48"/>
        <v>0.84436363636363643</v>
      </c>
      <c r="H105" s="699">
        <v>334.17746920522251</v>
      </c>
      <c r="I105" s="699">
        <v>5.9563636363636364E-3</v>
      </c>
      <c r="J105" s="699">
        <v>5.4883636363636367E-3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6699.9999999999991</v>
      </c>
      <c r="D118" s="3055" t="s">
        <v>97</v>
      </c>
      <c r="E118" s="615"/>
      <c r="F118" s="615"/>
      <c r="G118" s="615"/>
      <c r="H118" s="1938">
        <f>H119</f>
        <v>356.319126367737</v>
      </c>
      <c r="I118" s="1938">
        <f>I119</f>
        <v>3.8789675324675324E-2</v>
      </c>
      <c r="J118" s="1938">
        <f>J119</f>
        <v>6.7212913419913405E-3</v>
      </c>
      <c r="K118" s="3044" t="str">
        <f>K119</f>
        <v>NO</v>
      </c>
    </row>
    <row r="119" spans="2:11" ht="18" customHeight="1" x14ac:dyDescent="0.2">
      <c r="B119" s="3069" t="s">
        <v>286</v>
      </c>
      <c r="C119" s="3077">
        <f>IF(SUM(C120:C125)=0,"NO",SUM(C120:C125))</f>
        <v>6699.9999999999991</v>
      </c>
      <c r="D119" s="3055" t="s">
        <v>97</v>
      </c>
      <c r="E119" s="615"/>
      <c r="F119" s="615"/>
      <c r="G119" s="615"/>
      <c r="H119" s="3077">
        <f>IF(SUM(H120:H124)=0,"NO",SUM(H120:H124))</f>
        <v>356.319126367737</v>
      </c>
      <c r="I119" s="3077">
        <f t="shared" ref="I119" si="56">IF(SUM(I120:I125)=0,"NO",SUM(I120:I125))</f>
        <v>3.8789675324675324E-2</v>
      </c>
      <c r="J119" s="3077">
        <f t="shared" ref="J119" si="57">IF(SUM(J120:J125)=0,"NO",SUM(J120:J125))</f>
        <v>6.7212913419913405E-3</v>
      </c>
      <c r="K119" s="3078" t="str">
        <f t="shared" ref="K119" si="58">IF(SUM(K120:K125)=0,"NO",SUM(K120:K125))</f>
        <v>NO</v>
      </c>
    </row>
    <row r="120" spans="2:11" ht="18" customHeight="1" x14ac:dyDescent="0.2">
      <c r="B120" s="158" t="s">
        <v>243</v>
      </c>
      <c r="C120" s="699">
        <v>800</v>
      </c>
      <c r="D120" s="3055" t="s">
        <v>97</v>
      </c>
      <c r="E120" s="1938">
        <f>IFERROR(H120*1000/$C120,"NA")</f>
        <v>61.412500000000009</v>
      </c>
      <c r="F120" s="1938">
        <f t="shared" ref="F120:G125" si="59">IFERROR(I120*1000000/$C120,"NA")</f>
        <v>41.768614718614728</v>
      </c>
      <c r="G120" s="1938">
        <f t="shared" si="59"/>
        <v>1.7645454545454542</v>
      </c>
      <c r="H120" s="699">
        <v>49.13000000000001</v>
      </c>
      <c r="I120" s="699">
        <v>3.3414891774891778E-2</v>
      </c>
      <c r="J120" s="699">
        <v>1.4116363636363632E-3</v>
      </c>
      <c r="K120" s="3072" t="s">
        <v>199</v>
      </c>
    </row>
    <row r="121" spans="2:11" ht="18" customHeight="1" x14ac:dyDescent="0.2">
      <c r="B121" s="158" t="s">
        <v>245</v>
      </c>
      <c r="C121" s="699">
        <v>100</v>
      </c>
      <c r="D121" s="3055" t="s">
        <v>97</v>
      </c>
      <c r="E121" s="1938">
        <f t="shared" ref="E121:E125" si="60">IFERROR(H121*1000/$C121,"NA")</f>
        <v>90</v>
      </c>
      <c r="F121" s="1938">
        <f t="shared" si="59"/>
        <v>0.95238095238095222</v>
      </c>
      <c r="G121" s="1938">
        <f t="shared" si="59"/>
        <v>0.70609523809523822</v>
      </c>
      <c r="H121" s="699">
        <v>9</v>
      </c>
      <c r="I121" s="699">
        <v>9.5238095238095227E-5</v>
      </c>
      <c r="J121" s="699">
        <v>7.0609523809523819E-5</v>
      </c>
      <c r="K121" s="3072" t="s">
        <v>199</v>
      </c>
    </row>
    <row r="122" spans="2:11" ht="18" customHeight="1" x14ac:dyDescent="0.2">
      <c r="B122" s="158" t="s">
        <v>246</v>
      </c>
      <c r="C122" s="699">
        <v>5799.9999999999991</v>
      </c>
      <c r="D122" s="3055" t="s">
        <v>97</v>
      </c>
      <c r="E122" s="1938">
        <f t="shared" si="60"/>
        <v>51.411918339265007</v>
      </c>
      <c r="F122" s="1938">
        <f t="shared" si="59"/>
        <v>0.91026645768025072</v>
      </c>
      <c r="G122" s="1938">
        <f t="shared" si="59"/>
        <v>0.90328369905956118</v>
      </c>
      <c r="H122" s="699">
        <v>298.189126367737</v>
      </c>
      <c r="I122" s="699">
        <v>5.2795454545454534E-3</v>
      </c>
      <c r="J122" s="699">
        <v>5.2390454545454537E-3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topLeftCell="A27"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2459</v>
      </c>
    </row>
    <row r="2" spans="2:18" ht="15.75" customHeight="1" x14ac:dyDescent="0.2">
      <c r="B2" s="3"/>
      <c r="R2" s="14" t="s">
        <v>2460</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2459</v>
      </c>
    </row>
    <row r="2" spans="2:9" ht="15.75" x14ac:dyDescent="0.2">
      <c r="B2" s="3" t="s">
        <v>162</v>
      </c>
      <c r="I2" s="14" t="s">
        <v>2460</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5741.8314129686241</v>
      </c>
      <c r="D10" s="695">
        <f t="shared" ref="D10:F10" si="0">SUM(D11:D16)</f>
        <v>28663.709408073377</v>
      </c>
      <c r="E10" s="695">
        <f t="shared" si="0"/>
        <v>2617.9620247622429</v>
      </c>
      <c r="F10" s="695">
        <f t="shared" si="0"/>
        <v>2430.6274554579227</v>
      </c>
      <c r="G10" s="696" t="s">
        <v>199</v>
      </c>
      <c r="H10" s="697" t="s">
        <v>2035</v>
      </c>
      <c r="I10" s="698" t="s">
        <v>2036</v>
      </c>
    </row>
    <row r="11" spans="2:9" ht="18" customHeight="1" x14ac:dyDescent="0.2">
      <c r="B11" s="1561" t="s">
        <v>1921</v>
      </c>
      <c r="C11" s="3696">
        <f>Table1!D10</f>
        <v>1310.3254018992955</v>
      </c>
      <c r="D11" s="3697">
        <f>Table1!G10</f>
        <v>5262.8719420722582</v>
      </c>
      <c r="E11" s="3697">
        <f>Table1!H10</f>
        <v>798.55565194226097</v>
      </c>
      <c r="F11" s="3697">
        <f>Table1!F10</f>
        <v>1555.2536257430033</v>
      </c>
      <c r="G11" s="3698" t="s">
        <v>199</v>
      </c>
      <c r="H11" s="3699" t="s">
        <v>221</v>
      </c>
      <c r="I11" s="3700" t="s">
        <v>221</v>
      </c>
    </row>
    <row r="12" spans="2:9" ht="18" customHeight="1" x14ac:dyDescent="0.2">
      <c r="B12" s="2419" t="s">
        <v>2037</v>
      </c>
      <c r="C12" s="3149">
        <f>'Table2(I)'!D10</f>
        <v>3.2646478675884056</v>
      </c>
      <c r="D12" s="699">
        <f>'Table2(I)'!L10</f>
        <v>10.241960561549927</v>
      </c>
      <c r="E12" s="699">
        <f>'Table2(I)'!M10</f>
        <v>219.54182808646141</v>
      </c>
      <c r="F12" s="699">
        <f>'Table2(I)'!K10</f>
        <v>38.265821273188067</v>
      </c>
      <c r="G12" s="3125" t="s">
        <v>199</v>
      </c>
      <c r="H12" s="3701" t="s">
        <v>199</v>
      </c>
      <c r="I12" s="2921" t="s">
        <v>199</v>
      </c>
    </row>
    <row r="13" spans="2:9" ht="18" customHeight="1" x14ac:dyDescent="0.2">
      <c r="B13" s="2419" t="s">
        <v>2038</v>
      </c>
      <c r="C13" s="3149">
        <f>Table3!D10</f>
        <v>2861.8682856006867</v>
      </c>
      <c r="D13" s="699">
        <f>Table3!G10</f>
        <v>455.45136336696817</v>
      </c>
      <c r="E13" s="699">
        <f>Table3!H10</f>
        <v>26.567996196406479</v>
      </c>
      <c r="F13" s="699">
        <f>Table3!F10</f>
        <v>26.929788553329907</v>
      </c>
      <c r="G13" s="3702"/>
      <c r="H13" s="3701" t="s">
        <v>221</v>
      </c>
      <c r="I13" s="2921" t="s">
        <v>274</v>
      </c>
    </row>
    <row r="14" spans="2:9" ht="18" customHeight="1" x14ac:dyDescent="0.2">
      <c r="B14" s="2419" t="s">
        <v>2039</v>
      </c>
      <c r="C14" s="3149">
        <f>Table4!D10</f>
        <v>736.69294206813959</v>
      </c>
      <c r="D14" s="699">
        <f>Table4!G10</f>
        <v>22935.144142072601</v>
      </c>
      <c r="E14" s="3125">
        <f>Table4!H10</f>
        <v>1101.9842851399324</v>
      </c>
      <c r="F14" s="3125">
        <f>Table4!F10</f>
        <v>810.17821988840149</v>
      </c>
      <c r="G14" s="3702"/>
      <c r="H14" s="3703" t="s">
        <v>221</v>
      </c>
      <c r="I14" s="2921" t="s">
        <v>221</v>
      </c>
    </row>
    <row r="15" spans="2:9" ht="18" customHeight="1" x14ac:dyDescent="0.2">
      <c r="B15" s="2419" t="s">
        <v>2040</v>
      </c>
      <c r="C15" s="3149">
        <f>Table5!D10</f>
        <v>829.68013553291394</v>
      </c>
      <c r="D15" s="699" t="str">
        <f>Table5!G10</f>
        <v>NO</v>
      </c>
      <c r="E15" s="3125">
        <f>Table5!H10</f>
        <v>471.31226339718177</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2459</v>
      </c>
    </row>
    <row r="2" spans="2:8" ht="15.75" x14ac:dyDescent="0.2">
      <c r="B2" s="3" t="s">
        <v>162</v>
      </c>
      <c r="G2" s="14" t="s">
        <v>2460</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5" t="s">
        <v>2171</v>
      </c>
      <c r="C250" s="4546"/>
      <c r="D250" s="4546"/>
      <c r="E250" s="4546"/>
      <c r="F250" s="4546"/>
      <c r="G250" s="4547"/>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A39" workbookViewId="0">
      <selection activeCell="A54" sqref="A54"/>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2459</v>
      </c>
    </row>
    <row r="2" spans="2:20" ht="15.75" customHeight="1" x14ac:dyDescent="0.2">
      <c r="B2" s="3" t="s">
        <v>840</v>
      </c>
      <c r="C2" s="213" t="s">
        <v>2173</v>
      </c>
      <c r="D2" s="213"/>
      <c r="E2" s="213">
        <v>1990</v>
      </c>
      <c r="F2" s="703"/>
      <c r="G2" s="703"/>
      <c r="H2" s="703"/>
      <c r="I2" s="703"/>
      <c r="J2" s="703"/>
      <c r="K2" s="703"/>
      <c r="L2" s="703"/>
      <c r="M2" s="703"/>
      <c r="N2" s="703"/>
      <c r="O2" s="703"/>
      <c r="P2" s="703"/>
      <c r="Q2" s="703"/>
      <c r="R2" s="703"/>
      <c r="S2" s="703"/>
      <c r="T2" s="14" t="s">
        <v>2460</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451741.62831893953</v>
      </c>
      <c r="D10" s="3840">
        <f>SUM(D11,D22,D30,D41,D50,D56)</f>
        <v>431510.49931750051</v>
      </c>
      <c r="E10" s="3842">
        <f>IF(D10="NO",IF(C10="NO","NA",-C10),IF(C10="NO",D10,D10-C10))</f>
        <v>-20231.129001439025</v>
      </c>
      <c r="F10" s="3840">
        <f>IF(E10="NA","NA",E10/C10*100)</f>
        <v>-4.4784734753635327</v>
      </c>
      <c r="G10" s="3843">
        <f>IF(E10="NA","NA",E10/Table8s2!$G$35*100)</f>
        <v>-4.6282770496975205</v>
      </c>
      <c r="H10" s="3844">
        <f>IF(E10="NA","NA",E10/Table8s2!$G$34*100)</f>
        <v>-3.2875439521063856</v>
      </c>
      <c r="I10" s="4488">
        <f>SUM(I11,I22,I30,I41,I50,I56)</f>
        <v>160497.86711409999</v>
      </c>
      <c r="J10" s="3840">
        <f>SUM(J11,J22,J30,J41,J50,J56)</f>
        <v>160771.2795631215</v>
      </c>
      <c r="K10" s="3842">
        <f t="shared" ref="K10:K12" si="0">IF(J10="NO",IF(I10="NO","NA",-I10),IF(I10="NO",J10,J10-I10))</f>
        <v>273.41244902150356</v>
      </c>
      <c r="L10" s="3840">
        <f t="shared" ref="L10:L12" si="1">IF(K10="NA","NA",K10/I10*100)</f>
        <v>0.17035269934592409</v>
      </c>
      <c r="M10" s="3843">
        <f>IF(K10="NA","NA",K10/Table8s2!$G$35*100)</f>
        <v>6.2548588505258851E-2</v>
      </c>
      <c r="N10" s="3844">
        <f>IF(K10="NA","NA",K10/Table8s2!$G$34*100)</f>
        <v>4.4429326862940016E-2</v>
      </c>
      <c r="O10" s="4488">
        <f>SUM(O11,O22,O30,O41,O50,O56)</f>
        <v>18464.63523886554</v>
      </c>
      <c r="P10" s="3840">
        <f>SUM(P11,P22,P30,P41,P50,P56)</f>
        <v>17541.036138109353</v>
      </c>
      <c r="Q10" s="3842">
        <f t="shared" ref="Q10:Q12" si="2">IF(P10="NO",IF(O10="NO","NA",-O10),IF(O10="NO",P10,P10-O10))</f>
        <v>-923.59910075618609</v>
      </c>
      <c r="R10" s="3840">
        <f t="shared" ref="R10:R12" si="3">IF(Q10="NA","NA",Q10/O10*100)</f>
        <v>-5.0019894181940616</v>
      </c>
      <c r="S10" s="3843">
        <f>IF(Q10="NA","NA",Q10/Table8s2!$G$35*100)</f>
        <v>-0.2112918424299044</v>
      </c>
      <c r="T10" s="3844">
        <f>IF(Q10="NA","NA",Q10/Table8s2!$G$34*100)</f>
        <v>-0.1500841914282649</v>
      </c>
    </row>
    <row r="11" spans="2:20" ht="18" customHeight="1" x14ac:dyDescent="0.2">
      <c r="B11" s="1404" t="s">
        <v>1921</v>
      </c>
      <c r="C11" s="3841">
        <f>SUM(C12,C18,C21)</f>
        <v>258951.78460704247</v>
      </c>
      <c r="D11" s="3841">
        <f>Summary2!C11</f>
        <v>258952.01190728179</v>
      </c>
      <c r="E11" s="3845">
        <f t="shared" ref="E11:E38" si="4">IF(D11="NO",IF(C11="NO","NA",-C11),IF(C11="NO",D11,D11-C11))</f>
        <v>0.22730023931944743</v>
      </c>
      <c r="F11" s="3841">
        <f t="shared" ref="F11:F38" si="5">IF(E11="NA","NA",E11/C11*100)</f>
        <v>8.7777050721768131E-5</v>
      </c>
      <c r="G11" s="3846">
        <f>IF(E11="NA","NA",E11/Table8s2!$G$35*100)</f>
        <v>5.1999494489809432E-5</v>
      </c>
      <c r="H11" s="3847">
        <f>IF(E11="NA","NA",E11/Table8s2!$G$34*100)</f>
        <v>3.6936125859996816E-5</v>
      </c>
      <c r="I11" s="3848">
        <f>SUM(I12,I18,I21)</f>
        <v>36689.350547660681</v>
      </c>
      <c r="J11" s="3841">
        <f>Summary2!D11</f>
        <v>36689.111253180272</v>
      </c>
      <c r="K11" s="3845">
        <f t="shared" si="0"/>
        <v>-0.23929448040871648</v>
      </c>
      <c r="L11" s="3841">
        <f t="shared" si="1"/>
        <v>-6.5221781480668357E-4</v>
      </c>
      <c r="M11" s="3846">
        <f>IF(K11="NA","NA",K11/Table8s2!$G$35*100)</f>
        <v>-5.4743418012715866E-5</v>
      </c>
      <c r="N11" s="3847">
        <f>IF(K11="NA","NA",K11/Table8s2!$G$34*100)</f>
        <v>-3.8885181434222441E-5</v>
      </c>
      <c r="O11" s="3848">
        <f>SUM(O12,O18,O21)</f>
        <v>1744.2897014805615</v>
      </c>
      <c r="P11" s="3841">
        <f>Summary2!E11</f>
        <v>1744.2897014805612</v>
      </c>
      <c r="Q11" s="3845">
        <f t="shared" si="2"/>
        <v>-2.2737367544323206E-13</v>
      </c>
      <c r="R11" s="3841">
        <f t="shared" si="3"/>
        <v>-1.3035316051584563E-14</v>
      </c>
      <c r="S11" s="3846">
        <f>IF(Q11="NA","NA",Q11/Table8s2!$G$35*100)</f>
        <v>-5.2016294477902382E-17</v>
      </c>
      <c r="T11" s="3847">
        <f>IF(Q11="NA","NA",Q11/Table8s2!$G$34*100)</f>
        <v>-3.6948059177440306E-17</v>
      </c>
    </row>
    <row r="12" spans="2:20" ht="18" customHeight="1" x14ac:dyDescent="0.2">
      <c r="B12" s="606" t="s">
        <v>242</v>
      </c>
      <c r="C12" s="3841">
        <f>SUM(C13:C17)</f>
        <v>251679.28872254473</v>
      </c>
      <c r="D12" s="3841">
        <f>Summary2!C12</f>
        <v>251679.28872254479</v>
      </c>
      <c r="E12" s="3841">
        <f t="shared" si="4"/>
        <v>5.8207660913467407E-11</v>
      </c>
      <c r="F12" s="3849">
        <f t="shared" si="5"/>
        <v>2.3127711942016994E-14</v>
      </c>
      <c r="G12" s="3846">
        <f>IF(E12="NA","NA",E12/Table8s2!$G$35*100)</f>
        <v>1.331617138634301E-14</v>
      </c>
      <c r="H12" s="3847">
        <f>IF(E12="NA","NA",E12/Table8s2!$G$34*100)</f>
        <v>9.4587031494247183E-15</v>
      </c>
      <c r="I12" s="3848">
        <f>SUM(I13:I17)</f>
        <v>3686.1578685034137</v>
      </c>
      <c r="J12" s="3841">
        <f>Summary2!D12</f>
        <v>3686.1578685034156</v>
      </c>
      <c r="K12" s="3841">
        <f t="shared" si="0"/>
        <v>1.8189894035458565E-12</v>
      </c>
      <c r="L12" s="3849">
        <f t="shared" si="1"/>
        <v>4.9346486733200313E-14</v>
      </c>
      <c r="M12" s="3846">
        <f>IF(K12="NA","NA",K12/Table8s2!$G$35*100)</f>
        <v>4.1613035582321906E-16</v>
      </c>
      <c r="N12" s="3847">
        <f>IF(K12="NA","NA",K12/Table8s2!$G$34*100)</f>
        <v>2.9558447341952245E-16</v>
      </c>
      <c r="O12" s="3850">
        <f>SUM(O13:O17)</f>
        <v>1708.5010318935615</v>
      </c>
      <c r="P12" s="3849">
        <f>Summary2!E12</f>
        <v>1708.5010318935613</v>
      </c>
      <c r="Q12" s="3841">
        <f t="shared" si="2"/>
        <v>-2.2737367544323206E-13</v>
      </c>
      <c r="R12" s="3849">
        <f t="shared" si="3"/>
        <v>-1.3308372146034343E-14</v>
      </c>
      <c r="S12" s="3846">
        <f>IF(Q12="NA","NA",Q12/Table8s2!$G$35*100)</f>
        <v>-5.2016294477902382E-17</v>
      </c>
      <c r="T12" s="3847">
        <f>IF(Q12="NA","NA",Q12/Table8s2!$G$34*100)</f>
        <v>-3.6948059177440306E-17</v>
      </c>
    </row>
    <row r="13" spans="2:20" ht="18" customHeight="1" x14ac:dyDescent="0.2">
      <c r="B13" s="1391" t="s">
        <v>1923</v>
      </c>
      <c r="C13" s="3849">
        <v>142550.68803032237</v>
      </c>
      <c r="D13" s="3841">
        <f>Summary2!C13</f>
        <v>142550.6880303224</v>
      </c>
      <c r="E13" s="3841">
        <f t="shared" si="4"/>
        <v>2.9103830456733704E-11</v>
      </c>
      <c r="F13" s="3849">
        <f t="shared" si="5"/>
        <v>2.0416478418219168E-14</v>
      </c>
      <c r="G13" s="3846">
        <f>IF(E13="NA","NA",E13/Table8s2!$G$35*100)</f>
        <v>6.6580856931715049E-15</v>
      </c>
      <c r="H13" s="3847">
        <f>IF(E13="NA","NA",E13/Table8s2!$G$34*100)</f>
        <v>4.7293515747123592E-15</v>
      </c>
      <c r="I13" s="3848">
        <v>171.32169765427432</v>
      </c>
      <c r="J13" s="3841">
        <f>Summary2!D13</f>
        <v>171.32169765427426</v>
      </c>
      <c r="K13" s="3841">
        <f t="shared" ref="K13" si="6">IF(J13="NO",IF(I13="NO","NA",-I13),IF(I13="NO",J13,J13-I13))</f>
        <v>-5.6843418860808015E-14</v>
      </c>
      <c r="L13" s="3849">
        <f t="shared" ref="L13" si="7">IF(K13="NA","NA",K13/I13*100)</f>
        <v>-3.3179346013438146E-14</v>
      </c>
      <c r="M13" s="3846">
        <f>IF(K13="NA","NA",K13/Table8s2!$G$35*100)</f>
        <v>-1.3004073619475596E-17</v>
      </c>
      <c r="N13" s="3847">
        <f>IF(K13="NA","NA",K13/Table8s2!$G$34*100)</f>
        <v>-9.2370147943600765E-18</v>
      </c>
      <c r="O13" s="3850">
        <v>450.74631182860577</v>
      </c>
      <c r="P13" s="3849">
        <f>Summary2!E13</f>
        <v>450.74631182860566</v>
      </c>
      <c r="Q13" s="3841">
        <f t="shared" ref="Q13" si="8">IF(P13="NO",IF(O13="NO","NA",-O13),IF(O13="NO",P13,P13-O13))</f>
        <v>-1.1368683772161603E-13</v>
      </c>
      <c r="R13" s="3849">
        <f t="shared" ref="R13" si="9">IF(Q13="NA","NA",Q13/O13*100)</f>
        <v>-2.5221911913245989E-14</v>
      </c>
      <c r="S13" s="3846">
        <f>IF(Q13="NA","NA",Q13/Table8s2!$G$35*100)</f>
        <v>-2.6008147238951191E-17</v>
      </c>
      <c r="T13" s="3847">
        <f>IF(Q13="NA","NA",Q13/Table8s2!$G$34*100)</f>
        <v>-1.8474029588720153E-17</v>
      </c>
    </row>
    <row r="14" spans="2:20" ht="18" customHeight="1" x14ac:dyDescent="0.2">
      <c r="B14" s="1391" t="s">
        <v>1976</v>
      </c>
      <c r="C14" s="3849">
        <v>35866.538631108189</v>
      </c>
      <c r="D14" s="3841">
        <f>Summary2!C14</f>
        <v>35866.538631108211</v>
      </c>
      <c r="E14" s="3841">
        <f t="shared" si="4"/>
        <v>2.1827872842550278E-11</v>
      </c>
      <c r="F14" s="3849">
        <f t="shared" si="5"/>
        <v>6.0858598782148083E-14</v>
      </c>
      <c r="G14" s="3846">
        <f>IF(E14="NA","NA",E14/Table8s2!$G$35*100)</f>
        <v>4.9935642698786289E-15</v>
      </c>
      <c r="H14" s="3847">
        <f>IF(E14="NA","NA",E14/Table8s2!$G$34*100)</f>
        <v>3.5470136810342694E-15</v>
      </c>
      <c r="I14" s="3848">
        <v>57.684927651331748</v>
      </c>
      <c r="J14" s="3841">
        <f>Summary2!D14</f>
        <v>57.684927651331748</v>
      </c>
      <c r="K14" s="3841">
        <f t="shared" ref="K14:K20" si="10">IF(J14="NO",IF(I14="NO","NA",-I14),IF(I14="NO",J14,J14-I14))</f>
        <v>0</v>
      </c>
      <c r="L14" s="3849">
        <f t="shared" ref="L14:L20" si="11">IF(K14="NA","NA",K14/I14*100)</f>
        <v>0</v>
      </c>
      <c r="M14" s="3846">
        <f>IF(K14="NA","NA",K14/Table8s2!$G$35*100)</f>
        <v>0</v>
      </c>
      <c r="N14" s="3847">
        <f>IF(K14="NA","NA",K14/Table8s2!$G$34*100)</f>
        <v>0</v>
      </c>
      <c r="O14" s="3850">
        <v>300.69837443314759</v>
      </c>
      <c r="P14" s="3849">
        <f>Summary2!E14</f>
        <v>300.69837443314759</v>
      </c>
      <c r="Q14" s="3841">
        <f t="shared" ref="Q14:Q20" si="12">IF(P14="NO",IF(O14="NO","NA",-O14),IF(O14="NO",P14,P14-O14))</f>
        <v>0</v>
      </c>
      <c r="R14" s="3849">
        <f t="shared" ref="R14:R20" si="13">IF(Q14="NA","NA",Q14/O14*100)</f>
        <v>0</v>
      </c>
      <c r="S14" s="3846">
        <f>IF(Q14="NA","NA",Q14/Table8s2!$G$35*100)</f>
        <v>0</v>
      </c>
      <c r="T14" s="3847">
        <f>IF(Q14="NA","NA",Q14/Table8s2!$G$34*100)</f>
        <v>0</v>
      </c>
    </row>
    <row r="15" spans="2:20" ht="18" customHeight="1" x14ac:dyDescent="0.2">
      <c r="B15" s="1391" t="s">
        <v>1925</v>
      </c>
      <c r="C15" s="3849">
        <v>59818.85626807365</v>
      </c>
      <c r="D15" s="3841">
        <f>Summary2!C15</f>
        <v>59818.854504549039</v>
      </c>
      <c r="E15" s="3841">
        <f t="shared" si="4"/>
        <v>-1.7635246113059111E-3</v>
      </c>
      <c r="F15" s="3849">
        <f t="shared" si="5"/>
        <v>-2.9481082075571787E-6</v>
      </c>
      <c r="G15" s="3846">
        <f>IF(E15="NA","NA",E15/Table8s2!$G$35*100)</f>
        <v>-4.0344167072946471E-7</v>
      </c>
      <c r="H15" s="3847">
        <f>IF(E15="NA","NA",E15/Table8s2!$G$34*100)</f>
        <v>-2.8657148446224281E-7</v>
      </c>
      <c r="I15" s="3848">
        <v>737.66236467714873</v>
      </c>
      <c r="J15" s="3841">
        <f>Summary2!D15</f>
        <v>737.66236467714862</v>
      </c>
      <c r="K15" s="3841">
        <f t="shared" si="10"/>
        <v>-1.1368683772161603E-13</v>
      </c>
      <c r="L15" s="3849">
        <f t="shared" si="11"/>
        <v>-1.541177145066539E-14</v>
      </c>
      <c r="M15" s="3846">
        <f>IF(K15="NA","NA",K15/Table8s2!$G$35*100)</f>
        <v>-2.6008147238951191E-17</v>
      </c>
      <c r="N15" s="3847">
        <f>IF(K15="NA","NA",K15/Table8s2!$G$34*100)</f>
        <v>-1.8474029588720153E-17</v>
      </c>
      <c r="O15" s="3850">
        <v>813.07007552899927</v>
      </c>
      <c r="P15" s="3849">
        <f>Summary2!E15</f>
        <v>813.07007552899915</v>
      </c>
      <c r="Q15" s="3841">
        <f t="shared" si="12"/>
        <v>-1.1368683772161603E-13</v>
      </c>
      <c r="R15" s="3849">
        <f t="shared" si="13"/>
        <v>-1.3982415678949832E-14</v>
      </c>
      <c r="S15" s="3846">
        <f>IF(Q15="NA","NA",Q15/Table8s2!$G$35*100)</f>
        <v>-2.6008147238951191E-17</v>
      </c>
      <c r="T15" s="3847">
        <f>IF(Q15="NA","NA",Q15/Table8s2!$G$34*100)</f>
        <v>-1.8474029588720153E-17</v>
      </c>
    </row>
    <row r="16" spans="2:20" ht="18" customHeight="1" x14ac:dyDescent="0.2">
      <c r="B16" s="1391" t="s">
        <v>1926</v>
      </c>
      <c r="C16" s="3849">
        <v>13024.210275118594</v>
      </c>
      <c r="D16" s="3841">
        <f>Summary2!C16</f>
        <v>13024.212038643214</v>
      </c>
      <c r="E16" s="3841">
        <f t="shared" si="4"/>
        <v>1.7635246204008581E-3</v>
      </c>
      <c r="F16" s="3849">
        <f t="shared" si="5"/>
        <v>1.3540357404777851E-5</v>
      </c>
      <c r="G16" s="3846">
        <f>IF(E16="NA","NA",E16/Table8s2!$G$35*100)</f>
        <v>4.0344167281011655E-7</v>
      </c>
      <c r="H16" s="3847">
        <f>IF(E16="NA","NA",E16/Table8s2!$G$34*100)</f>
        <v>2.8657148594016516E-7</v>
      </c>
      <c r="I16" s="3848">
        <v>2718.7557267592874</v>
      </c>
      <c r="J16" s="3841">
        <f>Summary2!D16</f>
        <v>2718.7557267592892</v>
      </c>
      <c r="K16" s="3841">
        <f t="shared" si="10"/>
        <v>1.8189894035458565E-12</v>
      </c>
      <c r="L16" s="3849">
        <f t="shared" si="11"/>
        <v>6.690521644304037E-14</v>
      </c>
      <c r="M16" s="3846">
        <f>IF(K16="NA","NA",K16/Table8s2!$G$35*100)</f>
        <v>4.1613035582321906E-16</v>
      </c>
      <c r="N16" s="3847">
        <f>IF(K16="NA","NA",K16/Table8s2!$G$34*100)</f>
        <v>2.9558447341952245E-16</v>
      </c>
      <c r="O16" s="3850">
        <v>141.01921306144283</v>
      </c>
      <c r="P16" s="3849">
        <f>Summary2!E16</f>
        <v>141.01921306144283</v>
      </c>
      <c r="Q16" s="3841">
        <f t="shared" si="12"/>
        <v>0</v>
      </c>
      <c r="R16" s="3849">
        <f t="shared" si="13"/>
        <v>0</v>
      </c>
      <c r="S16" s="3846">
        <f>IF(Q16="NA","NA",Q16/Table8s2!$G$35*100)</f>
        <v>0</v>
      </c>
      <c r="T16" s="3847">
        <f>IF(Q16="NA","NA",Q16/Table8s2!$G$34*100)</f>
        <v>0</v>
      </c>
    </row>
    <row r="17" spans="2:20" ht="18" customHeight="1" x14ac:dyDescent="0.2">
      <c r="B17" s="1391" t="s">
        <v>1927</v>
      </c>
      <c r="C17" s="3849">
        <v>418.99551792193483</v>
      </c>
      <c r="D17" s="3841">
        <f>Summary2!C17</f>
        <v>418.99551792193483</v>
      </c>
      <c r="E17" s="3841">
        <f t="shared" si="4"/>
        <v>0</v>
      </c>
      <c r="F17" s="3849">
        <f t="shared" si="5"/>
        <v>0</v>
      </c>
      <c r="G17" s="3846">
        <f>IF(E17="NA","NA",E17/Table8s2!$G$35*100)</f>
        <v>0</v>
      </c>
      <c r="H17" s="3847">
        <f>IF(E17="NA","NA",E17/Table8s2!$G$34*100)</f>
        <v>0</v>
      </c>
      <c r="I17" s="3848">
        <v>0.73315176137152072</v>
      </c>
      <c r="J17" s="3841">
        <f>Summary2!D17</f>
        <v>0.7331517613715206</v>
      </c>
      <c r="K17" s="3841">
        <f t="shared" si="10"/>
        <v>-1.1102230246251565E-16</v>
      </c>
      <c r="L17" s="3849">
        <f t="shared" si="11"/>
        <v>-1.5143154297934736E-14</v>
      </c>
      <c r="M17" s="3846">
        <f>IF(K17="NA","NA",K17/Table8s2!$G$35*100)</f>
        <v>-2.5398581288038272E-20</v>
      </c>
      <c r="N17" s="3847">
        <f>IF(K17="NA","NA",K17/Table8s2!$G$34*100)</f>
        <v>-1.8041044520234524E-20</v>
      </c>
      <c r="O17" s="3850">
        <v>2.9670570413662052</v>
      </c>
      <c r="P17" s="3849">
        <f>Summary2!E17</f>
        <v>2.9670570413662061</v>
      </c>
      <c r="Q17" s="3841">
        <f t="shared" si="12"/>
        <v>8.8817841970012523E-16</v>
      </c>
      <c r="R17" s="3849">
        <f t="shared" si="13"/>
        <v>2.9934659405508305E-14</v>
      </c>
      <c r="S17" s="3846">
        <f>IF(Q17="NA","NA",Q17/Table8s2!$G$35*100)</f>
        <v>2.0318865030430618E-19</v>
      </c>
      <c r="T17" s="3847">
        <f>IF(Q17="NA","NA",Q17/Table8s2!$G$34*100)</f>
        <v>1.443283561618762E-19</v>
      </c>
    </row>
    <row r="18" spans="2:20" ht="18" customHeight="1" x14ac:dyDescent="0.2">
      <c r="B18" s="606" t="s">
        <v>201</v>
      </c>
      <c r="C18" s="3849">
        <f>SUM(C19:C20)</f>
        <v>7272.4958844977455</v>
      </c>
      <c r="D18" s="3841">
        <f>Summary2!C18</f>
        <v>7272.7231847369876</v>
      </c>
      <c r="E18" s="3841">
        <f t="shared" si="4"/>
        <v>0.22730023924214038</v>
      </c>
      <c r="F18" s="3849">
        <f t="shared" si="5"/>
        <v>3.1254777294086873E-3</v>
      </c>
      <c r="G18" s="3846">
        <f>IF(E18="NA","NA",E18/Table8s2!$G$35*100)</f>
        <v>5.1999494472123892E-5</v>
      </c>
      <c r="H18" s="3847">
        <f>IF(E18="NA","NA",E18/Table8s2!$G$34*100)</f>
        <v>3.6936125847434477E-5</v>
      </c>
      <c r="I18" s="3848">
        <f>SUM(I19:I20)</f>
        <v>33003.19267915727</v>
      </c>
      <c r="J18" s="3841">
        <f>Summary2!D18</f>
        <v>33002.953384676861</v>
      </c>
      <c r="K18" s="3841">
        <f t="shared" si="10"/>
        <v>-0.23929448040871648</v>
      </c>
      <c r="L18" s="3849">
        <f t="shared" si="11"/>
        <v>-7.2506464066986989E-4</v>
      </c>
      <c r="M18" s="3846">
        <f>IF(K18="NA","NA",K18/Table8s2!$G$35*100)</f>
        <v>-5.4743418012715866E-5</v>
      </c>
      <c r="N18" s="3847">
        <f>IF(K18="NA","NA",K18/Table8s2!$G$34*100)</f>
        <v>-3.8885181434222441E-5</v>
      </c>
      <c r="O18" s="3850">
        <f>SUM(O19:O20)</f>
        <v>35.788669587000015</v>
      </c>
      <c r="P18" s="3849">
        <f>Summary2!E18</f>
        <v>35.788669587000015</v>
      </c>
      <c r="Q18" s="3841">
        <f t="shared" si="12"/>
        <v>0</v>
      </c>
      <c r="R18" s="3849">
        <f t="shared" si="13"/>
        <v>0</v>
      </c>
      <c r="S18" s="3846">
        <f>IF(Q18="NA","NA",Q18/Table8s2!$G$35*100)</f>
        <v>0</v>
      </c>
      <c r="T18" s="3847">
        <f>IF(Q18="NA","NA",Q18/Table8s2!$G$34*100)</f>
        <v>0</v>
      </c>
    </row>
    <row r="19" spans="2:20" ht="18" customHeight="1" x14ac:dyDescent="0.2">
      <c r="B19" s="1391" t="s">
        <v>1928</v>
      </c>
      <c r="C19" s="3849">
        <v>1183.8805823664281</v>
      </c>
      <c r="D19" s="3841">
        <f>Summary2!C19</f>
        <v>1183.8805823664284</v>
      </c>
      <c r="E19" s="3841">
        <f t="shared" si="4"/>
        <v>2.2737367544323206E-13</v>
      </c>
      <c r="F19" s="3849">
        <f t="shared" si="5"/>
        <v>1.9205794809873538E-14</v>
      </c>
      <c r="G19" s="3846">
        <f>IF(E19="NA","NA",E19/Table8s2!$G$35*100)</f>
        <v>5.2016294477902382E-17</v>
      </c>
      <c r="H19" s="3847">
        <f>IF(E19="NA","NA",E19/Table8s2!$G$34*100)</f>
        <v>3.6948059177440306E-17</v>
      </c>
      <c r="I19" s="3848">
        <v>24393.980736922902</v>
      </c>
      <c r="J19" s="3841">
        <f>Summary2!D19</f>
        <v>24393.980736922909</v>
      </c>
      <c r="K19" s="3841">
        <f t="shared" si="10"/>
        <v>7.2759576141834259E-12</v>
      </c>
      <c r="L19" s="3849">
        <f t="shared" si="11"/>
        <v>2.9826856439098864E-14</v>
      </c>
      <c r="M19" s="3846">
        <f>IF(K19="NA","NA",K19/Table8s2!$G$35*100)</f>
        <v>1.6645214232928762E-15</v>
      </c>
      <c r="N19" s="3847">
        <f>IF(K19="NA","NA",K19/Table8s2!$G$34*100)</f>
        <v>1.1823378936780898E-15</v>
      </c>
      <c r="O19" s="3850">
        <v>1.4124384861120004E-4</v>
      </c>
      <c r="P19" s="3849">
        <f>Summary2!E19</f>
        <v>1.412438486112001E-4</v>
      </c>
      <c r="Q19" s="3841">
        <f t="shared" si="12"/>
        <v>5.4210108624275222E-20</v>
      </c>
      <c r="R19" s="3849">
        <f t="shared" si="13"/>
        <v>3.838050942204119E-14</v>
      </c>
      <c r="S19" s="3846">
        <f>IF(Q19="NA","NA",Q19/Table8s2!$G$35*100)</f>
        <v>1.2401651019549938E-23</v>
      </c>
      <c r="T19" s="3847">
        <f>IF(Q19="NA","NA",Q19/Table8s2!$G$34*100)</f>
        <v>8.8091037696457639E-24</v>
      </c>
    </row>
    <row r="20" spans="2:20" ht="18" customHeight="1" x14ac:dyDescent="0.2">
      <c r="B20" s="1392" t="s">
        <v>1929</v>
      </c>
      <c r="C20" s="3851">
        <v>6088.6153021313175</v>
      </c>
      <c r="D20" s="3852">
        <f>Summary2!C20</f>
        <v>6088.8426023705597</v>
      </c>
      <c r="E20" s="3852">
        <f t="shared" si="4"/>
        <v>0.22730023924214038</v>
      </c>
      <c r="F20" s="3851">
        <f t="shared" si="5"/>
        <v>3.7332008669126136E-3</v>
      </c>
      <c r="G20" s="3853">
        <f>IF(E20="NA","NA",E20/Table8s2!$G$35*100)</f>
        <v>5.1999494472123892E-5</v>
      </c>
      <c r="H20" s="3854">
        <f>IF(E20="NA","NA",E20/Table8s2!$G$34*100)</f>
        <v>3.6936125847434477E-5</v>
      </c>
      <c r="I20" s="3855">
        <v>8609.2119422343694</v>
      </c>
      <c r="J20" s="3852">
        <f>Summary2!D20</f>
        <v>8608.9726477539516</v>
      </c>
      <c r="K20" s="3841">
        <f t="shared" si="10"/>
        <v>-0.23929448041781143</v>
      </c>
      <c r="L20" s="3849">
        <f t="shared" si="11"/>
        <v>-2.7795166621918097E-3</v>
      </c>
      <c r="M20" s="3846">
        <f>IF(K20="NA","NA",K20/Table8s2!$G$35*100)</f>
        <v>-5.4743418014796518E-5</v>
      </c>
      <c r="N20" s="3847">
        <f>IF(K20="NA","NA",K20/Table8s2!$G$34*100)</f>
        <v>-3.8885181435700365E-5</v>
      </c>
      <c r="O20" s="3856">
        <v>35.788528343151405</v>
      </c>
      <c r="P20" s="3851">
        <f>Summary2!E20</f>
        <v>35.788528343151405</v>
      </c>
      <c r="Q20" s="3841">
        <f t="shared" si="12"/>
        <v>0</v>
      </c>
      <c r="R20" s="3849">
        <f t="shared" si="13"/>
        <v>0</v>
      </c>
      <c r="S20" s="3846">
        <f>IF(Q20="NA","NA",Q20/Table8s2!$G$35*100)</f>
        <v>0</v>
      </c>
      <c r="T20" s="3847">
        <f>IF(Q20="NA","NA",Q20/Table8s2!$G$34*100)</f>
        <v>0</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18552.628794626791</v>
      </c>
      <c r="D22" s="3841">
        <f>Summary2!C22</f>
        <v>18552.628794626791</v>
      </c>
      <c r="E22" s="3863">
        <f t="shared" si="4"/>
        <v>0</v>
      </c>
      <c r="F22" s="3863">
        <f t="shared" si="5"/>
        <v>0</v>
      </c>
      <c r="G22" s="3864">
        <f>IF(E22="NA","NA",E22/Table8s2!$G$35*100)</f>
        <v>0</v>
      </c>
      <c r="H22" s="3865">
        <f>IF(E22="NA","NA",E22/Table8s2!$G$34*100)</f>
        <v>0</v>
      </c>
      <c r="I22" s="3841">
        <f>SUM(I23:I29)</f>
        <v>91.410140292475347</v>
      </c>
      <c r="J22" s="3841">
        <f>Summary2!D22</f>
        <v>91.410140292475361</v>
      </c>
      <c r="K22" s="3863">
        <f t="shared" ref="K22" si="14">IF(J22="NO",IF(I22="NO","NA",-I22),IF(I22="NO",J22,J22-I22))</f>
        <v>1.4210854715202004E-14</v>
      </c>
      <c r="L22" s="3863">
        <f t="shared" ref="L22" si="15">IF(K22="NA","NA",K22/I22*100)</f>
        <v>1.5546256323131149E-14</v>
      </c>
      <c r="M22" s="3864">
        <f>IF(K22="NA","NA",K22/Table8s2!$G$35*100)</f>
        <v>3.2510184048688989E-18</v>
      </c>
      <c r="N22" s="3865">
        <f>IF(K22="NA","NA",K22/Table8s2!$G$34*100)</f>
        <v>2.3092536985900191E-18</v>
      </c>
      <c r="O22" s="3841">
        <f>SUM(O23:O29)</f>
        <v>904.65743427542532</v>
      </c>
      <c r="P22" s="3841">
        <f>Summary2!E22</f>
        <v>904.65743427542532</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5489.5881371538135</v>
      </c>
      <c r="D23" s="3841">
        <f>Summary2!C23</f>
        <v>5489.5881371538135</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1054.6897029809475</v>
      </c>
      <c r="D24" s="3841">
        <f>Summary2!C24</f>
        <v>1054.6897029809472</v>
      </c>
      <c r="E24" s="3841">
        <f t="shared" si="4"/>
        <v>-2.2737367544323206E-13</v>
      </c>
      <c r="F24" s="3849">
        <f t="shared" si="5"/>
        <v>-2.1558347900864966E-14</v>
      </c>
      <c r="G24" s="3846">
        <f>IF(E24="NA","NA",E24/Table8s2!$G$35*100)</f>
        <v>-5.2016294477902382E-17</v>
      </c>
      <c r="H24" s="3847">
        <f>IF(E24="NA","NA",E24/Table8s2!$G$34*100)</f>
        <v>-3.6948059177440306E-17</v>
      </c>
      <c r="I24" s="3848">
        <v>12.253530072</v>
      </c>
      <c r="J24" s="3841">
        <f>Summary2!D24</f>
        <v>12.253530072</v>
      </c>
      <c r="K24" s="3841">
        <f t="shared" ref="K24" si="18">IF(J24="NO",IF(I24="NO","NA",-I24),IF(I24="NO",J24,J24-I24))</f>
        <v>0</v>
      </c>
      <c r="L24" s="3849">
        <f t="shared" ref="L24" si="19">IF(K24="NA","NA",K24/I24*100)</f>
        <v>0</v>
      </c>
      <c r="M24" s="3846">
        <f>IF(K24="NA","NA",K24/Table8s2!$G$35*100)</f>
        <v>0</v>
      </c>
      <c r="N24" s="3847">
        <f>IF(K24="NA","NA",K24/Table8s2!$G$34*100)</f>
        <v>0</v>
      </c>
      <c r="O24" s="3850">
        <v>884.85171089999994</v>
      </c>
      <c r="P24" s="3849">
        <f>Summary2!E24</f>
        <v>884.85171089999994</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11644.473410340323</v>
      </c>
      <c r="D25" s="3841">
        <f>Summary2!C25</f>
        <v>11644.473410340323</v>
      </c>
      <c r="E25" s="3841">
        <f t="shared" si="4"/>
        <v>0</v>
      </c>
      <c r="F25" s="3849">
        <f t="shared" si="5"/>
        <v>0</v>
      </c>
      <c r="G25" s="3846">
        <f>IF(E25="NA","NA",E25/Table8s2!$G$35*100)</f>
        <v>0</v>
      </c>
      <c r="H25" s="3847">
        <f>IF(E25="NA","NA",E25/Table8s2!$G$34*100)</f>
        <v>0</v>
      </c>
      <c r="I25" s="3848">
        <v>79.156610220475343</v>
      </c>
      <c r="J25" s="3841">
        <f>Summary2!D25</f>
        <v>79.156610220475358</v>
      </c>
      <c r="K25" s="3841">
        <f t="shared" ref="K25:K26" si="22">IF(J25="NO",IF(I25="NO","NA",-I25),IF(I25="NO",J25,J25-I25))</f>
        <v>1.4210854715202004E-14</v>
      </c>
      <c r="L25" s="3849">
        <f t="shared" ref="L25:L26" si="23">IF(K25="NA","NA",K25/I25*100)</f>
        <v>1.7952833851298624E-14</v>
      </c>
      <c r="M25" s="3846">
        <f>IF(K25="NA","NA",K25/Table8s2!$G$35*100)</f>
        <v>3.2510184048688989E-18</v>
      </c>
      <c r="N25" s="3847">
        <f>IF(K25="NA","NA",K25/Table8s2!$G$34*100)</f>
        <v>2.3092536985900191E-18</v>
      </c>
      <c r="O25" s="3850">
        <v>19.805723375425391</v>
      </c>
      <c r="P25" s="3849">
        <f>Summary2!E25</f>
        <v>19.805723375425394</v>
      </c>
      <c r="Q25" s="3841">
        <f t="shared" ref="Q25:Q29" si="24">IF(P25="NO",IF(O25="NO","NA",-O25),IF(O25="NO",P25,P25-O25))</f>
        <v>3.5527136788005009E-15</v>
      </c>
      <c r="R25" s="3849">
        <f t="shared" ref="R25:R29" si="25">IF(Q25="NA","NA",Q25/O25*100)</f>
        <v>1.7937813284864154E-14</v>
      </c>
      <c r="S25" s="3846">
        <f>IF(Q25="NA","NA",Q25/Table8s2!$G$35*100)</f>
        <v>8.1275460121722472E-19</v>
      </c>
      <c r="T25" s="3847">
        <f>IF(Q25="NA","NA",Q25/Table8s2!$G$34*100)</f>
        <v>5.7731342464750478E-19</v>
      </c>
    </row>
    <row r="26" spans="2:20" ht="18" customHeight="1" x14ac:dyDescent="0.2">
      <c r="B26" s="1394" t="s">
        <v>1978</v>
      </c>
      <c r="C26" s="3841">
        <v>281.30450949999999</v>
      </c>
      <c r="D26" s="3841">
        <f>Summary2!C26</f>
        <v>281.30450949999999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82.573034651705768</v>
      </c>
      <c r="D29" s="3857">
        <f>Summary2!C30</f>
        <v>82.573034651705768</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582.01320937951778</v>
      </c>
      <c r="D30" s="3877">
        <f>Summary2!C31</f>
        <v>582.01320937951778</v>
      </c>
      <c r="E30" s="3863">
        <f t="shared" si="4"/>
        <v>0</v>
      </c>
      <c r="F30" s="3878">
        <f t="shared" si="5"/>
        <v>0</v>
      </c>
      <c r="G30" s="3879">
        <f>IF(E30="NA","NA",E30/Table8s2!$G$35*100)</f>
        <v>0</v>
      </c>
      <c r="H30" s="3880">
        <f>IF(E30="NA","NA",E30/Table8s2!$G$34*100)</f>
        <v>0</v>
      </c>
      <c r="I30" s="3876">
        <f>SUM(I31:I40)</f>
        <v>80137.552978977255</v>
      </c>
      <c r="J30" s="3877">
        <f>Summary2!D31</f>
        <v>80132.311996819233</v>
      </c>
      <c r="K30" s="3863">
        <f t="shared" ref="K30" si="28">IF(J30="NO",IF(I30="NO","NA",-I30),IF(I30="NO",J30,J30-I30))</f>
        <v>-5.2409821580222342</v>
      </c>
      <c r="L30" s="3878">
        <f t="shared" ref="L30" si="29">IF(K30="NA","NA",K30/I30*100)</f>
        <v>-6.5399827711199498E-3</v>
      </c>
      <c r="M30" s="3879">
        <f>IF(K30="NA","NA",K30/Table8s2!$G$35*100)</f>
        <v>-1.198979920404992E-3</v>
      </c>
      <c r="N30" s="3880">
        <f>IF(K30="NA","NA",K30/Table8s2!$G$34*100)</f>
        <v>-8.5165584162297215E-4</v>
      </c>
      <c r="O30" s="3876">
        <f>SUM(O31:O40)</f>
        <v>11376.237958704807</v>
      </c>
      <c r="P30" s="3877">
        <f>Summary2!E31</f>
        <v>10444.900872379345</v>
      </c>
      <c r="Q30" s="3863">
        <f t="shared" ref="Q30" si="30">IF(P30="NO",IF(O30="NO","NA",-O30),IF(O30="NO",P30,P30-O30))</f>
        <v>-931.33708632546222</v>
      </c>
      <c r="R30" s="3882">
        <f t="shared" ref="R30" si="31">IF(Q30="NA","NA",Q30/O30*100)</f>
        <v>-8.1866878110863261</v>
      </c>
      <c r="S30" s="3883">
        <f>IF(Q30="NA","NA",Q30/Table8s2!$G$35*100)</f>
        <v>-0.21306206202657765</v>
      </c>
      <c r="T30" s="3884">
        <f>IF(Q30="NA","NA",Q30/Table8s2!$G$34*100)</f>
        <v>-0.15134160853325943</v>
      </c>
    </row>
    <row r="31" spans="2:20" ht="18" customHeight="1" x14ac:dyDescent="0.2">
      <c r="B31" s="606" t="s">
        <v>1938</v>
      </c>
      <c r="C31" s="3869"/>
      <c r="D31" s="3869"/>
      <c r="E31" s="3870"/>
      <c r="F31" s="3870"/>
      <c r="G31" s="3871"/>
      <c r="H31" s="3872"/>
      <c r="I31" s="3848">
        <v>72388.855630241276</v>
      </c>
      <c r="J31" s="3841">
        <f>Summary2!D32</f>
        <v>72388.855630241276</v>
      </c>
      <c r="K31" s="3885">
        <f t="shared" ref="K31:K33" si="32">IF(J31="NO",IF(I31="NO","NA",-I31),IF(I31="NO",J31,J31-I31))</f>
        <v>0</v>
      </c>
      <c r="L31" s="3885">
        <f t="shared" ref="L31:L33" si="33">IF(K31="NA","NA",K31/I31*100)</f>
        <v>0</v>
      </c>
      <c r="M31" s="3886">
        <f>IF(K31="NA","NA",K31/Table8s2!$G$35*100)</f>
        <v>0</v>
      </c>
      <c r="N31" s="3887">
        <f>IF(K31="NA","NA",K31/Table8s2!$G$34*100)</f>
        <v>0</v>
      </c>
      <c r="O31" s="3888"/>
      <c r="P31" s="3889"/>
      <c r="Q31" s="3870"/>
      <c r="R31" s="3890"/>
      <c r="S31" s="3891"/>
      <c r="T31" s="3892"/>
    </row>
    <row r="32" spans="2:20" ht="18" customHeight="1" x14ac:dyDescent="0.2">
      <c r="B32" s="606" t="s">
        <v>1939</v>
      </c>
      <c r="C32" s="3893"/>
      <c r="D32" s="3893"/>
      <c r="E32" s="3894"/>
      <c r="F32" s="3894"/>
      <c r="G32" s="3871"/>
      <c r="H32" s="3872"/>
      <c r="I32" s="3848">
        <v>6889.0110462442926</v>
      </c>
      <c r="J32" s="3849">
        <f>Summary2!D33</f>
        <v>6883.7700640862831</v>
      </c>
      <c r="K32" s="3895">
        <f t="shared" si="32"/>
        <v>-5.2409821580095013</v>
      </c>
      <c r="L32" s="3895">
        <f t="shared" si="33"/>
        <v>-7.6077424217032522E-2</v>
      </c>
      <c r="M32" s="3886">
        <f>IF(K32="NA","NA",K32/Table8s2!$G$35*100)</f>
        <v>-1.1989799204020792E-3</v>
      </c>
      <c r="N32" s="3887">
        <f>IF(K32="NA","NA",K32/Table8s2!$G$34*100)</f>
        <v>-8.5165584162090295E-4</v>
      </c>
      <c r="O32" s="3850">
        <v>203.56356240494057</v>
      </c>
      <c r="P32" s="3849">
        <f>Summary2!E33</f>
        <v>247.10296593533033</v>
      </c>
      <c r="Q32" s="3895">
        <f t="shared" ref="Q32" si="34">IF(P32="NO",IF(O32="NO","NA",-O32),IF(O32="NO",P32,P32-O32))</f>
        <v>43.539403530389762</v>
      </c>
      <c r="R32" s="3896">
        <f t="shared" ref="R32" si="35">IF(Q32="NA","NA",Q32/O32*100)</f>
        <v>21.388603645960284</v>
      </c>
      <c r="S32" s="3897">
        <f>IF(Q32="NA","NA",Q32/Table8s2!$G$35*100)</f>
        <v>9.9605129354317645E-3</v>
      </c>
      <c r="T32" s="3898">
        <f>IF(Q32="NA","NA",Q32/Table8s2!$G$34*100)</f>
        <v>7.0751218453735838E-3</v>
      </c>
    </row>
    <row r="33" spans="2:21" ht="18" customHeight="1" x14ac:dyDescent="0.2">
      <c r="B33" s="606" t="s">
        <v>1940</v>
      </c>
      <c r="C33" s="3893"/>
      <c r="D33" s="3893"/>
      <c r="E33" s="3894"/>
      <c r="F33" s="3894"/>
      <c r="G33" s="3899"/>
      <c r="H33" s="3900"/>
      <c r="I33" s="3850">
        <v>532.69558007436797</v>
      </c>
      <c r="J33" s="3849">
        <f>Summary2!D34</f>
        <v>532.69558007436797</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11049.154202591693</v>
      </c>
      <c r="P34" s="3849">
        <f>Summary2!E35</f>
        <v>10074.277712735842</v>
      </c>
      <c r="Q34" s="3895">
        <f t="shared" ref="Q34" si="36">IF(P34="NO",IF(O34="NO","NA",-O34),IF(O34="NO",P34,P34-O34))</f>
        <v>-974.8764898558511</v>
      </c>
      <c r="R34" s="3896">
        <f t="shared" ref="R34" si="37">IF(Q34="NA","NA",Q34/O34*100)</f>
        <v>-8.8230870162639565</v>
      </c>
      <c r="S34" s="3897">
        <f>IF(Q34="NA","NA",Q34/Table8s2!$G$35*100)</f>
        <v>-0.2230225749620092</v>
      </c>
      <c r="T34" s="3898">
        <f>IF(Q34="NA","NA",Q34/Table8s2!$G$34*100)</f>
        <v>-0.15841673037863285</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326.99072241731051</v>
      </c>
      <c r="J36" s="3849">
        <f>Summary2!D37</f>
        <v>326.99072241731045</v>
      </c>
      <c r="K36" s="3895">
        <f t="shared" ref="K36" si="38">IF(J36="NO",IF(I36="NO","NA",-I36),IF(I36="NO",J36,J36-I36))</f>
        <v>-5.6843418860808015E-14</v>
      </c>
      <c r="L36" s="3895">
        <f t="shared" ref="L36" si="39">IF(K36="NA","NA",K36/I36*100)</f>
        <v>-1.7383801730088106E-14</v>
      </c>
      <c r="M36" s="3886">
        <f>IF(K36="NA","NA",K36/Table8s2!$G$35*100)</f>
        <v>-1.3004073619475596E-17</v>
      </c>
      <c r="N36" s="3887">
        <f>IF(K36="NA","NA",K36/Table8s2!$G$34*100)</f>
        <v>-9.2370147943600765E-18</v>
      </c>
      <c r="O36" s="3850">
        <v>123.520193708172</v>
      </c>
      <c r="P36" s="3849">
        <f>Summary2!E37</f>
        <v>123.52019370817197</v>
      </c>
      <c r="Q36" s="3895">
        <f t="shared" ref="Q36" si="40">IF(P36="NO",IF(O36="NO","NA",-O36),IF(O36="NO",P36,P36-O36))</f>
        <v>-2.8421709430404007E-14</v>
      </c>
      <c r="R36" s="3896">
        <f t="shared" ref="R36" si="41">IF(Q36="NA","NA",Q36/O36*100)</f>
        <v>-2.3009767534491528E-14</v>
      </c>
      <c r="S36" s="3897">
        <f>IF(Q36="NA","NA",Q36/Table8s2!$G$35*100)</f>
        <v>-6.5020368097377978E-18</v>
      </c>
      <c r="T36" s="3898">
        <f>IF(Q36="NA","NA",Q36/Table8s2!$G$34*100)</f>
        <v>-4.6185073971800382E-18</v>
      </c>
    </row>
    <row r="37" spans="2:21" ht="18" customHeight="1" x14ac:dyDescent="0.2">
      <c r="B37" s="606" t="s">
        <v>955</v>
      </c>
      <c r="C37" s="3849">
        <v>215.34654271285109</v>
      </c>
      <c r="D37" s="3849">
        <f>Summary2!C38</f>
        <v>215.34654271285109</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366.66666666666663</v>
      </c>
      <c r="D38" s="3849">
        <f>Summary2!C39</f>
        <v>366.66666666666663</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173581.36026367301</v>
      </c>
      <c r="D41" s="3841">
        <f>Summary2!C42</f>
        <v>153350.00396199466</v>
      </c>
      <c r="E41" s="3931">
        <f t="shared" ref="E41" si="42">IF(D41="NO",IF(C41="NO","NA",-C41),IF(C41="NO",D41,D41-C41))</f>
        <v>-20231.356301678345</v>
      </c>
      <c r="F41" s="3931">
        <f t="shared" ref="F41" si="43">IF(E41="NA","NA",E41/C41*100)</f>
        <v>-11.655258531760884</v>
      </c>
      <c r="G41" s="3871"/>
      <c r="H41" s="3931">
        <f>IF(E41="NA","NA",E41/Table8s2!$G$34*100)</f>
        <v>-3.2875808882322466</v>
      </c>
      <c r="I41" s="3848">
        <f>SUM(I42:I49)</f>
        <v>20348.436600968227</v>
      </c>
      <c r="J41" s="3841">
        <f>Summary2!D42</f>
        <v>20627.402377907907</v>
      </c>
      <c r="K41" s="3931">
        <f t="shared" ref="K41:K46" si="44">IF(J41="NO",IF(I41="NO","NA",-I41),IF(I41="NO",J41,J41-I41))</f>
        <v>278.96577693967993</v>
      </c>
      <c r="L41" s="3931">
        <f t="shared" ref="L41:L46" si="45">IF(K41="NA","NA",K41/I41*100)</f>
        <v>1.3709445222263714</v>
      </c>
      <c r="M41" s="3891"/>
      <c r="N41" s="3932">
        <f>IF(K41="NA","NA",K41/Table8s2!$G$34*100)</f>
        <v>4.5331738666560345E-2</v>
      </c>
      <c r="O41" s="3848">
        <f>SUM(O42:O49)</f>
        <v>4282.0930136656316</v>
      </c>
      <c r="P41" s="3841">
        <f>Summary2!E42</f>
        <v>4289.8309992349068</v>
      </c>
      <c r="Q41" s="3931">
        <f t="shared" ref="Q41" si="46">IF(P41="NO",IF(O41="NO","NA",-O41),IF(O41="NO",P41,P41-O41))</f>
        <v>7.7379855692752244</v>
      </c>
      <c r="R41" s="3931">
        <f t="shared" ref="R41" si="47">IF(Q41="NA","NA",Q41/O41*100)</f>
        <v>0.18070568632163408</v>
      </c>
      <c r="S41" s="3891"/>
      <c r="T41" s="3932">
        <f>IF(Q41="NA","NA",Q41/Table8s2!$G$34*100)</f>
        <v>1.2574171049943778E-3</v>
      </c>
      <c r="U41" s="721"/>
    </row>
    <row r="42" spans="2:21" ht="18" customHeight="1" x14ac:dyDescent="0.2">
      <c r="B42" s="606" t="s">
        <v>1252</v>
      </c>
      <c r="C42" s="3849">
        <v>-15706.288508129455</v>
      </c>
      <c r="D42" s="3849">
        <f>Summary2!C43</f>
        <v>-13132.69831950849</v>
      </c>
      <c r="E42" s="3933">
        <f t="shared" ref="E42:E50" si="48">IF(D42="NO",IF(C42="NO","NA",-C42),IF(C42="NO",D42,D42-C42))</f>
        <v>2573.5901886209649</v>
      </c>
      <c r="F42" s="3933">
        <f t="shared" ref="F42:F50" si="49">IF(E42="NA","NA",E42/C42*100)</f>
        <v>-16.38573102288866</v>
      </c>
      <c r="G42" s="3891"/>
      <c r="H42" s="3933">
        <f>IF(E42="NA","NA",E42/Table8s2!$G$34*100)</f>
        <v>0.41820655976240262</v>
      </c>
      <c r="I42" s="3850">
        <v>6504.0434994730595</v>
      </c>
      <c r="J42" s="3849">
        <f>Summary2!D43</f>
        <v>6728.8404485189803</v>
      </c>
      <c r="K42" s="3933">
        <f t="shared" si="44"/>
        <v>224.79694904592088</v>
      </c>
      <c r="L42" s="3933">
        <f t="shared" si="45"/>
        <v>3.4562645385771686</v>
      </c>
      <c r="M42" s="3891"/>
      <c r="N42" s="3934">
        <f>IF(K42="NA","NA",K42/Table8s2!$G$34*100)</f>
        <v>3.6529342986015165E-2</v>
      </c>
      <c r="O42" s="3850">
        <v>1207.4721589111352</v>
      </c>
      <c r="P42" s="3849">
        <f>Summary2!E43</f>
        <v>1318.5207666131171</v>
      </c>
      <c r="Q42" s="3933">
        <f t="shared" ref="Q42:Q46" si="50">IF(P42="NO",IF(O42="NO","NA",-O42),IF(O42="NO",P42,P42-O42))</f>
        <v>111.04860770198184</v>
      </c>
      <c r="R42" s="3933">
        <f t="shared" ref="R42:R46" si="51">IF(Q42="NA","NA",Q42/O42*100)</f>
        <v>9.1967841148505141</v>
      </c>
      <c r="S42" s="3891"/>
      <c r="T42" s="3934">
        <f>IF(Q42="NA","NA",Q42/Table8s2!$G$34*100)</f>
        <v>1.8045319102780542E-2</v>
      </c>
      <c r="U42" s="721"/>
    </row>
    <row r="43" spans="2:21" ht="18" customHeight="1" x14ac:dyDescent="0.2">
      <c r="B43" s="606" t="s">
        <v>1255</v>
      </c>
      <c r="C43" s="3849">
        <v>45095.37484836088</v>
      </c>
      <c r="D43" s="3849">
        <f>Summary2!C44</f>
        <v>34547.320297364073</v>
      </c>
      <c r="E43" s="3933">
        <f t="shared" si="48"/>
        <v>-10548.054550996807</v>
      </c>
      <c r="F43" s="3933">
        <f t="shared" si="49"/>
        <v>-23.390546339765496</v>
      </c>
      <c r="G43" s="3891"/>
      <c r="H43" s="3933">
        <f>IF(E43="NA","NA",E43/Table8s2!$G$34*100)</f>
        <v>-1.7140512990229677</v>
      </c>
      <c r="I43" s="3850">
        <v>651.81896639999991</v>
      </c>
      <c r="J43" s="3849">
        <f>Summary2!D44</f>
        <v>644.61759942295157</v>
      </c>
      <c r="K43" s="3933">
        <f t="shared" si="44"/>
        <v>-7.2013669770483375</v>
      </c>
      <c r="L43" s="3933">
        <f t="shared" si="45"/>
        <v>-1.1048108981580471</v>
      </c>
      <c r="M43" s="3891"/>
      <c r="N43" s="3934">
        <f>IF(K43="NA","NA",K43/Table8s2!$G$34*100)</f>
        <v>-1.1702169686432201E-3</v>
      </c>
      <c r="O43" s="3850">
        <v>149.08013767086408</v>
      </c>
      <c r="P43" s="3849">
        <f>Summary2!E44</f>
        <v>139.23507141104176</v>
      </c>
      <c r="Q43" s="3933">
        <f t="shared" si="50"/>
        <v>-9.8450662598223175</v>
      </c>
      <c r="R43" s="3933">
        <f t="shared" si="51"/>
        <v>-6.6038752134493217</v>
      </c>
      <c r="S43" s="3891"/>
      <c r="T43" s="3934">
        <f>IF(Q43="NA","NA",Q43/Table8s2!$G$34*100)</f>
        <v>-1.5998162059202589E-3</v>
      </c>
      <c r="U43" s="721"/>
    </row>
    <row r="44" spans="2:21" ht="18" customHeight="1" x14ac:dyDescent="0.2">
      <c r="B44" s="606" t="s">
        <v>1258</v>
      </c>
      <c r="C44" s="3849">
        <v>142919.7014527928</v>
      </c>
      <c r="D44" s="3849">
        <f>Summary2!C45</f>
        <v>129951.71841814725</v>
      </c>
      <c r="E44" s="3933">
        <f t="shared" si="48"/>
        <v>-12967.983034645542</v>
      </c>
      <c r="F44" s="3933">
        <f t="shared" si="49"/>
        <v>-9.0736146961018829</v>
      </c>
      <c r="G44" s="3891"/>
      <c r="H44" s="3933">
        <f>IF(E44="NA","NA",E44/Table8s2!$G$34*100)</f>
        <v>-2.1072879419401027</v>
      </c>
      <c r="I44" s="3850">
        <v>10508.776468067097</v>
      </c>
      <c r="J44" s="3849">
        <f>Summary2!D45</f>
        <v>10712.584765242156</v>
      </c>
      <c r="K44" s="3933">
        <f t="shared" si="44"/>
        <v>203.80829717505912</v>
      </c>
      <c r="L44" s="3933">
        <f t="shared" si="45"/>
        <v>1.9394103375818217</v>
      </c>
      <c r="M44" s="3891"/>
      <c r="N44" s="3934">
        <f>IF(K44="NA","NA",K44/Table8s2!$G$34*100)</f>
        <v>3.3118702110955252E-2</v>
      </c>
      <c r="O44" s="3850">
        <v>2814.8982883138287</v>
      </c>
      <c r="P44" s="3849">
        <f>Summary2!E45</f>
        <v>2717.0872582811826</v>
      </c>
      <c r="Q44" s="3933">
        <f t="shared" si="50"/>
        <v>-97.811030032646158</v>
      </c>
      <c r="R44" s="3933">
        <f t="shared" si="51"/>
        <v>-3.4747624963471271</v>
      </c>
      <c r="S44" s="3891"/>
      <c r="T44" s="3934">
        <f>IF(Q44="NA","NA",Q44/Table8s2!$G$34*100)</f>
        <v>-1.5894222226068046E-2</v>
      </c>
      <c r="U44" s="721"/>
    </row>
    <row r="45" spans="2:21" ht="18" customHeight="1" x14ac:dyDescent="0.2">
      <c r="B45" s="606" t="s">
        <v>1984</v>
      </c>
      <c r="C45" s="3849">
        <v>1393.272890155898</v>
      </c>
      <c r="D45" s="3849">
        <f>Summary2!C46</f>
        <v>1783.0929076139928</v>
      </c>
      <c r="E45" s="3933">
        <f t="shared" si="48"/>
        <v>389.82001745809475</v>
      </c>
      <c r="F45" s="3933">
        <f t="shared" si="49"/>
        <v>27.978726939449487</v>
      </c>
      <c r="G45" s="3891"/>
      <c r="H45" s="3933">
        <f>IF(E45="NA","NA",E45/Table8s2!$G$34*100)</f>
        <v>6.3345473241419675E-2</v>
      </c>
      <c r="I45" s="3850">
        <v>2496.8001598280675</v>
      </c>
      <c r="J45" s="3849">
        <f>Summary2!D46</f>
        <v>2354.1545746118513</v>
      </c>
      <c r="K45" s="3933">
        <f t="shared" si="44"/>
        <v>-142.6455852162162</v>
      </c>
      <c r="L45" s="3933">
        <f t="shared" si="45"/>
        <v>-5.7131358572982043</v>
      </c>
      <c r="M45" s="3891"/>
      <c r="N45" s="3934">
        <f>IF(K45="NA","NA",K45/Table8s2!$G$34*100)</f>
        <v>-2.3179805286145494E-2</v>
      </c>
      <c r="O45" s="3850">
        <v>68.149564250888773</v>
      </c>
      <c r="P45" s="3849">
        <f>Summary2!E46</f>
        <v>74.83541611861493</v>
      </c>
      <c r="Q45" s="3933">
        <f t="shared" si="50"/>
        <v>6.6858518677261571</v>
      </c>
      <c r="R45" s="3933">
        <f t="shared" si="51"/>
        <v>9.8105570317552893</v>
      </c>
      <c r="S45" s="3891"/>
      <c r="T45" s="3934">
        <f>IF(Q45="NA","NA",Q45/Table8s2!$G$34*100)</f>
        <v>1.0864461331277601E-3</v>
      </c>
      <c r="U45" s="721"/>
    </row>
    <row r="46" spans="2:21" ht="18" customHeight="1" x14ac:dyDescent="0.2">
      <c r="B46" s="606" t="s">
        <v>1985</v>
      </c>
      <c r="C46" s="3849">
        <v>7263.3273582147904</v>
      </c>
      <c r="D46" s="3849">
        <f>Summary2!C47</f>
        <v>7337.8786786846822</v>
      </c>
      <c r="E46" s="3933">
        <f t="shared" si="48"/>
        <v>74.551320469891834</v>
      </c>
      <c r="F46" s="3933">
        <f t="shared" si="49"/>
        <v>1.0264072758000453</v>
      </c>
      <c r="G46" s="3891"/>
      <c r="H46" s="3933">
        <f>IF(E46="NA","NA",E46/Table8s2!$G$34*100)</f>
        <v>1.2114536104974902E-2</v>
      </c>
      <c r="I46" s="3850">
        <v>186.9975072</v>
      </c>
      <c r="J46" s="3849">
        <f>Summary2!D47</f>
        <v>187.2049901119708</v>
      </c>
      <c r="K46" s="3933">
        <f t="shared" si="44"/>
        <v>0.20748291197079993</v>
      </c>
      <c r="L46" s="3933">
        <f t="shared" si="45"/>
        <v>0.11095490794371399</v>
      </c>
      <c r="M46" s="3891"/>
      <c r="N46" s="3934">
        <f>IF(K46="NA","NA",K46/Table8s2!$G$34*100)</f>
        <v>3.3715824379672882E-5</v>
      </c>
      <c r="O46" s="3850">
        <v>39.111980890343027</v>
      </c>
      <c r="P46" s="3849">
        <f>Summary2!E47</f>
        <v>36.771603182378861</v>
      </c>
      <c r="Q46" s="3933">
        <f t="shared" si="50"/>
        <v>-2.3403777079641657</v>
      </c>
      <c r="R46" s="3933">
        <f t="shared" si="51"/>
        <v>-5.983787204554547</v>
      </c>
      <c r="S46" s="3891"/>
      <c r="T46" s="3934">
        <f>IF(Q46="NA","NA",Q46/Table8s2!$G$34*100)</f>
        <v>-3.8030969892559747E-4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-7384.0277777218917</v>
      </c>
      <c r="D48" s="3849">
        <f>Summary2!C49</f>
        <v>-7137.3080203068521</v>
      </c>
      <c r="E48" s="3933">
        <f t="shared" si="48"/>
        <v>246.71975741503957</v>
      </c>
      <c r="F48" s="3933">
        <f t="shared" si="49"/>
        <v>-3.3412625851626623</v>
      </c>
      <c r="G48" s="3891"/>
      <c r="H48" s="3933">
        <f>IF(E48="NA","NA",E48/Table8s2!$G$34*100)</f>
        <v>4.0091783622025E-2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3.3808836285714294</v>
      </c>
      <c r="P49" s="3857">
        <f>Summary2!E50</f>
        <v>3.3808836285714294</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73.841444217785693</v>
      </c>
      <c r="D50" s="3841">
        <f>Summary2!C51</f>
        <v>73.841444217785693</v>
      </c>
      <c r="E50" s="3841">
        <f t="shared" si="48"/>
        <v>0</v>
      </c>
      <c r="F50" s="3841">
        <f t="shared" si="49"/>
        <v>0</v>
      </c>
      <c r="G50" s="3846">
        <f>IF(E50="NA","NA",E50/Table8s2!$G$35*100)</f>
        <v>0</v>
      </c>
      <c r="H50" s="3847">
        <f>IF(E50="NA","NA",E50/Table8s2!$G$34*100)</f>
        <v>0</v>
      </c>
      <c r="I50" s="3841">
        <f>SUM(I51:I55)</f>
        <v>23231.116846201337</v>
      </c>
      <c r="J50" s="3841">
        <f>Summary2!D51</f>
        <v>23231.043794921592</v>
      </c>
      <c r="K50" s="3841">
        <f t="shared" ref="K50" si="54">IF(J50="NO",IF(I50="NO","NA",-I50),IF(I50="NO",J50,J50-I50))</f>
        <v>-7.3051279745413922E-2</v>
      </c>
      <c r="L50" s="3841">
        <f t="shared" ref="L50" si="55">IF(K50="NA","NA",K50/I50*100)</f>
        <v>-3.1445444585828853E-4</v>
      </c>
      <c r="M50" s="3846">
        <f>IF(K50="NA","NA",K50/Table8s2!$G$35*100)</f>
        <v>-1.6711947290370382E-5</v>
      </c>
      <c r="N50" s="3847">
        <f>IF(K50="NA","NA",K50/Table8s2!$G$34*100)</f>
        <v>-1.1870780563140343E-5</v>
      </c>
      <c r="O50" s="3841">
        <f>SUM(O51:O55)</f>
        <v>157.35713073911381</v>
      </c>
      <c r="P50" s="3841">
        <f>Summary2!E51</f>
        <v>157.35713073911381</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17064.655668729203</v>
      </c>
      <c r="J51" s="3841">
        <f>Summary2!D52</f>
        <v>17064.582617449454</v>
      </c>
      <c r="K51" s="3841">
        <f t="shared" ref="K51:K52" si="56">IF(J51="NO",IF(I51="NO","NA",-I51),IF(I51="NO",J51,J51-I51))</f>
        <v>-7.3051279749051901E-2</v>
      </c>
      <c r="L51" s="3841">
        <f t="shared" ref="L51:L52" si="57">IF(K51="NA","NA",K51/I51*100)</f>
        <v>-4.280852843864736E-4</v>
      </c>
      <c r="M51" s="3846">
        <f>IF(K51="NA","NA",K51/Table8s2!$G$35*100)</f>
        <v>-1.6711947291202643E-5</v>
      </c>
      <c r="N51" s="3847">
        <f>IF(K51="NA","NA",K51/Table8s2!$G$34*100)</f>
        <v>-1.1870780563731513E-5</v>
      </c>
      <c r="O51" s="3888"/>
      <c r="P51" s="3889"/>
      <c r="Q51" s="3942"/>
      <c r="R51" s="3943"/>
      <c r="S51" s="3944"/>
      <c r="T51" s="3945"/>
    </row>
    <row r="52" spans="2:21" ht="18" customHeight="1" x14ac:dyDescent="0.2">
      <c r="B52" s="1395" t="s">
        <v>1990</v>
      </c>
      <c r="C52" s="3920"/>
      <c r="D52" s="3920"/>
      <c r="E52" s="3890"/>
      <c r="F52" s="3905"/>
      <c r="G52" s="3906"/>
      <c r="H52" s="3907"/>
      <c r="I52" s="3851">
        <v>9.807483363719852</v>
      </c>
      <c r="J52" s="3849">
        <f>Summary2!D53</f>
        <v>9.807483363719852</v>
      </c>
      <c r="K52" s="3841">
        <f t="shared" si="56"/>
        <v>0</v>
      </c>
      <c r="L52" s="3841">
        <f t="shared" si="57"/>
        <v>0</v>
      </c>
      <c r="M52" s="3846">
        <f>IF(K52="NA","NA",K52/Table8s2!$G$35*100)</f>
        <v>0</v>
      </c>
      <c r="N52" s="3847">
        <f>IF(K52="NA","NA",K52/Table8s2!$G$34*100)</f>
        <v>0</v>
      </c>
      <c r="O52" s="3841">
        <v>11.881065560620621</v>
      </c>
      <c r="P52" s="3841">
        <f>Summary2!E53</f>
        <v>11.881065560620621</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73.841444217785693</v>
      </c>
      <c r="D53" s="3841">
        <f>Summary2!C54</f>
        <v>73.841444217785693</v>
      </c>
      <c r="E53" s="3841">
        <f t="shared" ref="E53" si="60">IF(D53="NO",IF(C53="NO","NA",-C53),IF(C53="NO",D53,D53-C53))</f>
        <v>0</v>
      </c>
      <c r="F53" s="3841">
        <f t="shared" ref="F53" si="61">IF(E53="NA","NA",E53/C53*100)</f>
        <v>0</v>
      </c>
      <c r="G53" s="3846">
        <f>IF(E53="NA","NA",E53/Table8s2!$G$35*100)</f>
        <v>0</v>
      </c>
      <c r="H53" s="3847">
        <f>IF(E53="NA","NA",E53/Table8s2!$G$34*100)</f>
        <v>0</v>
      </c>
      <c r="I53" s="3851">
        <v>2.5947936</v>
      </c>
      <c r="J53" s="3849">
        <f>Summary2!D54</f>
        <v>2.5947936</v>
      </c>
      <c r="K53" s="3841" t="s">
        <v>205</v>
      </c>
      <c r="L53" s="3946" t="s">
        <v>205</v>
      </c>
      <c r="M53" s="3897" t="s">
        <v>205</v>
      </c>
      <c r="N53" s="3898" t="s">
        <v>205</v>
      </c>
      <c r="O53" s="3841">
        <v>10.064699999999998</v>
      </c>
      <c r="P53" s="3841">
        <f>Summary2!E54</f>
        <v>10.064699999999998</v>
      </c>
      <c r="Q53" s="3841" t="s">
        <v>205</v>
      </c>
      <c r="R53" s="3841" t="s">
        <v>205</v>
      </c>
      <c r="S53" s="3846" t="s">
        <v>205</v>
      </c>
      <c r="T53" s="3847" t="s">
        <v>205</v>
      </c>
    </row>
    <row r="54" spans="2:21" ht="18" customHeight="1" x14ac:dyDescent="0.2">
      <c r="B54" s="606" t="s">
        <v>1992</v>
      </c>
      <c r="C54" s="3947"/>
      <c r="D54" s="3948"/>
      <c r="E54" s="3949"/>
      <c r="F54" s="3948"/>
      <c r="G54" s="3950"/>
      <c r="H54" s="3951"/>
      <c r="I54" s="3849">
        <v>6154.0589005084157</v>
      </c>
      <c r="J54" s="3849">
        <f>Summary2!D55</f>
        <v>6154.0589005084139</v>
      </c>
      <c r="K54" s="3841">
        <f t="shared" ref="K54" si="62">IF(J54="NO",IF(I54="NO","NA",-I54),IF(I54="NO",J54,J54-I54))</f>
        <v>-1.8189894035458565E-12</v>
      </c>
      <c r="L54" s="3841">
        <f t="shared" ref="L54" si="63">IF(K54="NA","NA",K54/I54*100)</f>
        <v>-2.9557555963521589E-14</v>
      </c>
      <c r="M54" s="3846">
        <f>IF(K54="NA","NA",K54/Table8s2!$G$35*100)</f>
        <v>-4.1613035582321906E-16</v>
      </c>
      <c r="N54" s="3847">
        <f>IF(K54="NA","NA",K54/Table8s2!$G$34*100)</f>
        <v>-2.9558447341952245E-16</v>
      </c>
      <c r="O54" s="3841">
        <v>135.41136517849318</v>
      </c>
      <c r="P54" s="3841">
        <f>Summary2!E55</f>
        <v>135.41136517849318</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6460.402</v>
      </c>
      <c r="D59" s="3849">
        <f>Summary2!C60</f>
        <v>6460.402</v>
      </c>
      <c r="E59" s="3863">
        <f t="shared" ref="E59" si="66">IF(D59="NO",IF(C59="NO","NA",-C59),IF(C59="NO",D59,D59-C59))</f>
        <v>0</v>
      </c>
      <c r="F59" s="3863">
        <f t="shared" ref="F59" si="67">IF(E59="NA","NA",E59/C59*100)</f>
        <v>0</v>
      </c>
      <c r="G59" s="3864">
        <f>IF(E59="NA","NA",E59/Table8s2!$G$35*100)</f>
        <v>0</v>
      </c>
      <c r="H59" s="3865">
        <f>IF(E59="NA","NA",E59/Table8s2!$G$34*100)</f>
        <v>0</v>
      </c>
      <c r="I59" s="3849">
        <v>5.8068485533332401</v>
      </c>
      <c r="J59" s="3849">
        <f>Summary2!D60</f>
        <v>5.8068485533333343</v>
      </c>
      <c r="K59" s="3863">
        <f t="shared" ref="K59:K61" si="68">IF(J59="NO",IF(I59="NO","NA",-I59),IF(I59="NO",J59,J59-I59))</f>
        <v>9.4146912488213275E-14</v>
      </c>
      <c r="L59" s="3863">
        <f t="shared" ref="L59:L61" si="69">IF(K59="NA","NA",K59/I59*100)</f>
        <v>1.6213082125961624E-12</v>
      </c>
      <c r="M59" s="3864">
        <f>IF(K59="NA","NA",K59/Table8s2!$G$35*100)</f>
        <v>2.1537996932256456E-17</v>
      </c>
      <c r="N59" s="3865">
        <f>IF(K59="NA","NA",K59/Table8s2!$G$34*100)</f>
        <v>1.5298805753158875E-17</v>
      </c>
      <c r="O59" s="3850">
        <v>21.198376430311452</v>
      </c>
      <c r="P59" s="3849">
        <f>Summary2!E60</f>
        <v>21.198376430311402</v>
      </c>
      <c r="Q59" s="3863">
        <f t="shared" ref="Q59" si="70">IF(P59="NO",IF(O59="NO","NA",-O59),IF(O59="NO",P59,P59-O59))</f>
        <v>-4.9737991503207013E-14</v>
      </c>
      <c r="R59" s="3968">
        <f t="shared" ref="R59" si="71">IF(Q59="NA","NA",Q59/O59*100)</f>
        <v>-2.3463113633592669E-13</v>
      </c>
      <c r="S59" s="3969">
        <f>IF(Q59="NA","NA",Q59/Table8s2!$G$35*100)</f>
        <v>-1.1378564417041149E-17</v>
      </c>
      <c r="T59" s="3970">
        <f>IF(Q59="NA","NA",Q59/Table8s2!$G$34*100)</f>
        <v>-8.0823879450650662E-18</v>
      </c>
    </row>
    <row r="60" spans="2:21" ht="18" customHeight="1" x14ac:dyDescent="0.2">
      <c r="B60" s="1409" t="s">
        <v>218</v>
      </c>
      <c r="C60" s="3849">
        <v>4382.7120000000004</v>
      </c>
      <c r="D60" s="3849">
        <f>Summary2!C61</f>
        <v>4382.7120000000004</v>
      </c>
      <c r="E60" s="3863">
        <f t="shared" ref="E60:E61" si="72">IF(D60="NO",IF(C60="NO","NA",-C60),IF(C60="NO",D60,D60-C60))</f>
        <v>0</v>
      </c>
      <c r="F60" s="3863">
        <f t="shared" ref="F60:F61" si="73">IF(E60="NA","NA",E60/C60*100)</f>
        <v>0</v>
      </c>
      <c r="G60" s="3864">
        <f>IF(E60="NA","NA",E60/Table8s2!$G$35*100)</f>
        <v>0</v>
      </c>
      <c r="H60" s="3865">
        <f>IF(E60="NA","NA",E60/Table8s2!$G$34*100)</f>
        <v>0</v>
      </c>
      <c r="I60" s="3849">
        <v>0.21888855333324</v>
      </c>
      <c r="J60" s="3849">
        <f>Summary2!D61</f>
        <v>0.21888855333333335</v>
      </c>
      <c r="K60" s="3863">
        <f t="shared" si="68"/>
        <v>9.3342000795360036E-14</v>
      </c>
      <c r="L60" s="3863">
        <f t="shared" si="69"/>
        <v>4.2643619035324537E-11</v>
      </c>
      <c r="M60" s="3864">
        <f>IF(K60="NA","NA",K60/Table8s2!$G$35*100)</f>
        <v>2.1353857217918178E-17</v>
      </c>
      <c r="N60" s="3865">
        <f>IF(K60="NA","NA",K60/Table8s2!$G$34*100)</f>
        <v>1.5168008180387175E-17</v>
      </c>
      <c r="O60" s="3850">
        <v>6.0880764303114496</v>
      </c>
      <c r="P60" s="3849">
        <f>Summary2!E61</f>
        <v>6.0880764303114034</v>
      </c>
      <c r="Q60" s="3863">
        <f t="shared" ref="Q60:Q61" si="74">IF(P60="NO",IF(O60="NO","NA",-O60),IF(O60="NO",P60,P60-O60))</f>
        <v>-4.6185277824406512E-14</v>
      </c>
      <c r="R60" s="3968">
        <f t="shared" ref="R60:R61" si="75">IF(Q60="NA","NA",Q60/O60*100)</f>
        <v>-7.5861856126605497E-13</v>
      </c>
      <c r="S60" s="3969">
        <f>IF(Q60="NA","NA",Q60/Table8s2!$G$35*100)</f>
        <v>-1.0565809815823921E-17</v>
      </c>
      <c r="T60" s="3970">
        <f>IF(Q60="NA","NA",Q60/Table8s2!$G$34*100)</f>
        <v>-7.5050745204175625E-18</v>
      </c>
    </row>
    <row r="61" spans="2:21" ht="18" customHeight="1" x14ac:dyDescent="0.2">
      <c r="B61" s="1410" t="s">
        <v>1963</v>
      </c>
      <c r="C61" s="3849">
        <v>2077.69</v>
      </c>
      <c r="D61" s="3849">
        <f>Summary2!C62</f>
        <v>2077.69</v>
      </c>
      <c r="E61" s="3863">
        <f t="shared" si="72"/>
        <v>0</v>
      </c>
      <c r="F61" s="3863">
        <f t="shared" si="73"/>
        <v>0</v>
      </c>
      <c r="G61" s="3864">
        <f>IF(E61="NA","NA",E61/Table8s2!$G$35*100)</f>
        <v>0</v>
      </c>
      <c r="H61" s="3865">
        <f>IF(E61="NA","NA",E61/Table8s2!$G$34*100)</f>
        <v>0</v>
      </c>
      <c r="I61" s="3849">
        <v>5.5879599999999998</v>
      </c>
      <c r="J61" s="3849">
        <f>Summary2!D62</f>
        <v>5.5879600000000007</v>
      </c>
      <c r="K61" s="3863">
        <f t="shared" si="68"/>
        <v>8.8817841970012523E-16</v>
      </c>
      <c r="L61" s="3863">
        <f t="shared" si="69"/>
        <v>1.5894502102737407E-14</v>
      </c>
      <c r="M61" s="3864">
        <f>IF(K61="NA","NA",K61/Table8s2!$G$35*100)</f>
        <v>2.0318865030430618E-19</v>
      </c>
      <c r="N61" s="3865">
        <f>IF(K61="NA","NA",K61/Table8s2!$G$34*100)</f>
        <v>1.443283561618762E-19</v>
      </c>
      <c r="O61" s="3850">
        <v>15.110300000000001</v>
      </c>
      <c r="P61" s="3849">
        <f>Summary2!E62</f>
        <v>15.110300000000001</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15142.26513</v>
      </c>
      <c r="D63" s="3849">
        <f>Summary2!C64</f>
        <v>15142.26513</v>
      </c>
      <c r="E63" s="3863">
        <f t="shared" ref="E63:E65" si="76">IF(D63="NO",IF(C63="NO","NA",-C63),IF(C63="NO",D63,D63-C63))</f>
        <v>0</v>
      </c>
      <c r="F63" s="3863">
        <f t="shared" ref="F63:F65" si="77">IF(E63="NA","NA",E63/C63*100)</f>
        <v>0</v>
      </c>
      <c r="G63" s="3864">
        <f>IF(E63="NA","NA",E63/Table8s2!$G$35*100)</f>
        <v>0</v>
      </c>
      <c r="H63" s="3865">
        <f>IF(E63="NA","NA",E63/Table8s2!$G$34*100)</f>
        <v>0</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186839.85861468967</v>
      </c>
      <c r="D65" s="3851">
        <f>Summary2!C66</f>
        <v>186837.52681501082</v>
      </c>
      <c r="E65" s="3979">
        <f t="shared" si="76"/>
        <v>-2.331799678853713</v>
      </c>
      <c r="F65" s="3986">
        <f t="shared" si="77"/>
        <v>-1.2480204685138756E-3</v>
      </c>
      <c r="G65" s="3987">
        <f>IF(E65="NA","NA",E65/Table8s2!$G$35*100)</f>
        <v>-5.3344600478614146E-4</v>
      </c>
      <c r="H65" s="3988">
        <f>IF(E65="NA","NA",E65/Table8s2!$G$34*100)</f>
        <v>-3.7891577534767676E-4</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8" workbookViewId="0">
      <selection activeCell="A28" sqref="A28:XFD28"/>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2459</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2460</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1193.6537599999999</v>
      </c>
      <c r="D10" s="4021">
        <f>IF(SUM(D11:D30)=0,"NO",SUM(D11:D30))</f>
        <v>1193.6537599999999</v>
      </c>
      <c r="E10" s="4021">
        <f>IF(D10="NO",IF(C10="NO","NA",-C10),IF(C10="NO",D10,D10-C10))</f>
        <v>0</v>
      </c>
      <c r="F10" s="4021">
        <f>IF(E10="NA","NA",E10/C10*100)</f>
        <v>0</v>
      </c>
      <c r="G10" s="4022">
        <f>IF(E10="NA","NA",E10/$G$35*100)</f>
        <v>0</v>
      </c>
      <c r="H10" s="4023">
        <f>IF(E10="NA","NA",E10/$G$34*100)</f>
        <v>0</v>
      </c>
      <c r="I10" s="4024">
        <f>IF(SUM(I11:I30)=0,"NO",SUM(I11:I30))</f>
        <v>4143.5315389337156</v>
      </c>
      <c r="J10" s="4024">
        <f>IF(SUM(J11:J30)=0,"NO",SUM(J11:J30))</f>
        <v>4143.5315389337156</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227.33126391232889</v>
      </c>
      <c r="V10" s="4021">
        <f>IF(SUM(V11:V30)=0,"NO",SUM(V11:V30))</f>
        <v>227.33126391232889</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v>1193.6537599999999</v>
      </c>
      <c r="D11" s="3849">
        <f>'Table2(I)'!F25</f>
        <v>1193.6537599999999</v>
      </c>
      <c r="E11" s="3849">
        <f>IF(D11="NO",IF(C11="NO","NA",-C11),IF(C11="NO",D11,D11-C11))</f>
        <v>0</v>
      </c>
      <c r="F11" s="4018">
        <f>IF(E11="NA","NA",E11/C11*100)</f>
        <v>0</v>
      </c>
      <c r="G11" s="3873">
        <f>IF(E11="NA","NA",E11/$G$35*100)</f>
        <v>0</v>
      </c>
      <c r="H11" s="3874">
        <f>IF(E11="NA","NA",E11/$G$34*100)</f>
        <v>0</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4143.5315389337156</v>
      </c>
      <c r="J13" s="3841">
        <f>'Table2(II)'!AH41</f>
        <v>4143.5315389337156</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t="s">
        <v>199</v>
      </c>
      <c r="D21" s="3849" t="str">
        <f>'Table2(I)'!F46</f>
        <v>NO</v>
      </c>
      <c r="E21" s="3849" t="str">
        <f>IF(D21="NO",IF(C21="NO","NA",-C21),IF(C21="NO",D21,D21-C21))</f>
        <v>NA</v>
      </c>
      <c r="F21" s="4018" t="str">
        <f>IF(E21="NA","NA",E21/C21*100)</f>
        <v>NA</v>
      </c>
      <c r="G21" s="3873" t="str">
        <f>IF(E21="NA","NA",E21/$G$35*100)</f>
        <v>NA</v>
      </c>
      <c r="H21" s="3874" t="str">
        <f>IF(E21="NA","NA",E21/$G$34*100)</f>
        <v>NA</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t="s">
        <v>199</v>
      </c>
      <c r="D22" s="3849" t="str">
        <f>'Table2(I)'!F47</f>
        <v>NO</v>
      </c>
      <c r="E22" s="3849" t="str">
        <f t="shared" ref="E22:E25" si="0">IF(D22="NO",IF(C22="NO","NA",-C22),IF(C22="NO",D22,D22-C22))</f>
        <v>NA</v>
      </c>
      <c r="F22" s="4018" t="str">
        <f t="shared" ref="F22:F25" si="1">IF(E22="NA","NA",E22/C22*100)</f>
        <v>NA</v>
      </c>
      <c r="G22" s="3873" t="str">
        <f t="shared" ref="G22:G25" si="2">IF(E22="NA","NA",E22/$G$35*100)</f>
        <v>NA</v>
      </c>
      <c r="H22" s="3874" t="str">
        <f t="shared" ref="H22:H25" si="3">IF(E22="NA","NA",E22/$G$34*100)</f>
        <v>NA</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t="s">
        <v>199</v>
      </c>
      <c r="D23" s="3849" t="str">
        <f>'Table2(I)'!F48</f>
        <v>NO</v>
      </c>
      <c r="E23" s="3849" t="str">
        <f t="shared" si="0"/>
        <v>NA</v>
      </c>
      <c r="F23" s="4018" t="str">
        <f t="shared" si="1"/>
        <v>NA</v>
      </c>
      <c r="G23" s="3873" t="str">
        <f t="shared" si="2"/>
        <v>NA</v>
      </c>
      <c r="H23" s="3874" t="str">
        <f t="shared" si="3"/>
        <v>NA</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t="s">
        <v>199</v>
      </c>
      <c r="D24" s="3849" t="str">
        <f>'Table2(I)'!F49</f>
        <v>NO</v>
      </c>
      <c r="E24" s="3849" t="str">
        <f t="shared" si="0"/>
        <v>NA</v>
      </c>
      <c r="F24" s="4018" t="str">
        <f t="shared" si="1"/>
        <v>NA</v>
      </c>
      <c r="G24" s="3873" t="str">
        <f t="shared" si="2"/>
        <v>NA</v>
      </c>
      <c r="H24" s="3874" t="str">
        <f t="shared" si="3"/>
        <v>NA</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t="s">
        <v>199</v>
      </c>
      <c r="D25" s="3849" t="str">
        <f>'Table2(I)'!F50</f>
        <v>NO</v>
      </c>
      <c r="E25" s="3849" t="str">
        <f t="shared" si="0"/>
        <v>NA</v>
      </c>
      <c r="F25" s="4018" t="str">
        <f t="shared" si="1"/>
        <v>NA</v>
      </c>
      <c r="G25" s="3873" t="str">
        <f t="shared" si="2"/>
        <v>NA</v>
      </c>
      <c r="H25" s="3874" t="str">
        <f t="shared" si="3"/>
        <v>NA</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213.66847605472299</v>
      </c>
      <c r="V27" s="3849">
        <f>IFERROR('Table2(I)'!I53*23500,'Table2(I)'!I53)</f>
        <v>213.66847605472302</v>
      </c>
      <c r="W27" s="3849">
        <f>IF(V27="NO",IF(U27="NO","NA",-U27),IF(U27="NO",V27,V27-U27))</f>
        <v>2.8421709430404007E-14</v>
      </c>
      <c r="X27" s="4018">
        <f>IF(W27="NA","NA",W27/U27*100)</f>
        <v>1.3301779445988503E-14</v>
      </c>
      <c r="Y27" s="3873">
        <f>IF(W27="NA","NA",W27/$G$35*100)</f>
        <v>6.5020368097377978E-18</v>
      </c>
      <c r="Z27" s="3874">
        <f>IF(W27="NA","NA",W27/$G$34*100)</f>
        <v>4.6185073971800382E-18</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13.662787857605904</v>
      </c>
      <c r="V28" s="3849">
        <f>IFERROR('Table2(I)'!I54*23500,'Table2(I)'!I54)</f>
        <v>13.662787857605888</v>
      </c>
      <c r="W28" s="3849">
        <f>IF(V28="NO",IF(U28="NO","NA",-U28),IF(U28="NO",V28,V28-U28))</f>
        <v>-1.5987211554602254E-14</v>
      </c>
      <c r="X28" s="4018">
        <f>IF(W28="NA","NA",W28/U28*100)</f>
        <v>-1.1701280676551215E-13</v>
      </c>
      <c r="Y28" s="3873">
        <f>IF(W28="NA","NA",W28/$G$35*100)</f>
        <v>-3.6573957054775114E-18</v>
      </c>
      <c r="Z28" s="3874">
        <f>IF(W28="NA","NA",W28/$G$34*100)</f>
        <v>-2.5979104109137713E-18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8">
        <f>SUM(Table8s1!C10,Table8s1!I10,Table8s1!O10,C10,I10,O10,U10,AA10)</f>
        <v>636268.64723475114</v>
      </c>
      <c r="F34" s="4549"/>
      <c r="G34" s="4548">
        <f>SUM(Table8s1!D10,Table8s1!J10,Table8s1!P10,D10,J10,P10,V10,AB10)</f>
        <v>615387.33158157754</v>
      </c>
      <c r="H34" s="4549"/>
      <c r="I34" s="3841">
        <f>G34-E34</f>
        <v>-20881.315653173602</v>
      </c>
      <c r="J34" s="4047">
        <f>IF(I34="NA","NA",I34/E34*100)</f>
        <v>-3.281839478328004</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50">
        <f>E34-SUM(Table8s1!C41,Table8s1!I41,Table8s1!O41)</f>
        <v>438056.75735644426</v>
      </c>
      <c r="F35" s="4551"/>
      <c r="G35" s="4552">
        <f>G34-SUM(Table8s1!D41,Table8s1!J41,Table8s1!P41)</f>
        <v>437120.09424244007</v>
      </c>
      <c r="H35" s="4553"/>
      <c r="I35" s="3857">
        <f>G35-E35</f>
        <v>-936.66311400418635</v>
      </c>
      <c r="J35" s="4048">
        <f>IF(I35="NA","NA",I35/E35*100)</f>
        <v>-0.2138223182896889</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topLeftCell="A131" zoomScale="90" zoomScaleNormal="90" workbookViewId="0">
      <selection activeCell="F142" sqref="F142"/>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2459</v>
      </c>
    </row>
    <row r="2" spans="2:7" ht="15.75" x14ac:dyDescent="0.2">
      <c r="B2" s="3" t="s">
        <v>162</v>
      </c>
      <c r="F2" s="14" t="s">
        <v>2460</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7" t="s">
        <v>2218</v>
      </c>
      <c r="F12" s="4558"/>
    </row>
    <row r="13" spans="2:7" ht="55.5" customHeight="1" x14ac:dyDescent="0.2">
      <c r="B13" s="4122"/>
      <c r="C13" s="4124" t="s">
        <v>111</v>
      </c>
      <c r="D13" s="4124" t="s">
        <v>2220</v>
      </c>
      <c r="E13" s="4554" t="s">
        <v>2221</v>
      </c>
      <c r="F13" s="4556"/>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4" t="s">
        <v>2224</v>
      </c>
      <c r="F15" s="4555"/>
    </row>
    <row r="16" spans="2:7" ht="48" customHeight="1" x14ac:dyDescent="0.2">
      <c r="B16" s="4122"/>
      <c r="C16" s="4124" t="s">
        <v>2225</v>
      </c>
      <c r="D16" s="4124" t="s">
        <v>2226</v>
      </c>
      <c r="E16" s="4554" t="s">
        <v>2227</v>
      </c>
      <c r="F16" s="4555"/>
    </row>
    <row r="17" spans="2:7" ht="17.25" customHeight="1" x14ac:dyDescent="0.2">
      <c r="B17" s="4122"/>
      <c r="C17" s="4124" t="s">
        <v>2225</v>
      </c>
      <c r="D17" s="4124" t="s">
        <v>2228</v>
      </c>
      <c r="E17" s="4557" t="s">
        <v>2229</v>
      </c>
      <c r="F17" s="4558"/>
    </row>
    <row r="18" spans="2:7" ht="54" customHeight="1" x14ac:dyDescent="0.2">
      <c r="B18" s="4122"/>
      <c r="C18" s="4124" t="s">
        <v>117</v>
      </c>
      <c r="D18" s="4124" t="s">
        <v>2230</v>
      </c>
      <c r="E18" s="4554" t="s">
        <v>2231</v>
      </c>
      <c r="F18" s="4555"/>
    </row>
    <row r="19" spans="2:7" ht="18.75" customHeight="1" x14ac:dyDescent="0.2">
      <c r="B19" s="4122"/>
      <c r="C19" s="4124" t="s">
        <v>117</v>
      </c>
      <c r="D19" s="4123" t="s">
        <v>2232</v>
      </c>
      <c r="E19" s="4554" t="s">
        <v>2233</v>
      </c>
      <c r="F19" s="4555"/>
    </row>
    <row r="20" spans="2:7" ht="16.5" customHeight="1" x14ac:dyDescent="0.2">
      <c r="B20" s="875"/>
      <c r="C20" s="4123" t="s">
        <v>2234</v>
      </c>
      <c r="D20" s="4123" t="s">
        <v>2235</v>
      </c>
      <c r="E20" s="4557" t="s">
        <v>2461</v>
      </c>
      <c r="F20" s="4558"/>
    </row>
    <row r="21" spans="2:7" ht="13.5" x14ac:dyDescent="0.2">
      <c r="B21" s="874" t="s">
        <v>2236</v>
      </c>
      <c r="C21" s="4124" t="s">
        <v>2214</v>
      </c>
      <c r="D21" s="4123" t="s">
        <v>2237</v>
      </c>
      <c r="E21" s="4557" t="s">
        <v>2218</v>
      </c>
      <c r="F21" s="4558"/>
    </row>
    <row r="22" spans="2:7" x14ac:dyDescent="0.2">
      <c r="B22" s="4122"/>
      <c r="C22" s="4123" t="s">
        <v>2214</v>
      </c>
      <c r="D22" s="4123" t="s">
        <v>2215</v>
      </c>
      <c r="E22" s="4557" t="s">
        <v>2238</v>
      </c>
      <c r="F22" s="4558"/>
    </row>
    <row r="23" spans="2:7" x14ac:dyDescent="0.2">
      <c r="B23" s="4122"/>
      <c r="C23" s="4123" t="s">
        <v>2214</v>
      </c>
      <c r="D23" s="4123" t="s">
        <v>2239</v>
      </c>
      <c r="E23" s="4557" t="s">
        <v>2218</v>
      </c>
      <c r="F23" s="4558"/>
      <c r="G23" s="4194"/>
    </row>
    <row r="24" spans="2:7" x14ac:dyDescent="0.2">
      <c r="B24" s="4122"/>
      <c r="C24" s="4123" t="s">
        <v>2214</v>
      </c>
      <c r="D24" s="4123" t="s">
        <v>2240</v>
      </c>
      <c r="E24" s="4557" t="s">
        <v>2218</v>
      </c>
      <c r="F24" s="4558"/>
    </row>
    <row r="25" spans="2:7" x14ac:dyDescent="0.2">
      <c r="B25" s="4122"/>
      <c r="C25" s="4123" t="s">
        <v>2214</v>
      </c>
      <c r="D25" s="4123" t="s">
        <v>2241</v>
      </c>
      <c r="E25" s="4554" t="s">
        <v>2242</v>
      </c>
      <c r="F25" s="4555"/>
    </row>
    <row r="26" spans="2:7" ht="48" customHeight="1" x14ac:dyDescent="0.2">
      <c r="B26" s="4122"/>
      <c r="C26" s="4124" t="s">
        <v>2225</v>
      </c>
      <c r="D26" s="4124" t="s">
        <v>2226</v>
      </c>
      <c r="E26" s="4554" t="s">
        <v>2227</v>
      </c>
      <c r="F26" s="4555"/>
    </row>
    <row r="27" spans="2:7" x14ac:dyDescent="0.2">
      <c r="B27" s="4122"/>
      <c r="C27" s="4124" t="s">
        <v>2225</v>
      </c>
      <c r="D27" s="4123" t="s">
        <v>2243</v>
      </c>
      <c r="E27" s="4557" t="s">
        <v>2244</v>
      </c>
      <c r="F27" s="4558"/>
    </row>
    <row r="28" spans="2:7" x14ac:dyDescent="0.2">
      <c r="B28" s="4122"/>
      <c r="C28" s="4124" t="s">
        <v>2225</v>
      </c>
      <c r="D28" s="4123" t="s">
        <v>2132</v>
      </c>
      <c r="E28" s="4557" t="s">
        <v>2245</v>
      </c>
      <c r="F28" s="4558"/>
    </row>
    <row r="29" spans="2:7" x14ac:dyDescent="0.2">
      <c r="B29" s="4122"/>
      <c r="C29" s="4124" t="s">
        <v>2225</v>
      </c>
      <c r="D29" s="4123" t="s">
        <v>2246</v>
      </c>
      <c r="E29" s="4557" t="s">
        <v>2247</v>
      </c>
      <c r="F29" s="4558"/>
    </row>
    <row r="30" spans="2:7" ht="48.75" customHeight="1" x14ac:dyDescent="0.2">
      <c r="B30" s="4122"/>
      <c r="C30" s="4124" t="s">
        <v>117</v>
      </c>
      <c r="D30" s="4124" t="s">
        <v>2230</v>
      </c>
      <c r="E30" s="4554" t="s">
        <v>2231</v>
      </c>
      <c r="F30" s="4555"/>
    </row>
    <row r="31" spans="2:7" ht="27" customHeight="1" x14ac:dyDescent="0.2">
      <c r="B31" s="4122"/>
      <c r="C31" s="4124" t="s">
        <v>117</v>
      </c>
      <c r="D31" s="4123" t="s">
        <v>2232</v>
      </c>
      <c r="E31" s="4554" t="s">
        <v>2248</v>
      </c>
      <c r="F31" s="4555"/>
    </row>
    <row r="32" spans="2:7" x14ac:dyDescent="0.2">
      <c r="B32" s="4122"/>
      <c r="C32" s="4123" t="s">
        <v>2234</v>
      </c>
      <c r="D32" s="4123" t="s">
        <v>2249</v>
      </c>
      <c r="E32" s="4557" t="s">
        <v>2250</v>
      </c>
      <c r="F32" s="4558"/>
    </row>
    <row r="33" spans="2:7" x14ac:dyDescent="0.2">
      <c r="B33" s="4122"/>
      <c r="C33" s="4123" t="s">
        <v>2234</v>
      </c>
      <c r="D33" s="4123" t="s">
        <v>2251</v>
      </c>
      <c r="E33" s="4557" t="s">
        <v>2252</v>
      </c>
      <c r="F33" s="4558"/>
    </row>
    <row r="34" spans="2:7" x14ac:dyDescent="0.2">
      <c r="B34" s="4122"/>
      <c r="C34" s="4123" t="s">
        <v>2234</v>
      </c>
      <c r="D34" s="4123" t="s">
        <v>2253</v>
      </c>
      <c r="E34" s="4557" t="s">
        <v>2259</v>
      </c>
      <c r="F34" s="4558"/>
    </row>
    <row r="35" spans="2:7" x14ac:dyDescent="0.2">
      <c r="B35" s="4122"/>
      <c r="C35" s="4123" t="s">
        <v>2234</v>
      </c>
      <c r="D35" s="4123" t="s">
        <v>2235</v>
      </c>
      <c r="E35" s="4557" t="s">
        <v>2260</v>
      </c>
      <c r="F35" s="4558"/>
    </row>
    <row r="36" spans="2:7" ht="13.5" x14ac:dyDescent="0.2">
      <c r="B36" s="874" t="s">
        <v>2254</v>
      </c>
      <c r="C36" s="4124" t="s">
        <v>2214</v>
      </c>
      <c r="D36" s="4123" t="s">
        <v>2237</v>
      </c>
      <c r="E36" s="4557" t="s">
        <v>2218</v>
      </c>
      <c r="F36" s="4558"/>
    </row>
    <row r="37" spans="2:7" x14ac:dyDescent="0.2">
      <c r="B37" s="4122"/>
      <c r="C37" s="4123" t="s">
        <v>2214</v>
      </c>
      <c r="D37" s="4123" t="s">
        <v>2215</v>
      </c>
      <c r="E37" s="4557" t="s">
        <v>2255</v>
      </c>
      <c r="F37" s="4558"/>
    </row>
    <row r="38" spans="2:7" x14ac:dyDescent="0.2">
      <c r="B38" s="4122"/>
      <c r="C38" s="4123" t="s">
        <v>2214</v>
      </c>
      <c r="D38" s="4123" t="s">
        <v>2239</v>
      </c>
      <c r="E38" s="4557" t="s">
        <v>2218</v>
      </c>
      <c r="F38" s="4558"/>
      <c r="G38" s="4194"/>
    </row>
    <row r="39" spans="2:7" ht="15" customHeight="1" x14ac:dyDescent="0.2">
      <c r="B39" s="4122"/>
      <c r="C39" s="4123" t="s">
        <v>2214</v>
      </c>
      <c r="D39" s="4123" t="s">
        <v>2240</v>
      </c>
      <c r="E39" s="4557" t="s">
        <v>2218</v>
      </c>
      <c r="F39" s="4558"/>
    </row>
    <row r="40" spans="2:7" ht="42.75" customHeight="1" x14ac:dyDescent="0.2">
      <c r="B40" s="4122"/>
      <c r="C40" s="4124" t="s">
        <v>2225</v>
      </c>
      <c r="D40" s="4124" t="s">
        <v>2226</v>
      </c>
      <c r="E40" s="4554" t="s">
        <v>2227</v>
      </c>
      <c r="F40" s="4555"/>
    </row>
    <row r="41" spans="2:7" x14ac:dyDescent="0.2">
      <c r="B41" s="4122"/>
      <c r="C41" s="4123" t="s">
        <v>2225</v>
      </c>
      <c r="D41" s="4123" t="s">
        <v>2256</v>
      </c>
      <c r="E41" s="4557" t="s">
        <v>2257</v>
      </c>
      <c r="F41" s="4558"/>
    </row>
    <row r="42" spans="2:7" x14ac:dyDescent="0.2">
      <c r="B42" s="4122"/>
      <c r="C42" s="4124" t="s">
        <v>2225</v>
      </c>
      <c r="D42" s="4123" t="s">
        <v>2246</v>
      </c>
      <c r="E42" s="4557" t="s">
        <v>2247</v>
      </c>
      <c r="F42" s="4558"/>
    </row>
    <row r="43" spans="2:7" ht="44.25" customHeight="1" x14ac:dyDescent="0.2">
      <c r="B43" s="4122"/>
      <c r="C43" s="4124" t="s">
        <v>117</v>
      </c>
      <c r="D43" s="4124" t="s">
        <v>2230</v>
      </c>
      <c r="E43" s="4554" t="s">
        <v>2231</v>
      </c>
      <c r="F43" s="4555"/>
    </row>
    <row r="44" spans="2:7" ht="12.75" customHeight="1" x14ac:dyDescent="0.2">
      <c r="B44" s="4122"/>
      <c r="C44" s="4124" t="s">
        <v>117</v>
      </c>
      <c r="D44" s="4123" t="s">
        <v>2232</v>
      </c>
      <c r="E44" s="4554" t="s">
        <v>2258</v>
      </c>
      <c r="F44" s="4555"/>
    </row>
    <row r="45" spans="2:7" x14ac:dyDescent="0.2">
      <c r="B45" s="4122"/>
      <c r="C45" s="4123" t="s">
        <v>2234</v>
      </c>
      <c r="D45" s="4123" t="s">
        <v>2249</v>
      </c>
      <c r="E45" s="4557" t="s">
        <v>2250</v>
      </c>
      <c r="F45" s="4558"/>
    </row>
    <row r="46" spans="2:7" x14ac:dyDescent="0.2">
      <c r="B46" s="4122"/>
      <c r="C46" s="4123" t="s">
        <v>2234</v>
      </c>
      <c r="D46" s="4123" t="s">
        <v>2251</v>
      </c>
      <c r="E46" s="4557" t="s">
        <v>2252</v>
      </c>
      <c r="F46" s="4558"/>
    </row>
    <row r="47" spans="2:7" x14ac:dyDescent="0.2">
      <c r="B47" s="4122"/>
      <c r="C47" s="4123" t="s">
        <v>2234</v>
      </c>
      <c r="D47" s="4123" t="s">
        <v>2253</v>
      </c>
      <c r="E47" s="4557" t="s">
        <v>2259</v>
      </c>
      <c r="F47" s="4558"/>
    </row>
    <row r="48" spans="2:7" x14ac:dyDescent="0.2">
      <c r="B48" s="875"/>
      <c r="C48" s="4123" t="s">
        <v>2234</v>
      </c>
      <c r="D48" s="4123" t="s">
        <v>2235</v>
      </c>
      <c r="E48" s="4557" t="s">
        <v>2260</v>
      </c>
      <c r="F48" s="4558"/>
    </row>
    <row r="49" spans="2:6" ht="18" customHeight="1" x14ac:dyDescent="0.2">
      <c r="B49" s="874" t="s">
        <v>2004</v>
      </c>
      <c r="C49" s="4123"/>
      <c r="D49" s="4123"/>
      <c r="E49" s="4557"/>
      <c r="F49" s="4558"/>
    </row>
    <row r="50" spans="2:6" ht="18" customHeight="1" x14ac:dyDescent="0.2">
      <c r="B50" s="875"/>
      <c r="C50" s="4123"/>
      <c r="D50" s="4123"/>
      <c r="E50" s="4557"/>
      <c r="F50" s="4558"/>
    </row>
    <row r="51" spans="2:6" ht="18" customHeight="1" x14ac:dyDescent="0.2">
      <c r="B51" s="874" t="s">
        <v>1971</v>
      </c>
      <c r="C51" s="4123"/>
      <c r="D51" s="4123"/>
      <c r="E51" s="4557"/>
      <c r="F51" s="4558"/>
    </row>
    <row r="52" spans="2:6" ht="18" customHeight="1" x14ac:dyDescent="0.2">
      <c r="B52" s="875"/>
      <c r="C52" s="4123"/>
      <c r="D52" s="4123"/>
      <c r="E52" s="4557"/>
      <c r="F52" s="4558"/>
    </row>
    <row r="53" spans="2:6" ht="18" customHeight="1" x14ac:dyDescent="0.2">
      <c r="B53" s="2578" t="s">
        <v>2261</v>
      </c>
      <c r="C53" s="4123"/>
      <c r="D53" s="4123"/>
      <c r="E53" s="4557"/>
      <c r="F53" s="4558"/>
    </row>
    <row r="54" spans="2:6" ht="18" customHeight="1" x14ac:dyDescent="0.2">
      <c r="B54" s="2579" t="s">
        <v>2262</v>
      </c>
      <c r="C54" s="4123"/>
      <c r="D54" s="4123"/>
      <c r="E54" s="4557"/>
      <c r="F54" s="4558"/>
    </row>
    <row r="55" spans="2:6" ht="18" customHeight="1" x14ac:dyDescent="0.2">
      <c r="B55" s="2578" t="s">
        <v>905</v>
      </c>
      <c r="C55" s="4123"/>
      <c r="D55" s="4123"/>
      <c r="E55" s="4557"/>
      <c r="F55" s="4558"/>
    </row>
    <row r="56" spans="2:6" ht="18" customHeight="1" x14ac:dyDescent="0.2">
      <c r="B56" s="2579"/>
      <c r="C56" s="4123"/>
      <c r="D56" s="4123"/>
      <c r="E56" s="4557"/>
      <c r="F56" s="4558"/>
    </row>
    <row r="57" spans="2:6" ht="18" customHeight="1" x14ac:dyDescent="0.2">
      <c r="B57" s="2580" t="s">
        <v>2263</v>
      </c>
      <c r="C57" s="4123"/>
      <c r="D57" s="4123"/>
      <c r="E57" s="4557"/>
      <c r="F57" s="4558"/>
    </row>
    <row r="58" spans="2:6" ht="18" customHeight="1" thickBot="1" x14ac:dyDescent="0.25">
      <c r="B58" s="2581"/>
      <c r="C58" s="4125"/>
      <c r="D58" s="4125"/>
      <c r="E58" s="4567"/>
      <c r="F58" s="456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44:F44"/>
    <mergeCell ref="E33:F33"/>
    <mergeCell ref="E45:F45"/>
    <mergeCell ref="E47:F47"/>
    <mergeCell ref="E40:F40"/>
    <mergeCell ref="E42:F42"/>
    <mergeCell ref="E43:F43"/>
    <mergeCell ref="E46:F46"/>
    <mergeCell ref="E34:F34"/>
    <mergeCell ref="E35:F35"/>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32:F32"/>
    <mergeCell ref="E20:F20"/>
    <mergeCell ref="E21:F21"/>
    <mergeCell ref="E29:F29"/>
    <mergeCell ref="E30:F30"/>
    <mergeCell ref="E22:F22"/>
    <mergeCell ref="E23:F23"/>
    <mergeCell ref="E24:F24"/>
    <mergeCell ref="E25:F25"/>
    <mergeCell ref="E27:F27"/>
    <mergeCell ref="E28:F28"/>
    <mergeCell ref="E31:F31"/>
    <mergeCell ref="E9:F9"/>
    <mergeCell ref="E10:F10"/>
    <mergeCell ref="E11:F11"/>
    <mergeCell ref="E12:F12"/>
    <mergeCell ref="E14:F14"/>
    <mergeCell ref="E15:F15"/>
    <mergeCell ref="E13:F13"/>
    <mergeCell ref="E16:F16"/>
    <mergeCell ref="E18:F18"/>
    <mergeCell ref="E26:F26"/>
    <mergeCell ref="E17:F17"/>
    <mergeCell ref="E19:F19"/>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N76"/>
  <sheetViews>
    <sheetView zoomScale="80" zoomScaleNormal="80" workbookViewId="0">
      <pane xSplit="4" ySplit="10" topLeftCell="E11" activePane="bottomRight" state="frozen"/>
      <selection pane="topRight" activeCell="E1" sqref="E1"/>
      <selection pane="bottomLeft" activeCell="A11" sqref="A11"/>
      <selection pane="bottomRight" activeCell="AM51" sqref="AM51"/>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2459</v>
      </c>
    </row>
    <row r="2" spans="1:38" ht="17.25" x14ac:dyDescent="0.2">
      <c r="B2" s="761" t="s">
        <v>2371</v>
      </c>
      <c r="AL2" s="14" t="s">
        <v>2460</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40"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40"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40"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c r="AM51" s="4493"/>
      <c r="AN51" s="4493"/>
    </row>
    <row r="52" spans="2:40"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40"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40"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40"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40"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40"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40"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40"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40"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40"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40"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40"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40"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2"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2459</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2460</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2459</v>
      </c>
    </row>
    <row r="2" spans="2:39" ht="15.75" customHeight="1" x14ac:dyDescent="0.2">
      <c r="B2" s="761" t="s">
        <v>2400</v>
      </c>
      <c r="AL2" s="14" t="s">
        <v>2460</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2459</v>
      </c>
    </row>
    <row r="2" spans="2:39" ht="15.75" customHeight="1" x14ac:dyDescent="0.2">
      <c r="B2" s="761" t="s">
        <v>2408</v>
      </c>
      <c r="AL2" s="14" t="s">
        <v>2460</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2459</v>
      </c>
    </row>
    <row r="2" spans="2:11" ht="16.350000000000001" customHeight="1" x14ac:dyDescent="0.25">
      <c r="B2" s="1020" t="s">
        <v>229</v>
      </c>
      <c r="J2" s="14" t="s">
        <v>2460</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882986.35799747519</v>
      </c>
      <c r="D10" s="1938" t="s">
        <v>97</v>
      </c>
      <c r="E10" s="615"/>
      <c r="F10" s="615"/>
      <c r="G10" s="615"/>
      <c r="H10" s="1851">
        <f>IF(SUM(H11:H14)=0,"NO",SUM(H11:H14))</f>
        <v>59818.854504549054</v>
      </c>
      <c r="I10" s="1851">
        <f>IF(SUM(I11:I15)=0,"NO",SUM(I11:I15))</f>
        <v>26.345084452755309</v>
      </c>
      <c r="J10" s="2217">
        <f>IF(SUM(J11:J15)=0,"NO",SUM(J11:J15))</f>
        <v>3.0681889642603748</v>
      </c>
    </row>
    <row r="11" spans="2:11" ht="18" customHeight="1" x14ac:dyDescent="0.2">
      <c r="B11" s="282" t="s">
        <v>243</v>
      </c>
      <c r="C11" s="1938">
        <f>IF(SUM(C17:C18,C21:C24,C82,C89:C92,C100)=0,"NO",SUM(C17:C18,C21:C24,C82,C89:C92,C100))</f>
        <v>870864.67226611567</v>
      </c>
      <c r="D11" s="1934" t="s">
        <v>97</v>
      </c>
      <c r="E11" s="1938">
        <f>IFERROR(H11*1000/$C11,"NA")</f>
        <v>68.024125408630979</v>
      </c>
      <c r="F11" s="1938">
        <f t="shared" ref="F11:G15" si="0">IFERROR(I11*1000000/$C11,"NA")</f>
        <v>30.066664853268975</v>
      </c>
      <c r="G11" s="1938">
        <f t="shared" si="0"/>
        <v>3.5185248200354602</v>
      </c>
      <c r="H11" s="1938">
        <f>IF(SUM(H17:H18,H21:H24,H82,H89:H92,H100)=0,"NO",SUM(H17:H18,H21:H24,H82,H89:H92,H100))</f>
        <v>59239.807680176571</v>
      </c>
      <c r="I11" s="1938">
        <f>IF(SUM(I17:I18,I21:I24,I82,I89:I92,I100)=0,"NO",SUM(I17:I18,I21:I24,I82,I89:I92,I100))</f>
        <v>26.183996233577226</v>
      </c>
      <c r="J11" s="3064">
        <f>IF(SUM(J17:J18,J21:J24,J82,J89:J92,J100)=0,"NO",SUM(J17:J18,J21:J24,J82,J89:J92,J100))</f>
        <v>3.0641589642603746</v>
      </c>
    </row>
    <row r="12" spans="2:11" ht="18" customHeight="1" x14ac:dyDescent="0.2">
      <c r="B12" s="282" t="s">
        <v>245</v>
      </c>
      <c r="C12" s="1938">
        <f>IF(SUM(C83,C101,C97)=0,"NO",SUM(C83,C101,C97))</f>
        <v>3480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5140</v>
      </c>
      <c r="D13" s="1934" t="s">
        <v>97</v>
      </c>
      <c r="E13" s="1938">
        <f t="shared" si="1"/>
        <v>51.411918339265</v>
      </c>
      <c r="F13" s="1938">
        <f t="shared" si="0"/>
        <v>9.674750812856459</v>
      </c>
      <c r="G13" s="1938">
        <f t="shared" si="0"/>
        <v>0.10700389105058365</v>
      </c>
      <c r="H13" s="1938">
        <f>IF(SUM(H26,H84,H94,H102)=0,"NO",SUM(H26,H84,H94,H102))</f>
        <v>264.2572602638221</v>
      </c>
      <c r="I13" s="1938">
        <f>IF(SUM(I26,I84,I94,I102)=0,"NO",SUM(I26,I84,I94,I102))</f>
        <v>4.9728219178082199E-2</v>
      </c>
      <c r="J13" s="3064">
        <f>IF(SUM(J26,J84,J94,J102)=0,"NO",SUM(J26,J84,J94,J102))</f>
        <v>5.5000000000000003E-4</v>
      </c>
    </row>
    <row r="14" spans="2:11" ht="18" customHeight="1" x14ac:dyDescent="0.2">
      <c r="B14" s="282" t="s">
        <v>290</v>
      </c>
      <c r="C14" s="1938">
        <f>IF(SUM(C28,C86,C96,C103)=0,"NO",SUM(C28,C86,C96,C103))</f>
        <v>3501.6857313595483</v>
      </c>
      <c r="D14" s="1934" t="s">
        <v>97</v>
      </c>
      <c r="E14" s="1938">
        <f t="shared" si="1"/>
        <v>89.896577893766661</v>
      </c>
      <c r="F14" s="1938">
        <f t="shared" si="0"/>
        <v>31.801825904223531</v>
      </c>
      <c r="G14" s="1938">
        <f t="shared" si="0"/>
        <v>0.99380705950698534</v>
      </c>
      <c r="H14" s="1938">
        <f>IF(SUM(H28,H86,H96,H103)=0,"NO",SUM(H28,H86,H96,H103))</f>
        <v>314.78956410865493</v>
      </c>
      <c r="I14" s="1938">
        <f>IF(SUM(I28,I86,I96,I103)=0,"NO",SUM(I28,I86,I96,I103))</f>
        <v>0.11136</v>
      </c>
      <c r="J14" s="3064">
        <f>IF(SUM(J28,J86,J96,J103)=0,"NO",SUM(J28,J86,J96,J103))</f>
        <v>3.48E-3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37723.780824000001</v>
      </c>
      <c r="D16" s="1934" t="s">
        <v>97</v>
      </c>
      <c r="E16" s="615"/>
      <c r="F16" s="615"/>
      <c r="G16" s="615"/>
      <c r="H16" s="1938">
        <f>IF(SUM(H17:H18)=0,"NO",SUM(H17:H18))</f>
        <v>2614.8881951356798</v>
      </c>
      <c r="I16" s="1938">
        <f>IF(SUM(I17:I19)=0,"NO",SUM(I17:I19))</f>
        <v>2.0374282795583468E-2</v>
      </c>
      <c r="J16" s="3064">
        <f>IF(SUM(J17:J19)=0,"NO",SUM(J17:J19))</f>
        <v>2.9889379936353551E-2</v>
      </c>
    </row>
    <row r="17" spans="2:10" ht="18" customHeight="1" x14ac:dyDescent="0.2">
      <c r="B17" s="282" t="s">
        <v>292</v>
      </c>
      <c r="C17" s="699">
        <v>4110.3654671999993</v>
      </c>
      <c r="D17" s="1934" t="s">
        <v>97</v>
      </c>
      <c r="E17" s="1938">
        <f t="shared" ref="E17:E19" si="2">IFERROR(H17*1000/$C17,"NA")</f>
        <v>67.000000000000014</v>
      </c>
      <c r="F17" s="1938">
        <f t="shared" ref="F17:G19" si="3">IFERROR(I17*1000000/$C17,"NA")</f>
        <v>0.50000000000000011</v>
      </c>
      <c r="G17" s="1938">
        <f t="shared" si="3"/>
        <v>2</v>
      </c>
      <c r="H17" s="699">
        <v>275.39448630240003</v>
      </c>
      <c r="I17" s="699">
        <v>2.0551827336000002E-3</v>
      </c>
      <c r="J17" s="2921">
        <v>8.2207309343999991E-3</v>
      </c>
    </row>
    <row r="18" spans="2:10" ht="18" customHeight="1" x14ac:dyDescent="0.2">
      <c r="B18" s="282" t="s">
        <v>293</v>
      </c>
      <c r="C18" s="699">
        <v>33613.415356800004</v>
      </c>
      <c r="D18" s="1934" t="s">
        <v>97</v>
      </c>
      <c r="E18" s="1938">
        <f t="shared" si="2"/>
        <v>69.599999999999994</v>
      </c>
      <c r="F18" s="1938">
        <f t="shared" si="3"/>
        <v>0.54499371359707749</v>
      </c>
      <c r="G18" s="1938">
        <f t="shared" si="3"/>
        <v>0.64464288356136878</v>
      </c>
      <c r="H18" s="699">
        <v>2339.4937088332799</v>
      </c>
      <c r="I18" s="699">
        <v>1.8319100061983468E-2</v>
      </c>
      <c r="J18" s="2921">
        <v>2.166864900195355E-2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776837.71063691762</v>
      </c>
      <c r="D20" s="1934" t="s">
        <v>97</v>
      </c>
      <c r="E20" s="615"/>
      <c r="F20" s="615"/>
      <c r="G20" s="615"/>
      <c r="H20" s="1938">
        <f>IF(SUM(H21:H24,H26,H28)=0,"NO",SUM(H21:H24,H26,H28))</f>
        <v>52645.374779282094</v>
      </c>
      <c r="I20" s="1938">
        <f>IF(SUM(I21:I24,I26:I28)=0,"NO",SUM(I21:I24,I26:I28))</f>
        <v>22.41800579982031</v>
      </c>
      <c r="J20" s="3064">
        <f>IF(SUM(J21:J24,J26:J28)=0,"NO",SUM(J21:J24,J26:J28))</f>
        <v>2.2388821724708223</v>
      </c>
    </row>
    <row r="21" spans="2:10" ht="18" customHeight="1" x14ac:dyDescent="0.2">
      <c r="B21" s="282" t="s">
        <v>281</v>
      </c>
      <c r="C21" s="1938">
        <f>IF(SUM(C31,C41,C51,C61,C72)=0,"NO",SUM(C31,C41,C51,C61,C72))</f>
        <v>550563.23227896506</v>
      </c>
      <c r="D21" s="1934" t="s">
        <v>97</v>
      </c>
      <c r="E21" s="1938">
        <f t="shared" ref="E21:E23" si="4">IFERROR(H21*1000/$C21,"NA")</f>
        <v>67.400000000000006</v>
      </c>
      <c r="F21" s="1938">
        <f t="shared" ref="F21:G23" si="5">IFERROR(I21*1000000/$C21,"NA")</f>
        <v>35.222541683096161</v>
      </c>
      <c r="G21" s="1938">
        <f t="shared" si="5"/>
        <v>3.465929429002168</v>
      </c>
      <c r="H21" s="1938">
        <f t="shared" ref="H21:J23" si="6">IF(SUM(H31,H41,H51,H61,H72)=0,"NO",SUM(H31,H41,H51,H61,H72))</f>
        <v>37107.961855602247</v>
      </c>
      <c r="I21" s="1938">
        <f t="shared" si="6"/>
        <v>19.392236398126002</v>
      </c>
      <c r="J21" s="3064">
        <f t="shared" si="6"/>
        <v>1.9082133092822213</v>
      </c>
    </row>
    <row r="22" spans="2:10" ht="18" customHeight="1" x14ac:dyDescent="0.2">
      <c r="B22" s="282" t="s">
        <v>282</v>
      </c>
      <c r="C22" s="1938">
        <f>IF(SUM(C32,C42,C52,C62,C73)=0,"NO",SUM(C32,C42,C52,C62,C73))</f>
        <v>197487.00810295422</v>
      </c>
      <c r="D22" s="1934" t="s">
        <v>97</v>
      </c>
      <c r="E22" s="1938">
        <f t="shared" si="4"/>
        <v>69.900000000000006</v>
      </c>
      <c r="F22" s="1938">
        <f t="shared" si="5"/>
        <v>9.6998251190355429</v>
      </c>
      <c r="G22" s="1938">
        <f t="shared" si="5"/>
        <v>1.5867969968262221</v>
      </c>
      <c r="H22" s="1938">
        <f t="shared" si="6"/>
        <v>13804.341866396502</v>
      </c>
      <c r="I22" s="1938">
        <f t="shared" si="6"/>
        <v>1.9155894418802113</v>
      </c>
      <c r="J22" s="3064">
        <f t="shared" si="6"/>
        <v>0.31337179136996357</v>
      </c>
    </row>
    <row r="23" spans="2:10" ht="18" customHeight="1" x14ac:dyDescent="0.2">
      <c r="B23" s="282" t="s">
        <v>283</v>
      </c>
      <c r="C23" s="1938">
        <f>IF(SUM(C33,C43,C53,C63,C74)=0,"NO",SUM(C33,C43,C53,C63,C74))</f>
        <v>28782.481863208213</v>
      </c>
      <c r="D23" s="1934" t="s">
        <v>97</v>
      </c>
      <c r="E23" s="1938">
        <f t="shared" si="4"/>
        <v>60.199999999999996</v>
      </c>
      <c r="F23" s="1938">
        <f t="shared" si="5"/>
        <v>38.571377030318146</v>
      </c>
      <c r="G23" s="1938">
        <f t="shared" si="5"/>
        <v>0.60095831557694412</v>
      </c>
      <c r="H23" s="1938">
        <f t="shared" si="6"/>
        <v>1732.7054081651343</v>
      </c>
      <c r="I23" s="1938">
        <f t="shared" si="6"/>
        <v>1.110179959814098</v>
      </c>
      <c r="J23" s="3064">
        <f t="shared" si="6"/>
        <v>1.7297071818637554E-2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t="str">
        <f t="shared" ref="C26:C29" si="9">IF(SUM(C36,C46,C56,C66,C77)=0,"NO",SUM(C36,C46,C56,C66,C77))</f>
        <v>NO</v>
      </c>
      <c r="D26" s="1934" t="s">
        <v>97</v>
      </c>
      <c r="E26" s="1938" t="str">
        <f t="shared" si="7"/>
        <v>NA</v>
      </c>
      <c r="F26" s="1938" t="str">
        <f t="shared" si="8"/>
        <v>NA</v>
      </c>
      <c r="G26" s="1938" t="str">
        <f t="shared" si="8"/>
        <v>NA</v>
      </c>
      <c r="H26" s="1938" t="str">
        <f t="shared" ref="H26:J29" si="10">IF(SUM(H36,H46,H56,H66,H77)=0,"NO",SUM(H36,H46,H56,H66,H77))</f>
        <v>NO</v>
      </c>
      <c r="I26" s="1938" t="str">
        <f t="shared" si="10"/>
        <v>NO</v>
      </c>
      <c r="J26" s="3064" t="str">
        <f t="shared" si="10"/>
        <v>NO</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4.9883917900282366</v>
      </c>
      <c r="D28" s="1934" t="s">
        <v>97</v>
      </c>
      <c r="E28" s="615"/>
      <c r="F28" s="615"/>
      <c r="G28" s="615"/>
      <c r="H28" s="1938">
        <f>H29</f>
        <v>0.3656491182090697</v>
      </c>
      <c r="I28" s="1938" t="str">
        <f>I29</f>
        <v>NE</v>
      </c>
      <c r="J28" s="3064" t="str">
        <f>J29</f>
        <v>NE</v>
      </c>
    </row>
    <row r="29" spans="2:10" ht="18" customHeight="1" x14ac:dyDescent="0.2">
      <c r="B29" s="3083" t="s">
        <v>297</v>
      </c>
      <c r="C29" s="1938">
        <f t="shared" si="9"/>
        <v>4.9883917900282366</v>
      </c>
      <c r="D29" s="1934" t="s">
        <v>97</v>
      </c>
      <c r="E29" s="3081">
        <f t="shared" ref="E29" si="11">IFERROR(H29*1000/$C29,"NA")</f>
        <v>73.299999999999983</v>
      </c>
      <c r="F29" s="3081" t="str">
        <f>IFERROR(I29*1000000/$C29,"NA")</f>
        <v>NA</v>
      </c>
      <c r="G29" s="3081" t="str">
        <f>IFERROR(J29*1000000/$C29,"NA")</f>
        <v>NA</v>
      </c>
      <c r="H29" s="1938">
        <f t="shared" si="10"/>
        <v>0.3656491182090697</v>
      </c>
      <c r="I29" s="1938" t="str">
        <f>IF(SUM(I39,I49,I59,I69,I80)=0,"NE",SUM(I39,I49,I59,I69,I80))</f>
        <v>NE</v>
      </c>
      <c r="J29" s="3064" t="str">
        <f>IF(SUM(J39,J49,J59,J69,J80)=0,"NE",SUM(J39,J49,J59,J69,J80))</f>
        <v>NE</v>
      </c>
    </row>
    <row r="30" spans="2:10" ht="18" customHeight="1" x14ac:dyDescent="0.2">
      <c r="B30" s="1241" t="s">
        <v>298</v>
      </c>
      <c r="C30" s="1938">
        <f>IF(SUM(C31:C34,C36:C38)=0,"NO",SUM(C31:C34,C36:C38))</f>
        <v>503465.84171199438</v>
      </c>
      <c r="D30" s="1934" t="s">
        <v>97</v>
      </c>
      <c r="E30" s="615"/>
      <c r="F30" s="615"/>
      <c r="G30" s="615"/>
      <c r="H30" s="1938">
        <f>IF(SUM(H31:H34,H36,H38)=0,"NO",SUM(H31:H34,H36,H38))</f>
        <v>33817.480285449441</v>
      </c>
      <c r="I30" s="1938">
        <f>IF(SUM(I31:I34,I36:I38)=0,"NO",SUM(I31:I34,I36:I38))</f>
        <v>17.84488693144187</v>
      </c>
      <c r="J30" s="3064">
        <f>IF(SUM(J31:J34,J36:J38)=0,"NO",SUM(J31:J34,J36:J38))</f>
        <v>1.8451623756751057</v>
      </c>
    </row>
    <row r="31" spans="2:10" ht="18" customHeight="1" x14ac:dyDescent="0.2">
      <c r="B31" s="282" t="s">
        <v>281</v>
      </c>
      <c r="C31" s="699">
        <v>470264.63291804405</v>
      </c>
      <c r="D31" s="1934" t="s">
        <v>97</v>
      </c>
      <c r="E31" s="1938">
        <f t="shared" ref="E31:E33" si="12">IFERROR(H31*1000/$C31,"NA")</f>
        <v>67.399999999999991</v>
      </c>
      <c r="F31" s="1938">
        <f t="shared" ref="F31:G33" si="13">IFERROR(I31*1000000/$C31,"NA")</f>
        <v>36.179642320547082</v>
      </c>
      <c r="G31" s="1938">
        <f t="shared" si="13"/>
        <v>3.8928041890094165</v>
      </c>
      <c r="H31" s="699">
        <v>31695.836258676165</v>
      </c>
      <c r="I31" s="699">
        <v>17.014006214978203</v>
      </c>
      <c r="J31" s="2921">
        <v>1.8306481329663375</v>
      </c>
    </row>
    <row r="32" spans="2:10" ht="18" customHeight="1" x14ac:dyDescent="0.2">
      <c r="B32" s="282" t="s">
        <v>282</v>
      </c>
      <c r="C32" s="699">
        <v>12673.325502831996</v>
      </c>
      <c r="D32" s="1934" t="s">
        <v>97</v>
      </c>
      <c r="E32" s="1938">
        <f t="shared" si="12"/>
        <v>69.900000000000006</v>
      </c>
      <c r="F32" s="1938">
        <f t="shared" si="13"/>
        <v>3.3571654040548293</v>
      </c>
      <c r="G32" s="1938">
        <f t="shared" si="13"/>
        <v>0.16745152189888468</v>
      </c>
      <c r="H32" s="699">
        <v>885.86545264795666</v>
      </c>
      <c r="I32" s="699">
        <v>4.2546449932433353E-2</v>
      </c>
      <c r="J32" s="2921">
        <v>2.1221676429691656E-3</v>
      </c>
    </row>
    <row r="33" spans="2:10" ht="18" customHeight="1" x14ac:dyDescent="0.2">
      <c r="B33" s="282" t="s">
        <v>283</v>
      </c>
      <c r="C33" s="699">
        <v>20527.883291118313</v>
      </c>
      <c r="D33" s="1934" t="s">
        <v>97</v>
      </c>
      <c r="E33" s="1938">
        <f t="shared" si="12"/>
        <v>60.199999999999996</v>
      </c>
      <c r="F33" s="1938">
        <f t="shared" si="13"/>
        <v>38.403095699219975</v>
      </c>
      <c r="G33" s="1938">
        <f t="shared" si="13"/>
        <v>0.60367037799560075</v>
      </c>
      <c r="H33" s="699">
        <v>1235.7785741253222</v>
      </c>
      <c r="I33" s="699">
        <v>0.78833426653123517</v>
      </c>
      <c r="J33" s="2921">
        <v>1.2392075065798968E-2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t="s">
        <v>199</v>
      </c>
      <c r="D36" s="1934" t="s">
        <v>97</v>
      </c>
      <c r="E36" s="1938" t="str">
        <f t="shared" si="14"/>
        <v>NA</v>
      </c>
      <c r="F36" s="1938" t="str">
        <f t="shared" si="15"/>
        <v>NA</v>
      </c>
      <c r="G36" s="1938" t="str">
        <f t="shared" si="15"/>
        <v>NA</v>
      </c>
      <c r="H36" s="699" t="s">
        <v>199</v>
      </c>
      <c r="I36" s="699" t="s">
        <v>199</v>
      </c>
      <c r="J36" s="2921" t="s">
        <v>199</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109086.85036240741</v>
      </c>
      <c r="D40" s="1934" t="s">
        <v>97</v>
      </c>
      <c r="E40" s="615"/>
      <c r="F40" s="615"/>
      <c r="G40" s="615"/>
      <c r="H40" s="1938">
        <f>IF(SUM(H41:H44,H46,H48)=0,"NO",SUM(H41:H44,H46,H48))</f>
        <v>7366.2199175044116</v>
      </c>
      <c r="I40" s="1938">
        <f>IF(SUM(I41:I44,I46:I48)=0,"NO",SUM(I41:I44,I46:I48))</f>
        <v>3.2406806796983401</v>
      </c>
      <c r="J40" s="3064">
        <f>IF(SUM(J41:J44,J46:J48)=0,"NO",SUM(J41:J44,J46:J48))</f>
        <v>8.0914502638858604E-2</v>
      </c>
    </row>
    <row r="41" spans="2:10" ht="18" customHeight="1" x14ac:dyDescent="0.2">
      <c r="B41" s="282" t="s">
        <v>281</v>
      </c>
      <c r="C41" s="699">
        <v>74020.837838446168</v>
      </c>
      <c r="D41" s="1934" t="s">
        <v>97</v>
      </c>
      <c r="E41" s="1938">
        <f t="shared" ref="E41:E43" si="17">IFERROR(H41*1000/$C41,"NA")</f>
        <v>67.400000000000034</v>
      </c>
      <c r="F41" s="1938">
        <f t="shared" ref="F41:G43" si="18">IFERROR(I41*1000000/$C41,"NA")</f>
        <v>28.485629568680636</v>
      </c>
      <c r="G41" s="1938">
        <f t="shared" si="18"/>
        <v>0.97632298522963457</v>
      </c>
      <c r="H41" s="699">
        <v>4989.0044703112735</v>
      </c>
      <c r="I41" s="699">
        <v>2.1085301670293566</v>
      </c>
      <c r="J41" s="2921">
        <v>7.2268245367630463E-2</v>
      </c>
    </row>
    <row r="42" spans="2:10" ht="18" customHeight="1" x14ac:dyDescent="0.2">
      <c r="B42" s="282" t="s">
        <v>282</v>
      </c>
      <c r="C42" s="699">
        <v>27447.576623780526</v>
      </c>
      <c r="D42" s="1934" t="s">
        <v>97</v>
      </c>
      <c r="E42" s="1938">
        <f t="shared" si="17"/>
        <v>69.900000000000006</v>
      </c>
      <c r="F42" s="1938">
        <f t="shared" si="18"/>
        <v>29.950024858496832</v>
      </c>
      <c r="G42" s="1938">
        <f t="shared" si="18"/>
        <v>0.18559502559377974</v>
      </c>
      <c r="H42" s="699">
        <v>1918.5856060022591</v>
      </c>
      <c r="I42" s="699">
        <v>0.82205560218772322</v>
      </c>
      <c r="J42" s="2921">
        <v>5.0941336859777779E-3</v>
      </c>
    </row>
    <row r="43" spans="2:10" ht="18" customHeight="1" x14ac:dyDescent="0.2">
      <c r="B43" s="282" t="s">
        <v>283</v>
      </c>
      <c r="C43" s="699">
        <v>7618.4359001807179</v>
      </c>
      <c r="D43" s="1934" t="s">
        <v>97</v>
      </c>
      <c r="E43" s="1938">
        <f t="shared" si="17"/>
        <v>60.2</v>
      </c>
      <c r="F43" s="1938">
        <f t="shared" si="18"/>
        <v>40.703224985315465</v>
      </c>
      <c r="G43" s="1938">
        <f t="shared" si="18"/>
        <v>0.46625365518480133</v>
      </c>
      <c r="H43" s="699">
        <v>458.62984119087923</v>
      </c>
      <c r="I43" s="699">
        <v>0.31009491048126009</v>
      </c>
      <c r="J43" s="2921">
        <v>3.5521235852503719E-3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1"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161336.22109521492</v>
      </c>
      <c r="D50" s="1934" t="s">
        <v>97</v>
      </c>
      <c r="E50" s="615"/>
      <c r="F50" s="615"/>
      <c r="G50" s="615"/>
      <c r="H50" s="1938">
        <f>IF(SUM(H51:H54,H56,H58)=0,"NO",SUM(H51:H54,H56,H58))</f>
        <v>11262.896195520594</v>
      </c>
      <c r="I50" s="1938">
        <f>IF(SUM(I51:I54,I56:I58)=0,"NO",SUM(I51:I54,I56:I58))</f>
        <v>1.1136001664149513</v>
      </c>
      <c r="J50" s="3064">
        <f>IF(SUM(J51:J54,J56:J58)=0,"NO",SUM(J51:J54,J56:J58))</f>
        <v>0.3098874538599895</v>
      </c>
    </row>
    <row r="51" spans="2:10" ht="18" customHeight="1" x14ac:dyDescent="0.2">
      <c r="B51" s="282" t="s">
        <v>281</v>
      </c>
      <c r="C51" s="699">
        <v>3333.9524469640351</v>
      </c>
      <c r="D51" s="1934" t="s">
        <v>97</v>
      </c>
      <c r="E51" s="1938">
        <f t="shared" ref="E51:E53" si="22">IFERROR(H51*1000/$C51,"NA")</f>
        <v>67.400000000000006</v>
      </c>
      <c r="F51" s="1938">
        <f t="shared" ref="F51:G53" si="23">IFERROR(I51*1000000/$C51,"NA")</f>
        <v>15.25576464043745</v>
      </c>
      <c r="G51" s="1938">
        <f t="shared" si="23"/>
        <v>0.71359465656181453</v>
      </c>
      <c r="H51" s="699">
        <v>224.70839492537598</v>
      </c>
      <c r="I51" s="699">
        <v>5.086199385329384E-2</v>
      </c>
      <c r="J51" s="2921">
        <v>2.3790906513847217E-3</v>
      </c>
    </row>
    <row r="52" spans="2:10" ht="18" customHeight="1" x14ac:dyDescent="0.2">
      <c r="B52" s="282" t="s">
        <v>282</v>
      </c>
      <c r="C52" s="699">
        <v>157366.1059763417</v>
      </c>
      <c r="D52" s="1934" t="s">
        <v>97</v>
      </c>
      <c r="E52" s="1938">
        <f t="shared" si="22"/>
        <v>69.900000000000006</v>
      </c>
      <c r="F52" s="1938">
        <f t="shared" si="23"/>
        <v>6.6786134360982361</v>
      </c>
      <c r="G52" s="1938">
        <f t="shared" si="23"/>
        <v>1.945498289746356</v>
      </c>
      <c r="H52" s="699">
        <v>10999.890807746286</v>
      </c>
      <c r="I52" s="699">
        <v>1.0509873897600546</v>
      </c>
      <c r="J52" s="2921">
        <v>0.30615549004101661</v>
      </c>
    </row>
    <row r="53" spans="2:10" ht="18" customHeight="1" x14ac:dyDescent="0.2">
      <c r="B53" s="282" t="s">
        <v>283</v>
      </c>
      <c r="C53" s="699">
        <v>636.16267190918427</v>
      </c>
      <c r="D53" s="1934" t="s">
        <v>97</v>
      </c>
      <c r="E53" s="1938">
        <f t="shared" si="22"/>
        <v>60.2</v>
      </c>
      <c r="F53" s="1938">
        <f t="shared" si="23"/>
        <v>18.471349106884126</v>
      </c>
      <c r="G53" s="1938">
        <f t="shared" si="23"/>
        <v>2.1266151368613242</v>
      </c>
      <c r="H53" s="699">
        <v>38.296992848932895</v>
      </c>
      <c r="I53" s="699">
        <v>1.175078280160273E-2</v>
      </c>
      <c r="J53" s="2921">
        <v>1.3528731675882158E-3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t="s">
        <v>199</v>
      </c>
      <c r="D56" s="1934" t="s">
        <v>97</v>
      </c>
      <c r="E56" s="1938" t="str">
        <f t="shared" si="24"/>
        <v>NA</v>
      </c>
      <c r="F56" s="1938" t="str">
        <f t="shared" si="25"/>
        <v>NA</v>
      </c>
      <c r="G56" s="1938" t="str">
        <f t="shared" si="25"/>
        <v>NA</v>
      </c>
      <c r="H56" s="699" t="s">
        <v>199</v>
      </c>
      <c r="I56" s="699" t="s">
        <v>199</v>
      </c>
      <c r="J56" s="2921" t="s">
        <v>199</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2948.7974673008248</v>
      </c>
      <c r="D60" s="1934" t="s">
        <v>97</v>
      </c>
      <c r="E60" s="615"/>
      <c r="F60" s="615"/>
      <c r="G60" s="615"/>
      <c r="H60" s="1938">
        <f>IF(SUM(H61:H64,H66,H68)=0,"NO",SUM(H61:H64,H66,H68))</f>
        <v>198.77838080763678</v>
      </c>
      <c r="I60" s="1938">
        <f>IF(SUM(I61:I64,I66:I68)=0,"NO",SUM(I61:I64,I66:I68))</f>
        <v>0.2188380222651499</v>
      </c>
      <c r="J60" s="3064">
        <f>IF(SUM(J61:J64,J66:J68)=0,"NO",SUM(J61:J64,J66:J68))</f>
        <v>2.9178402968686656E-3</v>
      </c>
    </row>
    <row r="61" spans="2:10" ht="18" customHeight="1" x14ac:dyDescent="0.2">
      <c r="B61" s="282" t="s">
        <v>281</v>
      </c>
      <c r="C61" s="699">
        <v>2943.8090755107964</v>
      </c>
      <c r="D61" s="1934" t="s">
        <v>97</v>
      </c>
      <c r="E61" s="1938">
        <f t="shared" ref="E61:E63" si="27">IFERROR(H61*1000/$C61,"NA")</f>
        <v>67.400000000000006</v>
      </c>
      <c r="F61" s="1938">
        <f t="shared" ref="F61:G63" si="28">IFERROR(I61*1000000/$C61,"NA")</f>
        <v>74.338388343740704</v>
      </c>
      <c r="G61" s="1938">
        <f t="shared" si="28"/>
        <v>0.99117851124987622</v>
      </c>
      <c r="H61" s="699">
        <v>198.41273168942772</v>
      </c>
      <c r="I61" s="699">
        <v>0.2188380222651499</v>
      </c>
      <c r="J61" s="2921">
        <v>2.9178402968686656E-3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4.9883917900282366</v>
      </c>
      <c r="D68" s="1934" t="s">
        <v>97</v>
      </c>
      <c r="E68" s="615"/>
      <c r="F68" s="615"/>
      <c r="G68" s="615"/>
      <c r="H68" s="1938">
        <f>H69</f>
        <v>0.3656491182090697</v>
      </c>
      <c r="I68" s="1938" t="str">
        <f>I69</f>
        <v>NE</v>
      </c>
      <c r="J68" s="3064" t="str">
        <f>J69</f>
        <v>NE</v>
      </c>
    </row>
    <row r="69" spans="2:10" ht="18" customHeight="1" x14ac:dyDescent="0.2">
      <c r="B69" s="3083" t="s">
        <v>297</v>
      </c>
      <c r="C69" s="699">
        <v>4.9883917900282366</v>
      </c>
      <c r="D69" s="1934" t="s">
        <v>97</v>
      </c>
      <c r="E69" s="3081">
        <f t="shared" ref="E69" si="31">IFERROR(H69*1000/$C69,"NA")</f>
        <v>73.299999999999983</v>
      </c>
      <c r="F69" s="3081" t="str">
        <f>IFERROR(I69*1000000/$C69,"NA")</f>
        <v>NA</v>
      </c>
      <c r="G69" s="3081" t="str">
        <f>IFERROR(J69*1000000/$C69,"NA")</f>
        <v>NA</v>
      </c>
      <c r="H69" s="699">
        <v>0.3656491182090697</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24800</v>
      </c>
      <c r="D81" s="1934" t="s">
        <v>97</v>
      </c>
      <c r="E81" s="615"/>
      <c r="F81" s="615"/>
      <c r="G81" s="615"/>
      <c r="H81" s="1938">
        <f>IF(SUM(H82:H84,H86)=0,"NO",SUM(H82:H84,H86))</f>
        <v>1733.5200000000002</v>
      </c>
      <c r="I81" s="1938">
        <f>IF(SUM(I82:I86)=0,"NO",SUM(I82:I86))</f>
        <v>9.9199999999999997E-2</v>
      </c>
      <c r="J81" s="3064">
        <f>IF(SUM(J82:J86)=0,"NO",SUM(J82:J86))</f>
        <v>0.74399999999999999</v>
      </c>
    </row>
    <row r="82" spans="2:10" ht="18" customHeight="1" x14ac:dyDescent="0.2">
      <c r="B82" s="282" t="s">
        <v>243</v>
      </c>
      <c r="C82" s="699">
        <v>24800</v>
      </c>
      <c r="D82" s="1934" t="s">
        <v>97</v>
      </c>
      <c r="E82" s="1938">
        <f t="shared" ref="E82:E85" si="37">IFERROR(H82*1000/$C82,"NA")</f>
        <v>69.900000000000006</v>
      </c>
      <c r="F82" s="1938">
        <f t="shared" ref="F82:G85" si="38">IFERROR(I82*1000000/$C82,"NA")</f>
        <v>4</v>
      </c>
      <c r="G82" s="1938">
        <f t="shared" si="38"/>
        <v>30</v>
      </c>
      <c r="H82" s="699">
        <v>1733.5200000000002</v>
      </c>
      <c r="I82" s="699">
        <v>9.9199999999999997E-2</v>
      </c>
      <c r="J82" s="2921">
        <v>0.74399999999999999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34457.60718391533</v>
      </c>
      <c r="D88" s="1934" t="s">
        <v>97</v>
      </c>
      <c r="E88" s="615"/>
      <c r="F88" s="615"/>
      <c r="G88" s="615"/>
      <c r="H88" s="1938">
        <f>IF(SUM(H89:H92,H94,H96)=0,"NO",SUM(H89:H92,H94,H96))</f>
        <v>2523.2011716982402</v>
      </c>
      <c r="I88" s="3299">
        <f>IF(SUM(I89:I92,I94:I96)=0,"NE",SUM(I89:I92,I94:I96))</f>
        <v>3.7388814420977221</v>
      </c>
      <c r="J88" s="3300">
        <f>IF(SUM(J89:J92,J94:J96)=0,"NE",SUM(J89:J92,J94:J96))</f>
        <v>5.4792953017744311E-2</v>
      </c>
    </row>
    <row r="89" spans="2:10" ht="18" customHeight="1" x14ac:dyDescent="0.2">
      <c r="B89" s="282" t="s">
        <v>306</v>
      </c>
      <c r="C89" s="699">
        <v>18780.605</v>
      </c>
      <c r="D89" s="1934" t="s">
        <v>97</v>
      </c>
      <c r="E89" s="1938">
        <f t="shared" ref="E89:E91" si="40">IFERROR(H89*1000/$C89,"NA")</f>
        <v>73.59999999999998</v>
      </c>
      <c r="F89" s="1938">
        <f t="shared" ref="F89:G91" si="41">IFERROR(I89*1000000/$C89,"NA")</f>
        <v>7.0000000000000009</v>
      </c>
      <c r="G89" s="1938">
        <f t="shared" si="41"/>
        <v>2.0000000000000004</v>
      </c>
      <c r="H89" s="699">
        <v>1382.2525279999998</v>
      </c>
      <c r="I89" s="4435">
        <v>0.13146423500000001</v>
      </c>
      <c r="J89" s="4436">
        <v>3.7561210000000005E-2</v>
      </c>
    </row>
    <row r="90" spans="2:10" ht="18" customHeight="1" x14ac:dyDescent="0.2">
      <c r="B90" s="282" t="s">
        <v>307</v>
      </c>
      <c r="C90" s="699">
        <v>2520</v>
      </c>
      <c r="D90" s="1934" t="s">
        <v>97</v>
      </c>
      <c r="E90" s="1938">
        <f t="shared" si="40"/>
        <v>69.900000000000006</v>
      </c>
      <c r="F90" s="1938">
        <f t="shared" si="41"/>
        <v>7.0000000000000018</v>
      </c>
      <c r="G90" s="1938">
        <f t="shared" si="41"/>
        <v>2</v>
      </c>
      <c r="H90" s="699">
        <v>176.14800000000002</v>
      </c>
      <c r="I90" s="4435">
        <v>1.7640000000000003E-2</v>
      </c>
      <c r="J90" s="4436">
        <v>5.0400000000000002E-3</v>
      </c>
    </row>
    <row r="91" spans="2:10" ht="18" customHeight="1" x14ac:dyDescent="0.2">
      <c r="B91" s="282" t="s">
        <v>281</v>
      </c>
      <c r="C91" s="699">
        <v>9635.2700197158956</v>
      </c>
      <c r="D91" s="1934" t="s">
        <v>97</v>
      </c>
      <c r="E91" s="1938">
        <f t="shared" si="40"/>
        <v>67.400000000000006</v>
      </c>
      <c r="F91" s="1938">
        <f t="shared" si="41"/>
        <v>360</v>
      </c>
      <c r="G91" s="1938">
        <f t="shared" si="41"/>
        <v>0.89999999999999991</v>
      </c>
      <c r="H91" s="699">
        <v>649.41719932885144</v>
      </c>
      <c r="I91" s="4435">
        <v>3.4686972070977222</v>
      </c>
      <c r="J91" s="4436">
        <v>8.6717430177443051E-3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40</v>
      </c>
      <c r="D94" s="1934" t="s">
        <v>97</v>
      </c>
      <c r="E94" s="1938">
        <f t="shared" ref="E94:E95" si="44">IFERROR(H94*1000/$C94,"NA")</f>
        <v>51.411918339265</v>
      </c>
      <c r="F94" s="1938">
        <f t="shared" si="43"/>
        <v>243</v>
      </c>
      <c r="G94" s="1938">
        <f t="shared" si="43"/>
        <v>1</v>
      </c>
      <c r="H94" s="699">
        <v>2.0564767335706002</v>
      </c>
      <c r="I94" s="3301">
        <v>9.7199999999999995E-3</v>
      </c>
      <c r="J94" s="3302">
        <v>4.0000000000000003E-5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3481.7321641994354</v>
      </c>
      <c r="D96" s="1934" t="s">
        <v>97</v>
      </c>
      <c r="E96" s="615"/>
      <c r="F96" s="615"/>
      <c r="G96" s="615"/>
      <c r="H96" s="1938">
        <f>IF(SUM(H97:H98)=0,"NO",SUM(H97:H98))</f>
        <v>313.32696763581862</v>
      </c>
      <c r="I96" s="3299">
        <f>IF(SUM(I97:I98)=0,"NE",SUM(I97:I98))</f>
        <v>0.11136</v>
      </c>
      <c r="J96" s="3300">
        <f>IF(SUM(J97:J98)=0,"NE",SUM(J97:J98))</f>
        <v>3.48E-3</v>
      </c>
    </row>
    <row r="97" spans="2:10" ht="18" customHeight="1" x14ac:dyDescent="0.2">
      <c r="B97" s="2592" t="s">
        <v>309</v>
      </c>
      <c r="C97" s="699">
        <v>3480</v>
      </c>
      <c r="D97" s="1934" t="s">
        <v>97</v>
      </c>
      <c r="E97" s="3081">
        <f t="shared" ref="E97" si="45">IFERROR(H97*1000/$C97,"NA")</f>
        <v>90</v>
      </c>
      <c r="F97" s="3081">
        <f>IFERROR(I97*1000000/$C97,"NA")</f>
        <v>32</v>
      </c>
      <c r="G97" s="3081">
        <f>IFERROR(J97*1000000/$C97,"NA")</f>
        <v>1</v>
      </c>
      <c r="H97" s="699">
        <v>313.2</v>
      </c>
      <c r="I97" s="3301">
        <v>0.11136</v>
      </c>
      <c r="J97" s="3302">
        <v>3.48E-3</v>
      </c>
    </row>
    <row r="98" spans="2:10" ht="18" customHeight="1" x14ac:dyDescent="0.2">
      <c r="B98" s="2592" t="s">
        <v>297</v>
      </c>
      <c r="C98" s="699">
        <v>1.7321641994352874</v>
      </c>
      <c r="D98" s="1934" t="s">
        <v>97</v>
      </c>
      <c r="E98" s="3081">
        <f t="shared" ref="E98" si="46">IFERROR(H98*1000/$C98,"NA")</f>
        <v>73.3</v>
      </c>
      <c r="F98" s="3081" t="str">
        <f>IFERROR(I98*1000000/$C98,"NA")</f>
        <v>NA</v>
      </c>
      <c r="G98" s="3081" t="str">
        <f>IFERROR(J98*1000000/$C98,"NA")</f>
        <v>NA</v>
      </c>
      <c r="H98" s="699">
        <v>0.12696763581860657</v>
      </c>
      <c r="I98" s="3301" t="s">
        <v>221</v>
      </c>
      <c r="J98" s="3302" t="s">
        <v>221</v>
      </c>
    </row>
    <row r="99" spans="2:10" ht="18" customHeight="1" x14ac:dyDescent="0.2">
      <c r="B99" s="1240" t="s">
        <v>310</v>
      </c>
      <c r="C99" s="1938">
        <f>IF(SUM(C100:C104)=0,"NO",SUM(C100:C104))</f>
        <v>5687.2593526422997</v>
      </c>
      <c r="D99" s="1934" t="s">
        <v>97</v>
      </c>
      <c r="E99" s="615"/>
      <c r="F99" s="615"/>
      <c r="G99" s="615"/>
      <c r="H99" s="1938">
        <f>IF(SUM(H100:H103)=0,"NO",SUM(H100:H103))</f>
        <v>301.87035843302601</v>
      </c>
      <c r="I99" s="1938">
        <f>IF(SUM(I100:I104)=0,"NO",SUM(I100:I104))</f>
        <v>6.8622928041692968E-2</v>
      </c>
      <c r="J99" s="3064">
        <f>IF(SUM(J100:J104)=0,"NO",SUM(J100:J104))</f>
        <v>6.2445883545444308E-4</v>
      </c>
    </row>
    <row r="100" spans="2:10" ht="18" customHeight="1" x14ac:dyDescent="0.2">
      <c r="B100" s="282" t="s">
        <v>243</v>
      </c>
      <c r="C100" s="1938">
        <f>IF(SUM(C106,C113:C116)=0,"NO",SUM(C106,C113:C116))</f>
        <v>572.29417727221517</v>
      </c>
      <c r="D100" s="1934" t="s">
        <v>97</v>
      </c>
      <c r="E100" s="3081">
        <f t="shared" ref="E100:E104" si="47">IFERROR(H100*1000/$C100,"NA")</f>
        <v>67.40000000000002</v>
      </c>
      <c r="F100" s="3081">
        <f t="shared" ref="F100:G104" si="48">IFERROR(I100*1000000/$C100,"NA")</f>
        <v>50.000000000000014</v>
      </c>
      <c r="G100" s="3081">
        <f t="shared" si="48"/>
        <v>0.2</v>
      </c>
      <c r="H100" s="1938">
        <f>IF(SUM(H106,H113:H116)=0,"NO",SUM(H106,H113:H116))</f>
        <v>38.572627548147317</v>
      </c>
      <c r="I100" s="1938">
        <f>IF(SUM(I106,I113:I116)=0,"NO",SUM(I106,I113:I116))</f>
        <v>2.8614708863610765E-2</v>
      </c>
      <c r="J100" s="3064">
        <f>IF(SUM(J106,J113:J116)=0,"NO",SUM(J106,J113:J116))</f>
        <v>1.1445883545444305E-4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5100</v>
      </c>
      <c r="D102" s="1934" t="s">
        <v>97</v>
      </c>
      <c r="E102" s="3081">
        <f t="shared" si="47"/>
        <v>51.411918339264993</v>
      </c>
      <c r="F102" s="3081">
        <f t="shared" si="48"/>
        <v>7.8447488584474891</v>
      </c>
      <c r="G102" s="3081">
        <f t="shared" si="48"/>
        <v>0.1</v>
      </c>
      <c r="H102" s="1938">
        <f t="shared" si="49"/>
        <v>262.2007835302515</v>
      </c>
      <c r="I102" s="1938">
        <f t="shared" si="49"/>
        <v>4.0008219178082199E-2</v>
      </c>
      <c r="J102" s="3064">
        <f t="shared" si="49"/>
        <v>5.1000000000000004E-4</v>
      </c>
    </row>
    <row r="103" spans="2:10" ht="18" customHeight="1" x14ac:dyDescent="0.2">
      <c r="B103" s="282" t="s">
        <v>290</v>
      </c>
      <c r="C103" s="1938">
        <f>IF(SUM(C109,C120)=0,"NO",SUM(C109,C120))</f>
        <v>14.965175370084705</v>
      </c>
      <c r="D103" s="1934" t="s">
        <v>97</v>
      </c>
      <c r="E103" s="3081">
        <f t="shared" si="47"/>
        <v>73.300000000000011</v>
      </c>
      <c r="F103" s="3081" t="str">
        <f t="shared" si="48"/>
        <v>NA</v>
      </c>
      <c r="G103" s="3081" t="str">
        <f t="shared" si="48"/>
        <v>NA</v>
      </c>
      <c r="H103" s="1938">
        <f t="shared" si="49"/>
        <v>1.096947354627209</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5100</v>
      </c>
      <c r="D105" s="1934" t="s">
        <v>97</v>
      </c>
      <c r="E105" s="615"/>
      <c r="F105" s="615"/>
      <c r="G105" s="615"/>
      <c r="H105" s="1938">
        <f>IF(SUM(H106:H109)=0,"NO",SUM(H106:H109))</f>
        <v>262.2007835302515</v>
      </c>
      <c r="I105" s="1938">
        <f>IF(SUM(I106:I110)=0,"NO",SUM(I106:I110))</f>
        <v>4.0008219178082199E-2</v>
      </c>
      <c r="J105" s="3064">
        <f>IF(SUM(J106:J110)=0,"NO",SUM(J106:J110))</f>
        <v>5.1000000000000004E-4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5100</v>
      </c>
      <c r="D108" s="1934" t="s">
        <v>97</v>
      </c>
      <c r="E108" s="3081">
        <f t="shared" si="50"/>
        <v>51.411918339264993</v>
      </c>
      <c r="F108" s="3081">
        <f t="shared" si="51"/>
        <v>7.8447488584474891</v>
      </c>
      <c r="G108" s="3081">
        <f t="shared" si="51"/>
        <v>0.1</v>
      </c>
      <c r="H108" s="699">
        <v>262.2007835302515</v>
      </c>
      <c r="I108" s="699">
        <v>4.0008219178082199E-2</v>
      </c>
      <c r="J108" s="2921">
        <v>5.1000000000000004E-4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587.25935264229986</v>
      </c>
      <c r="D111" s="1934" t="s">
        <v>97</v>
      </c>
      <c r="E111" s="615"/>
      <c r="F111" s="615"/>
      <c r="G111" s="615"/>
      <c r="H111" s="1938">
        <f>H112</f>
        <v>39.669574902774528</v>
      </c>
      <c r="I111" s="1938">
        <f>I112</f>
        <v>2.8614708863610765E-2</v>
      </c>
      <c r="J111" s="3064">
        <f>J112</f>
        <v>1.1445883545444305E-4</v>
      </c>
    </row>
    <row r="112" spans="2:10" ht="18" customHeight="1" x14ac:dyDescent="0.2">
      <c r="B112" s="3068" t="s">
        <v>313</v>
      </c>
      <c r="C112" s="3077">
        <f>IF(SUM(C113:C116,C118:C121)=0,"NO",SUM(C113:C116,C118:C121))</f>
        <v>587.25935264229986</v>
      </c>
      <c r="D112" s="3077" t="s">
        <v>97</v>
      </c>
      <c r="E112" s="615"/>
      <c r="F112" s="615"/>
      <c r="G112" s="615"/>
      <c r="H112" s="3077">
        <f>IF(SUM(H113:H116,H118:H120)=0,"NO",SUM(H113:H116,H118:H120))</f>
        <v>39.669574902774528</v>
      </c>
      <c r="I112" s="3077">
        <f>IF(SUM(I113:I116,I118:I121)=0,"NO",SUM(I113:I116,I118:I121))</f>
        <v>2.8614708863610765E-2</v>
      </c>
      <c r="J112" s="3078">
        <f>IF(SUM(J113:J116,J118:J121)=0,"NO",SUM(J113:J116,J118:J121))</f>
        <v>1.1445883545444305E-4</v>
      </c>
    </row>
    <row r="113" spans="2:10" ht="18" customHeight="1" x14ac:dyDescent="0.2">
      <c r="B113" s="282" t="s">
        <v>281</v>
      </c>
      <c r="C113" s="699">
        <v>572.29417727221517</v>
      </c>
      <c r="D113" s="1938" t="s">
        <v>97</v>
      </c>
      <c r="E113" s="1938">
        <f t="shared" ref="E113:E115" si="52">IFERROR(H113*1000/$C113,"NA")</f>
        <v>67.40000000000002</v>
      </c>
      <c r="F113" s="1938">
        <f t="shared" ref="F113:G115" si="53">IFERROR(I113*1000000/$C113,"NA")</f>
        <v>50.000000000000014</v>
      </c>
      <c r="G113" s="1938">
        <f t="shared" si="53"/>
        <v>0.2</v>
      </c>
      <c r="H113" s="699">
        <v>38.572627548147317</v>
      </c>
      <c r="I113" s="699">
        <v>2.8614708863610765E-2</v>
      </c>
      <c r="J113" s="2921">
        <v>1.1445883545444305E-4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14.965175370084705</v>
      </c>
      <c r="D120" s="1934" t="s">
        <v>97</v>
      </c>
      <c r="E120" s="3081">
        <f t="shared" si="54"/>
        <v>73.300000000000011</v>
      </c>
      <c r="F120" s="3081" t="str">
        <f t="shared" si="55"/>
        <v>NA</v>
      </c>
      <c r="G120" s="3081" t="str">
        <f t="shared" si="55"/>
        <v>NA</v>
      </c>
      <c r="H120" s="699">
        <v>1.096947354627209</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2459</v>
      </c>
    </row>
    <row r="2" spans="2:39" ht="17.25" x14ac:dyDescent="0.2">
      <c r="B2" s="761" t="s">
        <v>2412</v>
      </c>
      <c r="AL2" s="14" t="s">
        <v>2460</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2459</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2460</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2459</v>
      </c>
    </row>
    <row r="2" spans="2:10" s="916" customFormat="1" ht="15.75" x14ac:dyDescent="0.2">
      <c r="B2" s="213" t="s">
        <v>2449</v>
      </c>
      <c r="G2" s="2228"/>
      <c r="H2" s="2228"/>
      <c r="J2" s="14" t="s">
        <v>2460</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2459</v>
      </c>
    </row>
    <row r="2" spans="2:12" ht="16.350000000000001" customHeight="1" x14ac:dyDescent="0.25">
      <c r="B2" s="13" t="s">
        <v>229</v>
      </c>
      <c r="J2" s="226"/>
      <c r="K2" s="14" t="s">
        <v>2460</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293747.94779412035</v>
      </c>
      <c r="D10" s="3087" t="s">
        <v>97</v>
      </c>
      <c r="E10" s="2161"/>
      <c r="F10" s="2161"/>
      <c r="G10" s="2161"/>
      <c r="H10" s="3087">
        <f>IF(SUM(H11:H15)=0,"NO",SUM(H11:H15))</f>
        <v>13024.212038643214</v>
      </c>
      <c r="I10" s="3087">
        <f>IF(SUM(I11:I16)=0,"NO",SUM(I11:I16))</f>
        <v>97.098418812831738</v>
      </c>
      <c r="J10" s="3087">
        <f>IF(SUM(J11:J16)=0,"NO",SUM(J11:J16))</f>
        <v>0.53214797381676526</v>
      </c>
      <c r="K10" s="416" t="str">
        <f>IF(SUM(K11:K16)=0,"NO",SUM(K11:K16))</f>
        <v>NO</v>
      </c>
    </row>
    <row r="11" spans="2:12" ht="18" customHeight="1" x14ac:dyDescent="0.2">
      <c r="B11" s="282" t="s">
        <v>243</v>
      </c>
      <c r="C11" s="1938">
        <f>IF(SUM(C18,C39,C60)=0,"NO",SUM(C18,C39,C60))</f>
        <v>87702.637794120354</v>
      </c>
      <c r="D11" s="3087" t="s">
        <v>97</v>
      </c>
      <c r="E11" s="1938">
        <f t="shared" ref="E11:E16" si="0">IFERROR(H11*1000/$C11,"NA")</f>
        <v>68.151377973556649</v>
      </c>
      <c r="F11" s="1938">
        <f t="shared" ref="F11:G16" si="1">IFERROR(I11*1000000/$C11,"NA")</f>
        <v>9.8642118745070615</v>
      </c>
      <c r="G11" s="1938">
        <f t="shared" si="1"/>
        <v>2.56662349418849</v>
      </c>
      <c r="H11" s="1938">
        <f>IF(SUM(H18,H39,H60)=0,"NO",SUM(H18,H39,H60))</f>
        <v>5977.0556175850306</v>
      </c>
      <c r="I11" s="1938">
        <f>IF(SUM(I18,I39,I60)=0,"NO",SUM(I18,I39,I60))</f>
        <v>0.86511740115435387</v>
      </c>
      <c r="J11" s="1938">
        <f>IF(SUM(J18,J39,J60)=0,"NO",SUM(J18,J39,J60))</f>
        <v>0.22509965066469267</v>
      </c>
      <c r="K11" s="3064" t="str">
        <f>IF(SUM(K18,K39,K60)=0,"NO",SUM(K18,K39,K60))</f>
        <v>NO</v>
      </c>
    </row>
    <row r="12" spans="2:12" ht="18" customHeight="1" x14ac:dyDescent="0.2">
      <c r="B12" s="282" t="s">
        <v>245</v>
      </c>
      <c r="C12" s="1938">
        <f t="shared" ref="C12:C16" si="2">IF(SUM(C19,C40,C61)=0,"NO",SUM(C19,C40,C61))</f>
        <v>6299.9999999999991</v>
      </c>
      <c r="D12" s="3087" t="s">
        <v>97</v>
      </c>
      <c r="E12" s="1938">
        <f t="shared" si="0"/>
        <v>91.746031746031761</v>
      </c>
      <c r="F12" s="1938">
        <f t="shared" si="1"/>
        <v>0.95238095238095222</v>
      </c>
      <c r="G12" s="1938">
        <f t="shared" si="1"/>
        <v>0.66666666666666674</v>
      </c>
      <c r="H12" s="1938">
        <f t="shared" ref="H12:K16" si="3">IF(SUM(H19,H40,H61)=0,"NO",SUM(H19,H40,H61))</f>
        <v>578</v>
      </c>
      <c r="I12" s="1938">
        <f t="shared" si="3"/>
        <v>5.9999999999999984E-3</v>
      </c>
      <c r="J12" s="1938">
        <f t="shared" si="3"/>
        <v>4.1999999999999997E-3</v>
      </c>
      <c r="K12" s="3064" t="str">
        <f t="shared" si="3"/>
        <v>NO</v>
      </c>
    </row>
    <row r="13" spans="2:12" ht="18" customHeight="1" x14ac:dyDescent="0.2">
      <c r="B13" s="282" t="s">
        <v>246</v>
      </c>
      <c r="C13" s="1938">
        <f t="shared" si="2"/>
        <v>125300</v>
      </c>
      <c r="D13" s="3087" t="s">
        <v>97</v>
      </c>
      <c r="E13" s="1938">
        <f t="shared" si="0"/>
        <v>51.629340950185025</v>
      </c>
      <c r="F13" s="1938">
        <f t="shared" si="1"/>
        <v>0.90909090909090928</v>
      </c>
      <c r="G13" s="1938">
        <f t="shared" si="1"/>
        <v>0.90909090909090895</v>
      </c>
      <c r="H13" s="1938">
        <f t="shared" si="3"/>
        <v>6469.1564210581837</v>
      </c>
      <c r="I13" s="1938">
        <f t="shared" si="3"/>
        <v>0.11390909090909093</v>
      </c>
      <c r="J13" s="1938">
        <f t="shared" si="3"/>
        <v>0.1139090909090909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74445.31</v>
      </c>
      <c r="D16" s="3087" t="s">
        <v>97</v>
      </c>
      <c r="E16" s="1938">
        <f t="shared" si="0"/>
        <v>70.483488214368393</v>
      </c>
      <c r="F16" s="1938">
        <f t="shared" si="1"/>
        <v>1291.0604082482603</v>
      </c>
      <c r="G16" s="1938">
        <f t="shared" si="1"/>
        <v>2.5379601783239498</v>
      </c>
      <c r="H16" s="1938">
        <f t="shared" si="3"/>
        <v>5247.1651300000012</v>
      </c>
      <c r="I16" s="1938">
        <f t="shared" si="3"/>
        <v>96.113392320768298</v>
      </c>
      <c r="J16" s="1938">
        <f t="shared" si="3"/>
        <v>0.18893923224298173</v>
      </c>
      <c r="K16" s="3064" t="str">
        <f t="shared" si="3"/>
        <v>NO</v>
      </c>
    </row>
    <row r="17" spans="2:11" ht="18" customHeight="1" x14ac:dyDescent="0.2">
      <c r="B17" s="1240" t="s">
        <v>322</v>
      </c>
      <c r="C17" s="3087">
        <f>IF(SUM(C18:C23)=0,"NO",SUM(C18:C23))</f>
        <v>60065.210000000006</v>
      </c>
      <c r="D17" s="3087" t="s">
        <v>97</v>
      </c>
      <c r="E17" s="615"/>
      <c r="F17" s="615"/>
      <c r="G17" s="615"/>
      <c r="H17" s="3057">
        <f>IF(SUM(H18:H22)=0,"NO",SUM(H18:H22))</f>
        <v>3591.6438090367897</v>
      </c>
      <c r="I17" s="3057">
        <f>IF(SUM(I18:I23)=0,"NO",SUM(I18:I23))</f>
        <v>5.7170469805194808E-2</v>
      </c>
      <c r="J17" s="3088">
        <f>IF(SUM(J18:J23)=0,"NO",SUM(J18:J23))</f>
        <v>7.0611845995670997E-2</v>
      </c>
      <c r="K17" s="3064" t="str">
        <f>IF(SUM(K18:K23)=0,"NO",SUM(K18:K23))</f>
        <v>NO</v>
      </c>
    </row>
    <row r="18" spans="2:11" ht="18" customHeight="1" x14ac:dyDescent="0.2">
      <c r="B18" s="282" t="s">
        <v>243</v>
      </c>
      <c r="C18" s="3087">
        <f>IF(SUM(C26,C33)=0,"NO",SUM(C26,C33))</f>
        <v>18719.899999999998</v>
      </c>
      <c r="D18" s="3087" t="s">
        <v>97</v>
      </c>
      <c r="E18" s="1938">
        <f t="shared" ref="E18" si="4">IFERROR(H18*1000/$C18,"NA")</f>
        <v>66.534276892504778</v>
      </c>
      <c r="F18" s="1938">
        <f t="shared" ref="F18:G23" si="5">IFERROR(I18*1000000/$C18,"NA")</f>
        <v>0.88064827371127086</v>
      </c>
      <c r="G18" s="1938">
        <f t="shared" si="5"/>
        <v>1.7471582952595137</v>
      </c>
      <c r="H18" s="3087">
        <f>IF(SUM(H26,H33)=0,"NO",SUM(H26,H33))</f>
        <v>1245.5150100000001</v>
      </c>
      <c r="I18" s="3087">
        <f>IF(SUM(I26,I33)=0,"NO",SUM(I26,I33))</f>
        <v>1.6485647619047618E-2</v>
      </c>
      <c r="J18" s="3087">
        <f>IF(SUM(J26,J33)=0,"NO",SUM(J26,J33))</f>
        <v>3.2706628571428566E-2</v>
      </c>
      <c r="K18" s="3064" t="str">
        <f>IF(SUM(K26,K33)=0,"NO",SUM(K26,K33))</f>
        <v>NO</v>
      </c>
    </row>
    <row r="19" spans="2:11" ht="18" customHeight="1" x14ac:dyDescent="0.2">
      <c r="B19" s="282" t="s">
        <v>245</v>
      </c>
      <c r="C19" s="3087">
        <f t="shared" ref="C19:C21" si="6">IF(SUM(C27,C34)=0,"NO",SUM(C27,C34))</f>
        <v>5699.9999999999991</v>
      </c>
      <c r="D19" s="3087" t="s">
        <v>97</v>
      </c>
      <c r="E19" s="1938">
        <f t="shared" ref="E19:E23" si="7">IFERROR(H19*1000/$C19,"NA")</f>
        <v>91.666666666666686</v>
      </c>
      <c r="F19" s="1938">
        <f t="shared" si="5"/>
        <v>0.95238095238095233</v>
      </c>
      <c r="G19" s="1938">
        <f t="shared" si="5"/>
        <v>0.66666666666666674</v>
      </c>
      <c r="H19" s="3087">
        <f t="shared" ref="H19:K21" si="8">IF(SUM(H27,H34)=0,"NO",SUM(H27,H34))</f>
        <v>522.5</v>
      </c>
      <c r="I19" s="3087">
        <f t="shared" si="8"/>
        <v>5.4285714285714276E-3</v>
      </c>
      <c r="J19" s="3087">
        <f t="shared" si="8"/>
        <v>3.7999999999999996E-3</v>
      </c>
      <c r="K19" s="3064" t="str">
        <f t="shared" si="8"/>
        <v>NO</v>
      </c>
    </row>
    <row r="20" spans="2:11" ht="18" customHeight="1" x14ac:dyDescent="0.2">
      <c r="B20" s="282" t="s">
        <v>246</v>
      </c>
      <c r="C20" s="3087">
        <f t="shared" si="6"/>
        <v>35300.000000000007</v>
      </c>
      <c r="D20" s="3087" t="s">
        <v>97</v>
      </c>
      <c r="E20" s="1938">
        <f t="shared" si="7"/>
        <v>51.660872493960035</v>
      </c>
      <c r="F20" s="1938">
        <f t="shared" si="5"/>
        <v>0.90909090909090895</v>
      </c>
      <c r="G20" s="1938">
        <f t="shared" si="5"/>
        <v>0.90909090909090895</v>
      </c>
      <c r="H20" s="3087">
        <f t="shared" si="8"/>
        <v>1823.6287990367896</v>
      </c>
      <c r="I20" s="3087">
        <f t="shared" si="8"/>
        <v>3.2090909090909094E-2</v>
      </c>
      <c r="J20" s="3087">
        <f t="shared" si="8"/>
        <v>3.2090909090909094E-2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345.31</v>
      </c>
      <c r="D23" s="3087" t="s">
        <v>97</v>
      </c>
      <c r="E23" s="1938">
        <f t="shared" si="7"/>
        <v>94</v>
      </c>
      <c r="F23" s="1938">
        <f t="shared" si="5"/>
        <v>9.1666666666666661</v>
      </c>
      <c r="G23" s="1938">
        <f t="shared" si="5"/>
        <v>5.833333333333333</v>
      </c>
      <c r="H23" s="3087">
        <f>IF(SUM(H31,H37)=0,"NO",SUM(H31,H37))</f>
        <v>32.459139999999998</v>
      </c>
      <c r="I23" s="3087">
        <f>IF(SUM(I31,I37)=0,"NO",SUM(I31,I37))</f>
        <v>3.1653416666666667E-3</v>
      </c>
      <c r="J23" s="3087">
        <f>IF(SUM(J31,J37)=0,"NO",SUM(J31,J37))</f>
        <v>2.0143083333333334E-3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60065.210000000006</v>
      </c>
      <c r="D25" s="3057" t="s">
        <v>97</v>
      </c>
      <c r="E25" s="615"/>
      <c r="F25" s="615"/>
      <c r="G25" s="615"/>
      <c r="H25" s="3057">
        <f>IF(SUM(H26:H30)=0,"NO",SUM(H26:H30))</f>
        <v>3591.6438090367897</v>
      </c>
      <c r="I25" s="3057">
        <f>IF(SUM(I26:I31)=0,"NO",SUM(I26:I31))</f>
        <v>5.7170469805194808E-2</v>
      </c>
      <c r="J25" s="3088">
        <f>IF(SUM(J26:J31)=0,"NO",SUM(J26:J31))</f>
        <v>7.0611845995670997E-2</v>
      </c>
      <c r="K25" s="3064" t="str">
        <f>IF(SUM(K26:K31)=0,"NO",SUM(K26:K31))</f>
        <v>NO</v>
      </c>
    </row>
    <row r="26" spans="2:11" ht="18" customHeight="1" x14ac:dyDescent="0.2">
      <c r="B26" s="282" t="s">
        <v>243</v>
      </c>
      <c r="C26" s="699">
        <v>18719.899999999998</v>
      </c>
      <c r="D26" s="3057" t="s">
        <v>97</v>
      </c>
      <c r="E26" s="1938">
        <f t="shared" ref="E26:E31" si="9">IFERROR(H26*1000/$C26,"NA")</f>
        <v>66.534276892504778</v>
      </c>
      <c r="F26" s="1938">
        <f t="shared" ref="F26:G31" si="10">IFERROR(I26*1000000/$C26,"NA")</f>
        <v>0.88064827371127086</v>
      </c>
      <c r="G26" s="1938">
        <f t="shared" si="10"/>
        <v>1.7471582952595137</v>
      </c>
      <c r="H26" s="699">
        <v>1245.5150100000001</v>
      </c>
      <c r="I26" s="699">
        <v>1.6485647619047618E-2</v>
      </c>
      <c r="J26" s="699">
        <v>3.2706628571428566E-2</v>
      </c>
      <c r="K26" s="2921" t="s">
        <v>199</v>
      </c>
    </row>
    <row r="27" spans="2:11" ht="18" customHeight="1" x14ac:dyDescent="0.2">
      <c r="B27" s="282" t="s">
        <v>245</v>
      </c>
      <c r="C27" s="699">
        <v>5699.9999999999991</v>
      </c>
      <c r="D27" s="3057" t="s">
        <v>97</v>
      </c>
      <c r="E27" s="1938">
        <f t="shared" si="9"/>
        <v>91.666666666666686</v>
      </c>
      <c r="F27" s="1938">
        <f t="shared" si="10"/>
        <v>0.95238095238095233</v>
      </c>
      <c r="G27" s="1938">
        <f t="shared" si="10"/>
        <v>0.66666666666666674</v>
      </c>
      <c r="H27" s="699">
        <v>522.5</v>
      </c>
      <c r="I27" s="699">
        <v>5.4285714285714276E-3</v>
      </c>
      <c r="J27" s="699">
        <v>3.7999999999999996E-3</v>
      </c>
      <c r="K27" s="2921" t="s">
        <v>199</v>
      </c>
    </row>
    <row r="28" spans="2:11" ht="18" customHeight="1" x14ac:dyDescent="0.2">
      <c r="B28" s="282" t="s">
        <v>246</v>
      </c>
      <c r="C28" s="699">
        <v>35300.000000000007</v>
      </c>
      <c r="D28" s="3057" t="s">
        <v>97</v>
      </c>
      <c r="E28" s="1938">
        <f t="shared" si="9"/>
        <v>51.660872493960035</v>
      </c>
      <c r="F28" s="1938">
        <f t="shared" si="10"/>
        <v>0.90909090909090895</v>
      </c>
      <c r="G28" s="1938">
        <f t="shared" si="10"/>
        <v>0.90909090909090895</v>
      </c>
      <c r="H28" s="699">
        <v>1823.6287990367896</v>
      </c>
      <c r="I28" s="699">
        <v>3.2090909090909094E-2</v>
      </c>
      <c r="J28" s="699">
        <v>3.2090909090909094E-2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345.31</v>
      </c>
      <c r="D31" s="3057" t="s">
        <v>97</v>
      </c>
      <c r="E31" s="1938">
        <f t="shared" si="9"/>
        <v>94</v>
      </c>
      <c r="F31" s="1938">
        <f t="shared" si="10"/>
        <v>9.1666666666666661</v>
      </c>
      <c r="G31" s="1938">
        <f t="shared" si="10"/>
        <v>5.833333333333333</v>
      </c>
      <c r="H31" s="699">
        <v>32.459139999999998</v>
      </c>
      <c r="I31" s="699">
        <v>3.1653416666666667E-3</v>
      </c>
      <c r="J31" s="699">
        <v>2.0143083333333334E-3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184872.73779412036</v>
      </c>
      <c r="D38" s="3057" t="s">
        <v>97</v>
      </c>
      <c r="E38" s="615"/>
      <c r="F38" s="615"/>
      <c r="G38" s="615"/>
      <c r="H38" s="1938">
        <f>IF(SUM(H39:H43)=0,"NO",SUM(H39:H43))</f>
        <v>6026.6382296064248</v>
      </c>
      <c r="I38" s="1938">
        <f>IF(SUM(I39:I44)=0,"NO",SUM(I39:I44))</f>
        <v>96.861315009693215</v>
      </c>
      <c r="J38" s="1938">
        <f>IF(SUM(J39:J44)=0,"NO",SUM(J39:J44))</f>
        <v>0.28051708020204674</v>
      </c>
      <c r="K38" s="3064" t="str">
        <f>IF(SUM(K39:K44)=0,"NO",SUM(K39:K44))</f>
        <v>NO</v>
      </c>
    </row>
    <row r="39" spans="2:11" ht="18" customHeight="1" x14ac:dyDescent="0.2">
      <c r="B39" s="282" t="s">
        <v>243</v>
      </c>
      <c r="C39" s="3087">
        <f>IF(SUM(C47,C54)=0,"NO",SUM(C47,C54))</f>
        <v>20172.737794120356</v>
      </c>
      <c r="D39" s="3057" t="s">
        <v>97</v>
      </c>
      <c r="E39" s="1938">
        <f t="shared" ref="E39:E44" si="13">IFERROR(H39*1000/$C39,"NA")</f>
        <v>65.712974664817153</v>
      </c>
      <c r="F39" s="1938">
        <f t="shared" ref="F39:G44" si="14">IFERROR(I39*1000000/$C39,"NA")</f>
        <v>33.148620034950099</v>
      </c>
      <c r="G39" s="1938">
        <f t="shared" si="14"/>
        <v>0.56382899486908611</v>
      </c>
      <c r="H39" s="1938">
        <f>IF(SUM(H47,H54)=0,"NO",SUM(H47,H54))</f>
        <v>1325.6106075850303</v>
      </c>
      <c r="I39" s="1938">
        <f>IF(SUM(I47,I54)=0,"NO",SUM(I47,I54))</f>
        <v>0.66869842020197301</v>
      </c>
      <c r="J39" s="1938">
        <f>IF(SUM(J47,J54)=0,"NO",SUM(J47,J54))</f>
        <v>1.1373974474216507E-2</v>
      </c>
      <c r="K39" s="3064" t="str">
        <f>IF(SUM(K47,K54)=0,"NO",SUM(K47,K54))</f>
        <v>NO</v>
      </c>
    </row>
    <row r="40" spans="2:11" ht="18" customHeight="1" x14ac:dyDescent="0.2">
      <c r="B40" s="282" t="s">
        <v>245</v>
      </c>
      <c r="C40" s="3087">
        <f t="shared" ref="C40:C42" si="15">IF(SUM(C48,C55)=0,"NO",SUM(C48,C55))</f>
        <v>599.99999999999989</v>
      </c>
      <c r="D40" s="3057" t="s">
        <v>97</v>
      </c>
      <c r="E40" s="1938">
        <f t="shared" si="13"/>
        <v>92.5</v>
      </c>
      <c r="F40" s="1938">
        <f t="shared" si="14"/>
        <v>0.95238095238095222</v>
      </c>
      <c r="G40" s="1938">
        <f t="shared" si="14"/>
        <v>0.66666666666666652</v>
      </c>
      <c r="H40" s="1938">
        <f t="shared" ref="H40:K42" si="16">IF(SUM(H48,H55)=0,"NO",SUM(H48,H55))</f>
        <v>55.499999999999993</v>
      </c>
      <c r="I40" s="1938">
        <f t="shared" si="16"/>
        <v>5.7142857142857125E-4</v>
      </c>
      <c r="J40" s="1938">
        <f t="shared" si="16"/>
        <v>3.9999999999999986E-4</v>
      </c>
      <c r="K40" s="3064" t="str">
        <f t="shared" si="16"/>
        <v>NO</v>
      </c>
    </row>
    <row r="41" spans="2:11" ht="18" customHeight="1" x14ac:dyDescent="0.2">
      <c r="B41" s="282" t="s">
        <v>246</v>
      </c>
      <c r="C41" s="3087">
        <f t="shared" si="15"/>
        <v>90000</v>
      </c>
      <c r="D41" s="3057" t="s">
        <v>97</v>
      </c>
      <c r="E41" s="1938">
        <f t="shared" si="13"/>
        <v>51.616973578015497</v>
      </c>
      <c r="F41" s="1938">
        <f t="shared" si="14"/>
        <v>0.90909090909090928</v>
      </c>
      <c r="G41" s="1938">
        <f t="shared" si="14"/>
        <v>0.90909090909090917</v>
      </c>
      <c r="H41" s="1938">
        <f t="shared" si="16"/>
        <v>4645.5276220213946</v>
      </c>
      <c r="I41" s="1938">
        <f t="shared" si="16"/>
        <v>8.1818181818181832E-2</v>
      </c>
      <c r="J41" s="1938">
        <f t="shared" si="16"/>
        <v>8.1818181818181818E-2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74100</v>
      </c>
      <c r="D44" s="3057" t="s">
        <v>97</v>
      </c>
      <c r="E44" s="1938">
        <f t="shared" si="13"/>
        <v>70.37390000000002</v>
      </c>
      <c r="F44" s="1938">
        <f t="shared" si="14"/>
        <v>1297.0341022820733</v>
      </c>
      <c r="G44" s="1938">
        <f t="shared" si="14"/>
        <v>2.5226035615337166</v>
      </c>
      <c r="H44" s="1938">
        <f>IF(SUM(H52,H58)=0,"NO",SUM(H52,H58))</f>
        <v>5214.7059900000013</v>
      </c>
      <c r="I44" s="1938">
        <f>IF(SUM(I52,I58)=0,"NO",SUM(I52,I58))</f>
        <v>96.110226979101625</v>
      </c>
      <c r="J44" s="1938">
        <f>IF(SUM(J52,J58)=0,"NO",SUM(J52,J58))</f>
        <v>0.1869249239096484</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181311.7962466488</v>
      </c>
      <c r="D46" s="3057" t="s">
        <v>97</v>
      </c>
      <c r="E46" s="615"/>
      <c r="F46" s="615"/>
      <c r="G46" s="615"/>
      <c r="H46" s="1938">
        <f>IF(SUM(H47:H51)=0,"NO",SUM(H47:H51))</f>
        <v>5780.7803834154965</v>
      </c>
      <c r="I46" s="1938">
        <f>IF(SUM(I47:I52)=0,"NO",SUM(I47:I52))</f>
        <v>96.220345531148325</v>
      </c>
      <c r="J46" s="1938">
        <f>IF(SUM(J47:J52)=0,"NO",SUM(J47:J52))</f>
        <v>0.2790927035830581</v>
      </c>
      <c r="K46" s="3064" t="str">
        <f>IF(SUM(K47:K52)=0,"NO",SUM(K47:K52))</f>
        <v>NO</v>
      </c>
    </row>
    <row r="47" spans="2:11" ht="18" customHeight="1" x14ac:dyDescent="0.2">
      <c r="B47" s="282" t="s">
        <v>243</v>
      </c>
      <c r="C47" s="699">
        <v>16611.796246648795</v>
      </c>
      <c r="D47" s="3057" t="s">
        <v>97</v>
      </c>
      <c r="E47" s="1938">
        <f t="shared" ref="E47:E52" si="17">IFERROR(H47*1000/$C47,"NA")</f>
        <v>64.999157548174679</v>
      </c>
      <c r="F47" s="1938">
        <f t="shared" ref="F47:G52" si="18">IFERROR(I47*1000000/$C47,"NA")</f>
        <v>1.6692319870396755</v>
      </c>
      <c r="G47" s="1938">
        <f t="shared" si="18"/>
        <v>0.59894774216455249</v>
      </c>
      <c r="H47" s="699">
        <v>1079.752761394102</v>
      </c>
      <c r="I47" s="699">
        <v>2.7728941657091794E-2</v>
      </c>
      <c r="J47" s="699">
        <v>9.9495978552278826E-3</v>
      </c>
      <c r="K47" s="2921" t="s">
        <v>199</v>
      </c>
    </row>
    <row r="48" spans="2:11" ht="18" customHeight="1" x14ac:dyDescent="0.2">
      <c r="B48" s="282" t="s">
        <v>245</v>
      </c>
      <c r="C48" s="699">
        <v>599.99999999999989</v>
      </c>
      <c r="D48" s="3057" t="s">
        <v>97</v>
      </c>
      <c r="E48" s="1938">
        <f t="shared" si="17"/>
        <v>92.5</v>
      </c>
      <c r="F48" s="1938">
        <f t="shared" si="18"/>
        <v>0.95238095238095222</v>
      </c>
      <c r="G48" s="1938">
        <f t="shared" si="18"/>
        <v>0.66666666666666652</v>
      </c>
      <c r="H48" s="699">
        <v>55.499999999999993</v>
      </c>
      <c r="I48" s="699">
        <v>5.7142857142857125E-4</v>
      </c>
      <c r="J48" s="699">
        <v>3.9999999999999986E-4</v>
      </c>
      <c r="K48" s="2921" t="s">
        <v>199</v>
      </c>
    </row>
    <row r="49" spans="2:11" ht="18" customHeight="1" x14ac:dyDescent="0.2">
      <c r="B49" s="282" t="s">
        <v>246</v>
      </c>
      <c r="C49" s="699">
        <v>90000</v>
      </c>
      <c r="D49" s="3057" t="s">
        <v>97</v>
      </c>
      <c r="E49" s="1938">
        <f t="shared" si="17"/>
        <v>51.616973578015497</v>
      </c>
      <c r="F49" s="1938">
        <f t="shared" si="18"/>
        <v>0.90909090909090928</v>
      </c>
      <c r="G49" s="1938">
        <f t="shared" si="18"/>
        <v>0.90909090909090917</v>
      </c>
      <c r="H49" s="699">
        <v>4645.5276220213946</v>
      </c>
      <c r="I49" s="699">
        <v>8.1818181818181832E-2</v>
      </c>
      <c r="J49" s="699">
        <v>8.1818181818181818E-2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74100</v>
      </c>
      <c r="D52" s="3057" t="s">
        <v>97</v>
      </c>
      <c r="E52" s="1938">
        <f t="shared" si="17"/>
        <v>70.37390000000002</v>
      </c>
      <c r="F52" s="1938">
        <f t="shared" si="18"/>
        <v>1297.0341022820733</v>
      </c>
      <c r="G52" s="1938">
        <f t="shared" si="18"/>
        <v>2.5226035615337166</v>
      </c>
      <c r="H52" s="699">
        <v>5214.7059900000013</v>
      </c>
      <c r="I52" s="699">
        <v>96.110226979101625</v>
      </c>
      <c r="J52" s="699">
        <v>0.1869249239096484</v>
      </c>
      <c r="K52" s="2921" t="s">
        <v>199</v>
      </c>
    </row>
    <row r="53" spans="2:11" ht="18" customHeight="1" x14ac:dyDescent="0.2">
      <c r="B53" s="1241" t="s">
        <v>329</v>
      </c>
      <c r="C53" s="3057">
        <f>IF(SUM(C54:C58)=0,"NO",SUM(C54:C58))</f>
        <v>3560.9415474715615</v>
      </c>
      <c r="D53" s="3057" t="s">
        <v>97</v>
      </c>
      <c r="E53" s="615"/>
      <c r="F53" s="615"/>
      <c r="G53" s="615"/>
      <c r="H53" s="3057">
        <f>IF(SUM(H54:H57)=0,"NO",SUM(H54:H57))</f>
        <v>245.8578461909284</v>
      </c>
      <c r="I53" s="3057">
        <f>IF(SUM(I54:I58)=0,"NO",SUM(I54:I58))</f>
        <v>0.64096947854488118</v>
      </c>
      <c r="J53" s="3057">
        <f>IF(SUM(J54:J58)=0,"NO",SUM(J54:J58))</f>
        <v>1.4243766189886247E-3</v>
      </c>
      <c r="K53" s="2931"/>
    </row>
    <row r="54" spans="2:11" ht="18" customHeight="1" x14ac:dyDescent="0.2">
      <c r="B54" s="282" t="s">
        <v>243</v>
      </c>
      <c r="C54" s="699">
        <v>3560.9415474715615</v>
      </c>
      <c r="D54" s="3057" t="s">
        <v>97</v>
      </c>
      <c r="E54" s="1938">
        <f t="shared" ref="E54:E58" si="19">IFERROR(H54*1000/$C54,"NA")</f>
        <v>69.042932301289582</v>
      </c>
      <c r="F54" s="1938">
        <f t="shared" ref="F54:G58" si="20">IFERROR(I54*1000000/$C54,"NA")</f>
        <v>180.00000000000003</v>
      </c>
      <c r="G54" s="1938">
        <f t="shared" si="20"/>
        <v>0.4</v>
      </c>
      <c r="H54" s="699">
        <v>245.8578461909284</v>
      </c>
      <c r="I54" s="699">
        <v>0.64096947854488118</v>
      </c>
      <c r="J54" s="699">
        <v>1.4243766189886247E-3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48810</v>
      </c>
      <c r="D59" s="3057" t="s">
        <v>97</v>
      </c>
      <c r="E59" s="615"/>
      <c r="F59" s="615"/>
      <c r="G59" s="615"/>
      <c r="H59" s="1938">
        <f>IF(SUM(H60:H64)=0,"NO",SUM(H60:H64))</f>
        <v>3405.9300000000003</v>
      </c>
      <c r="I59" s="1938">
        <f>IF(SUM(I60:I65)=0,"NO",SUM(I60:I65))</f>
        <v>0.17993333333333331</v>
      </c>
      <c r="J59" s="1938">
        <f>IF(SUM(J60:J65)=0,"NO",SUM(J60:J65))</f>
        <v>0.18101904761904761</v>
      </c>
      <c r="K59" s="3064" t="str">
        <f>IF(SUM(K60:K65)=0,"NO",SUM(K60:K65))</f>
        <v>NO</v>
      </c>
    </row>
    <row r="60" spans="2:11" ht="18" customHeight="1" x14ac:dyDescent="0.2">
      <c r="B60" s="282" t="s">
        <v>243</v>
      </c>
      <c r="C60" s="1938">
        <f>IF(SUM(C67,C74:C77,C84:C87)=0,"NO",SUM(C67,C74:C77,C84:C87))</f>
        <v>48810</v>
      </c>
      <c r="D60" s="3057" t="s">
        <v>97</v>
      </c>
      <c r="E60" s="1938">
        <f t="shared" ref="E60:E65" si="21">IFERROR(H60*1000/$C60,"NA")</f>
        <v>69.779348494161042</v>
      </c>
      <c r="F60" s="1938">
        <f t="shared" ref="F60:G65" si="22">IFERROR(I60*1000000/$C60,"NA")</f>
        <v>3.686403059482346</v>
      </c>
      <c r="G60" s="1938">
        <f t="shared" si="22"/>
        <v>3.7086467449098053</v>
      </c>
      <c r="H60" s="1938">
        <f>IF(SUM(H67,H74:H77,H84:H87)=0,"NO",SUM(H67,H74:H77,H84:H87))</f>
        <v>3405.9300000000003</v>
      </c>
      <c r="I60" s="1938">
        <f>IF(SUM(I67,I74:I77,I84:I87)=0,"NO",SUM(I67,I74:I77,I84:I87))</f>
        <v>0.17993333333333331</v>
      </c>
      <c r="J60" s="1938">
        <f>IF(SUM(J67,J74:J77,J84:J87)=0,"NO",SUM(J67,J74:J77,J84:J87))</f>
        <v>0.18101904761904761</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t="str">
        <f>IF(SUM(C69,C79,C89)=0,"NO",SUM(C69,C79,C89))</f>
        <v>NO</v>
      </c>
      <c r="D62" s="3057"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48810</v>
      </c>
      <c r="D66" s="3057" t="s">
        <v>97</v>
      </c>
      <c r="E66" s="2135"/>
      <c r="F66" s="2135"/>
      <c r="G66" s="2135"/>
      <c r="H66" s="1938">
        <f>IF(SUM(H67:H71)=0,"NO",SUM(H67:H71))</f>
        <v>3405.9300000000003</v>
      </c>
      <c r="I66" s="1938">
        <f>IF(SUM(I67:I72)=0,"NO",SUM(I67:I72))</f>
        <v>0.17993333333333331</v>
      </c>
      <c r="J66" s="1938">
        <f>IF(SUM(J67:J72)=0,"NO",SUM(J67:J72))</f>
        <v>0.18101904761904761</v>
      </c>
      <c r="K66" s="3064" t="str">
        <f>IF(SUM(K67:K72)=0,"NO",SUM(K67:K72))</f>
        <v>NO</v>
      </c>
    </row>
    <row r="67" spans="2:11" ht="18" customHeight="1" x14ac:dyDescent="0.2">
      <c r="B67" s="282" t="s">
        <v>243</v>
      </c>
      <c r="C67" s="699">
        <v>48810</v>
      </c>
      <c r="D67" s="3057" t="s">
        <v>97</v>
      </c>
      <c r="E67" s="1938">
        <f t="shared" ref="E67:E72" si="23">IFERROR(H67*1000/$C67,"NA")</f>
        <v>69.779348494161042</v>
      </c>
      <c r="F67" s="1938">
        <f t="shared" ref="F67:G72" si="24">IFERROR(I67*1000000/$C67,"NA")</f>
        <v>3.686403059482346</v>
      </c>
      <c r="G67" s="1938">
        <f t="shared" si="24"/>
        <v>3.7086467449098053</v>
      </c>
      <c r="H67" s="699">
        <v>3405.9300000000003</v>
      </c>
      <c r="I67" s="699">
        <v>0.17993333333333331</v>
      </c>
      <c r="J67" s="699">
        <v>0.18101904761904761</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t="s">
        <v>199</v>
      </c>
      <c r="D69" s="3057" t="s">
        <v>97</v>
      </c>
      <c r="E69" s="1938" t="str">
        <f t="shared" si="23"/>
        <v>NA</v>
      </c>
      <c r="F69" s="1938" t="str">
        <f t="shared" si="24"/>
        <v>NA</v>
      </c>
      <c r="G69" s="1938" t="str">
        <f t="shared" si="24"/>
        <v>NA</v>
      </c>
      <c r="H69" s="699" t="s">
        <v>199</v>
      </c>
      <c r="I69" s="699" t="s">
        <v>199</v>
      </c>
      <c r="J69" s="699" t="s">
        <v>199</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6022.0402982182095</v>
      </c>
      <c r="D93" s="3057" t="s">
        <v>97</v>
      </c>
      <c r="E93" s="2160"/>
      <c r="F93" s="2160"/>
      <c r="G93" s="2160"/>
      <c r="H93" s="3087">
        <f>IF(SUM(H94:H98)=0,"NO",SUM(H94:H98))</f>
        <v>418.99551792193483</v>
      </c>
      <c r="I93" s="3087">
        <f>IF(SUM(I94:I99)=0,"NO",SUM(I94:I99))</f>
        <v>2.6183991477554305E-2</v>
      </c>
      <c r="J93" s="3091">
        <f>IF(SUM(J94:J99)=0,"NO",SUM(J94:J99))</f>
        <v>1.1196441665532852E-2</v>
      </c>
      <c r="K93" s="442" t="str">
        <f>IF(SUM(K94:K99)=0,"NO",SUM(K94:K99))</f>
        <v>NO</v>
      </c>
    </row>
    <row r="94" spans="2:11" ht="18" customHeight="1" x14ac:dyDescent="0.2">
      <c r="B94" s="282" t="s">
        <v>243</v>
      </c>
      <c r="C94" s="1938">
        <f>IF(SUM(C102,C110)=0,"NO",SUM(C102,C110))</f>
        <v>6022.0402982182095</v>
      </c>
      <c r="D94" s="1938" t="s">
        <v>97</v>
      </c>
      <c r="E94" s="1938">
        <f t="shared" ref="E94:E99" si="32">IFERROR(H94*1000/$C94,"NA")</f>
        <v>69.577003336544678</v>
      </c>
      <c r="F94" s="1938">
        <f t="shared" ref="F94:G99" si="33">IFERROR(I94*1000000/$C94,"NA")</f>
        <v>4.3480266123927427</v>
      </c>
      <c r="G94" s="1938">
        <f t="shared" si="33"/>
        <v>1.8592438959343458</v>
      </c>
      <c r="H94" s="1938">
        <f t="shared" ref="H94:K97" si="34">IF(SUM(H102,H110)=0,"NO",SUM(H102,H110))</f>
        <v>418.99551792193483</v>
      </c>
      <c r="I94" s="1938">
        <f t="shared" si="34"/>
        <v>2.6183991477554305E-2</v>
      </c>
      <c r="J94" s="1938">
        <f t="shared" si="34"/>
        <v>1.1196441665532852E-2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6022.0402982182095</v>
      </c>
      <c r="D108" s="1938" t="s">
        <v>97</v>
      </c>
      <c r="E108" s="1957"/>
      <c r="F108" s="1957"/>
      <c r="G108" s="1957"/>
      <c r="H108" s="3057">
        <f>H109</f>
        <v>418.99551792193483</v>
      </c>
      <c r="I108" s="3057">
        <f>I109</f>
        <v>2.6183991477554305E-2</v>
      </c>
      <c r="J108" s="3088">
        <f>J109</f>
        <v>1.1196441665532852E-2</v>
      </c>
      <c r="K108" s="2931"/>
    </row>
    <row r="109" spans="2:11" ht="18" customHeight="1" x14ac:dyDescent="0.2">
      <c r="B109" s="3103" t="s">
        <v>339</v>
      </c>
      <c r="C109" s="3077">
        <f>IF(SUM(C110:C114)=0,"NO",SUM(C110:C114))</f>
        <v>6022.0402982182095</v>
      </c>
      <c r="D109" s="1938" t="s">
        <v>97</v>
      </c>
      <c r="E109" s="615"/>
      <c r="F109" s="615"/>
      <c r="G109" s="615"/>
      <c r="H109" s="3077">
        <f>IF(SUM(H110:H113)=0,"NO",SUM(H110:H113))</f>
        <v>418.99551792193483</v>
      </c>
      <c r="I109" s="3077">
        <f>IF(SUM(I110:I114)=0,"NO",SUM(I110:I114))</f>
        <v>2.6183991477554305E-2</v>
      </c>
      <c r="J109" s="3077">
        <f>IF(SUM(J110:J114)=0,"NO",SUM(J110:J114))</f>
        <v>1.1196441665532852E-2</v>
      </c>
      <c r="K109" s="2931"/>
    </row>
    <row r="110" spans="2:11" ht="18" customHeight="1" x14ac:dyDescent="0.2">
      <c r="B110" s="282" t="s">
        <v>243</v>
      </c>
      <c r="C110" s="699">
        <v>6022.0402982182095</v>
      </c>
      <c r="D110" s="1938" t="s">
        <v>97</v>
      </c>
      <c r="E110" s="1938">
        <f t="shared" ref="E110:E114" si="37">IFERROR(H110*1000/$C110,"NA")</f>
        <v>69.577003336544678</v>
      </c>
      <c r="F110" s="1938">
        <f t="shared" ref="F110:G114" si="38">IFERROR(I110*1000000/$C110,"NA")</f>
        <v>4.3480266123927427</v>
      </c>
      <c r="G110" s="1938">
        <f t="shared" si="38"/>
        <v>1.8592438959343458</v>
      </c>
      <c r="H110" s="699">
        <v>418.99551792193483</v>
      </c>
      <c r="I110" s="699">
        <v>2.6183991477554305E-2</v>
      </c>
      <c r="J110" s="699">
        <v>1.1196441665532852E-2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7" t="s">
        <v>344</v>
      </c>
      <c r="C152" s="4498"/>
      <c r="D152" s="4498"/>
      <c r="E152" s="4498"/>
      <c r="F152" s="4498"/>
      <c r="G152" s="4498"/>
      <c r="H152" s="4498"/>
      <c r="I152" s="4498"/>
      <c r="J152" s="4498"/>
      <c r="K152" s="4499"/>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2459</v>
      </c>
    </row>
    <row r="2" spans="2:20" ht="16.350000000000001" customHeight="1" x14ac:dyDescent="0.3">
      <c r="B2" s="209" t="s">
        <v>346</v>
      </c>
      <c r="C2" s="209"/>
      <c r="D2" s="209"/>
      <c r="E2" s="209"/>
      <c r="F2" s="209"/>
      <c r="G2" s="209"/>
      <c r="H2" s="209"/>
      <c r="I2" s="209"/>
      <c r="J2" s="209"/>
      <c r="S2" s="28"/>
      <c r="T2" s="14" t="s">
        <v>2460</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1183778</v>
      </c>
      <c r="G11" s="3326">
        <v>449049.98014200001</v>
      </c>
      <c r="H11" s="3326">
        <v>266474</v>
      </c>
      <c r="I11" s="3346"/>
      <c r="J11" s="3326">
        <v>-12200</v>
      </c>
      <c r="K11" s="3334">
        <f t="shared" ref="K11:K28" si="0">IF((SUM(F11:G11)-SUM(H11:J11))=0,"NO",(SUM(F11:G11)-SUM(H11:J11)))</f>
        <v>1378553.9801420001</v>
      </c>
      <c r="L11" s="2597">
        <f>IF(K11="NO","NA",1)</f>
        <v>1</v>
      </c>
      <c r="M11" s="5" t="s">
        <v>97</v>
      </c>
      <c r="N11" s="3334">
        <f>K11</f>
        <v>1378553.9801420001</v>
      </c>
      <c r="O11" s="3307">
        <v>18.980716253443529</v>
      </c>
      <c r="P11" s="3334">
        <f>IFERROR(N11*O11/1000,"NA")</f>
        <v>26165.94193713053</v>
      </c>
      <c r="Q11" s="3334" t="str">
        <f>'Table1.A(d)'!G11</f>
        <v>NA</v>
      </c>
      <c r="R11" s="3334">
        <f>IF(SUM(P11,-SUM(Q11))=0,"NO",SUM(P11,-SUM(Q11)))</f>
        <v>26165.94193713053</v>
      </c>
      <c r="S11" s="2597">
        <f>IF(R11="NO","NA",1)</f>
        <v>1</v>
      </c>
      <c r="T11" s="3340">
        <f>IF(R11="NO","NO",R11*S11*44/12)</f>
        <v>95941.787102811955</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108291.5</v>
      </c>
      <c r="G13" s="3326" t="s">
        <v>199</v>
      </c>
      <c r="H13" s="3326" t="s">
        <v>199</v>
      </c>
      <c r="I13" s="3346"/>
      <c r="J13" s="3326" t="s">
        <v>199</v>
      </c>
      <c r="K13" s="3334">
        <f t="shared" si="0"/>
        <v>108291.5</v>
      </c>
      <c r="L13" s="2597">
        <f t="shared" si="1"/>
        <v>1</v>
      </c>
      <c r="M13" s="5" t="s">
        <v>97</v>
      </c>
      <c r="N13" s="3334">
        <f t="shared" si="2"/>
        <v>108291.5</v>
      </c>
      <c r="O13" s="3307">
        <v>16.315522287697391</v>
      </c>
      <c r="P13" s="3334">
        <f t="shared" si="3"/>
        <v>1766.8323818181821</v>
      </c>
      <c r="Q13" s="3334" t="str">
        <f>'Table1.A(d)'!G13</f>
        <v>NA</v>
      </c>
      <c r="R13" s="3334">
        <f>IF(SUM(P13,-SUM(Q13))=0,"NO",SUM(P13,-SUM(Q13)))</f>
        <v>1766.8323818181821</v>
      </c>
      <c r="S13" s="2597">
        <f t="shared" si="4"/>
        <v>1</v>
      </c>
      <c r="T13" s="3340">
        <f t="shared" si="5"/>
        <v>6478.3854000000001</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58533.460849000003</v>
      </c>
      <c r="H15" s="3326">
        <v>9987.44</v>
      </c>
      <c r="I15" s="3326" t="s">
        <v>199</v>
      </c>
      <c r="J15" s="3326">
        <v>5521.3243243243223</v>
      </c>
      <c r="K15" s="3334">
        <f t="shared" si="0"/>
        <v>43024.696524675681</v>
      </c>
      <c r="L15" s="2597">
        <f>IF(K15="NO","NA",1)</f>
        <v>1</v>
      </c>
      <c r="M15" s="5" t="s">
        <v>97</v>
      </c>
      <c r="N15" s="3334">
        <f t="shared" si="2"/>
        <v>43024.696524675681</v>
      </c>
      <c r="O15" s="3307">
        <v>18.38924450570898</v>
      </c>
      <c r="P15" s="3334">
        <f t="shared" si="3"/>
        <v>791.19166417618851</v>
      </c>
      <c r="Q15" s="3334" t="str">
        <f>'Table1.A(d)'!G15</f>
        <v>NA</v>
      </c>
      <c r="R15" s="3334">
        <f>IF(SUM(P15,-SUM(Q15))=0,"NO",SUM(P15,-SUM(Q15)))</f>
        <v>791.19166417618851</v>
      </c>
      <c r="S15" s="2597">
        <f>IF(R15="NO","NA",1)</f>
        <v>1</v>
      </c>
      <c r="T15" s="3340">
        <f>IF(R15="NO","NO",R15*S15*44/12)</f>
        <v>2901.0361019793581</v>
      </c>
    </row>
    <row r="16" spans="2:20" ht="18" customHeight="1" x14ac:dyDescent="0.2">
      <c r="B16" s="1730"/>
      <c r="C16" s="1570"/>
      <c r="D16" s="36" t="s">
        <v>293</v>
      </c>
      <c r="E16" s="2595" t="s">
        <v>374</v>
      </c>
      <c r="F16" s="3347"/>
      <c r="G16" s="3326">
        <v>8607.52</v>
      </c>
      <c r="H16" s="3326">
        <v>19897.760000000002</v>
      </c>
      <c r="I16" s="3326">
        <v>62970</v>
      </c>
      <c r="J16" s="3326">
        <v>698.03783783783877</v>
      </c>
      <c r="K16" s="3334">
        <f t="shared" si="0"/>
        <v>-74958.277837837843</v>
      </c>
      <c r="L16" s="2597">
        <f t="shared" ref="L16:L28" si="6">IF(K16="NO","NA",1)</f>
        <v>1</v>
      </c>
      <c r="M16" s="5" t="s">
        <v>97</v>
      </c>
      <c r="N16" s="3334">
        <f t="shared" si="2"/>
        <v>-74958.277837837843</v>
      </c>
      <c r="O16" s="3307">
        <v>18.981818181818181</v>
      </c>
      <c r="P16" s="3334">
        <f t="shared" si="3"/>
        <v>-1422.8444011400491</v>
      </c>
      <c r="Q16" s="3334" t="str">
        <f>'Table1.A(d)'!G16</f>
        <v>NA</v>
      </c>
      <c r="R16" s="3334">
        <f t="shared" ref="R16:R44" si="7">IF(SUM(P16,-SUM(Q16))=0,"NO",SUM(P16,-SUM(Q16)))</f>
        <v>-1422.8444011400491</v>
      </c>
      <c r="S16" s="2597">
        <f t="shared" ref="S16:S28" si="8">IF(R16="NO","NA",1)</f>
        <v>1</v>
      </c>
      <c r="T16" s="3340">
        <f t="shared" ref="T16:T28" si="9">IF(R16="NO","NO",R16*S16*44/12)</f>
        <v>-5217.096137513513</v>
      </c>
    </row>
    <row r="17" spans="2:20" ht="18" customHeight="1" x14ac:dyDescent="0.2">
      <c r="B17" s="1730"/>
      <c r="C17" s="1570"/>
      <c r="D17" s="36" t="s">
        <v>379</v>
      </c>
      <c r="E17" s="2595" t="s">
        <v>374</v>
      </c>
      <c r="F17" s="3346"/>
      <c r="G17" s="3326">
        <v>1416.4200000000003</v>
      </c>
      <c r="H17" s="3326">
        <v>812.52</v>
      </c>
      <c r="I17" s="3326" t="s">
        <v>199</v>
      </c>
      <c r="J17" s="3326">
        <v>-182.07263513513533</v>
      </c>
      <c r="K17" s="3334">
        <f t="shared" si="0"/>
        <v>785.97263513513565</v>
      </c>
      <c r="L17" s="2597">
        <f t="shared" si="6"/>
        <v>1</v>
      </c>
      <c r="M17" s="5" t="s">
        <v>97</v>
      </c>
      <c r="N17" s="3334">
        <f t="shared" si="2"/>
        <v>785.97263513513565</v>
      </c>
      <c r="O17" s="3307">
        <v>18.790909090909089</v>
      </c>
      <c r="P17" s="3334">
        <f t="shared" si="3"/>
        <v>14.769140334766593</v>
      </c>
      <c r="Q17" s="3334" t="str">
        <f>'Table1.A(d)'!G17</f>
        <v>NA</v>
      </c>
      <c r="R17" s="3334">
        <f t="shared" si="7"/>
        <v>14.769140334766593</v>
      </c>
      <c r="S17" s="2597">
        <f t="shared" si="8"/>
        <v>1</v>
      </c>
      <c r="T17" s="3340">
        <f t="shared" si="9"/>
        <v>54.153514560810841</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39684.660000000003</v>
      </c>
      <c r="H19" s="3326">
        <v>29173.880000000005</v>
      </c>
      <c r="I19" s="3326">
        <v>5580</v>
      </c>
      <c r="J19" s="3326">
        <v>29686.062162162161</v>
      </c>
      <c r="K19" s="3334">
        <f t="shared" si="0"/>
        <v>-24755.282162162162</v>
      </c>
      <c r="L19" s="2597">
        <f t="shared" si="6"/>
        <v>1</v>
      </c>
      <c r="M19" s="5" t="s">
        <v>97</v>
      </c>
      <c r="N19" s="3334">
        <f t="shared" si="2"/>
        <v>-24755.282162162162</v>
      </c>
      <c r="O19" s="3307">
        <v>19.06363636363637</v>
      </c>
      <c r="P19" s="3334">
        <f t="shared" si="3"/>
        <v>-471.92569721867335</v>
      </c>
      <c r="Q19" s="3334" t="str">
        <f>'Table1.A(d)'!G19</f>
        <v>NA</v>
      </c>
      <c r="R19" s="3334">
        <f t="shared" si="7"/>
        <v>-471.92569721867335</v>
      </c>
      <c r="S19" s="2597">
        <f t="shared" si="8"/>
        <v>1</v>
      </c>
      <c r="T19" s="3340">
        <f t="shared" si="9"/>
        <v>-1730.3942231351357</v>
      </c>
    </row>
    <row r="20" spans="2:20" ht="18" customHeight="1" x14ac:dyDescent="0.2">
      <c r="B20" s="1730"/>
      <c r="C20" s="1570"/>
      <c r="D20" s="36" t="s">
        <v>306</v>
      </c>
      <c r="E20" s="2595" t="s">
        <v>374</v>
      </c>
      <c r="F20" s="3346"/>
      <c r="G20" s="3326">
        <v>39168</v>
      </c>
      <c r="H20" s="3326">
        <v>18090.72</v>
      </c>
      <c r="I20" s="3326">
        <v>22930</v>
      </c>
      <c r="J20" s="3326">
        <v>4804.986486486484</v>
      </c>
      <c r="K20" s="3334">
        <f t="shared" si="0"/>
        <v>-6657.7064864864878</v>
      </c>
      <c r="L20" s="2597">
        <f t="shared" si="6"/>
        <v>1</v>
      </c>
      <c r="M20" s="5" t="s">
        <v>97</v>
      </c>
      <c r="N20" s="3334">
        <f t="shared" si="2"/>
        <v>-6657.7064864864878</v>
      </c>
      <c r="O20" s="3307">
        <v>20.072727272727271</v>
      </c>
      <c r="P20" s="3334">
        <f t="shared" si="3"/>
        <v>-133.63832656511059</v>
      </c>
      <c r="Q20" s="3334" t="str">
        <f>'Table1.A(d)'!G20</f>
        <v>NA</v>
      </c>
      <c r="R20" s="3334">
        <f t="shared" si="7"/>
        <v>-133.63832656511059</v>
      </c>
      <c r="S20" s="2597">
        <f t="shared" si="8"/>
        <v>1</v>
      </c>
      <c r="T20" s="3340">
        <f t="shared" si="9"/>
        <v>-490.00719740540552</v>
      </c>
    </row>
    <row r="21" spans="2:20" ht="18" customHeight="1" x14ac:dyDescent="0.2">
      <c r="B21" s="1730"/>
      <c r="C21" s="1570"/>
      <c r="D21" s="36" t="s">
        <v>283</v>
      </c>
      <c r="E21" s="2595" t="s">
        <v>374</v>
      </c>
      <c r="F21" s="3346"/>
      <c r="G21" s="3326">
        <v>2192.2099999999996</v>
      </c>
      <c r="H21" s="3326">
        <v>53546.400000000001</v>
      </c>
      <c r="I21" s="3346"/>
      <c r="J21" s="3326">
        <v>2341.4932432432433</v>
      </c>
      <c r="K21" s="3334">
        <f t="shared" si="0"/>
        <v>-53695.683243243249</v>
      </c>
      <c r="L21" s="2597">
        <f t="shared" si="6"/>
        <v>1</v>
      </c>
      <c r="M21" s="5" t="s">
        <v>97</v>
      </c>
      <c r="N21" s="3334">
        <f t="shared" si="2"/>
        <v>-53695.683243243249</v>
      </c>
      <c r="O21" s="3307">
        <v>16.418181818181822</v>
      </c>
      <c r="P21" s="3334">
        <f t="shared" si="3"/>
        <v>-881.58549033906661</v>
      </c>
      <c r="Q21" s="3334" t="str">
        <f>'Table1.A(d)'!G21</f>
        <v>NA</v>
      </c>
      <c r="R21" s="3334">
        <f t="shared" si="7"/>
        <v>-881.58549033906661</v>
      </c>
      <c r="S21" s="2597">
        <f t="shared" si="8"/>
        <v>1</v>
      </c>
      <c r="T21" s="3340">
        <f t="shared" si="9"/>
        <v>-3232.4801312432442</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2925.9999999999995</v>
      </c>
      <c r="H24" s="3326">
        <v>35.200000000000003</v>
      </c>
      <c r="I24" s="3346"/>
      <c r="J24" s="3326">
        <v>-149.59425675675701</v>
      </c>
      <c r="K24" s="3334">
        <f t="shared" si="0"/>
        <v>3040.3942567567565</v>
      </c>
      <c r="L24" s="2597">
        <f t="shared" si="6"/>
        <v>1</v>
      </c>
      <c r="M24" s="5" t="s">
        <v>97</v>
      </c>
      <c r="N24" s="3334">
        <f t="shared" si="2"/>
        <v>3040.3942567567565</v>
      </c>
      <c r="O24" s="3307">
        <v>22.009090909090911</v>
      </c>
      <c r="P24" s="3334">
        <f t="shared" si="3"/>
        <v>66.916313596437348</v>
      </c>
      <c r="Q24" s="3334">
        <f>'Table1.A(d)'!G24</f>
        <v>622.85727272727274</v>
      </c>
      <c r="R24" s="3334">
        <f t="shared" si="7"/>
        <v>-555.94095913083538</v>
      </c>
      <c r="S24" s="2597">
        <f t="shared" si="8"/>
        <v>1</v>
      </c>
      <c r="T24" s="3340">
        <f t="shared" si="9"/>
        <v>-2038.4501834797295</v>
      </c>
    </row>
    <row r="25" spans="2:20" ht="18" customHeight="1" x14ac:dyDescent="0.2">
      <c r="B25" s="1730"/>
      <c r="C25" s="1570"/>
      <c r="D25" s="36" t="s">
        <v>297</v>
      </c>
      <c r="E25" s="2595" t="s">
        <v>374</v>
      </c>
      <c r="F25" s="3346"/>
      <c r="G25" s="3326">
        <v>2141.7599999999998</v>
      </c>
      <c r="H25" s="3326">
        <v>9785.3599999999988</v>
      </c>
      <c r="I25" s="3326" t="s">
        <v>199</v>
      </c>
      <c r="J25" s="3326">
        <v>-813.89662162162097</v>
      </c>
      <c r="K25" s="3334">
        <f t="shared" si="0"/>
        <v>-6829.7033783783772</v>
      </c>
      <c r="L25" s="2597">
        <f t="shared" si="6"/>
        <v>1</v>
      </c>
      <c r="M25" s="5" t="s">
        <v>97</v>
      </c>
      <c r="N25" s="3334">
        <f t="shared" si="2"/>
        <v>-6829.7033783783772</v>
      </c>
      <c r="O25" s="3307">
        <v>18.991363636363641</v>
      </c>
      <c r="P25" s="3334">
        <f t="shared" si="3"/>
        <v>-129.70538038728503</v>
      </c>
      <c r="Q25" s="3334">
        <f>'Table1.A(d)'!G25</f>
        <v>381.7264090909091</v>
      </c>
      <c r="R25" s="3334">
        <f t="shared" si="7"/>
        <v>-511.4317894781941</v>
      </c>
      <c r="S25" s="2597">
        <f t="shared" si="8"/>
        <v>1</v>
      </c>
      <c r="T25" s="3340">
        <f t="shared" si="9"/>
        <v>-1875.2498947533784</v>
      </c>
    </row>
    <row r="26" spans="2:20" ht="18" customHeight="1" x14ac:dyDescent="0.2">
      <c r="B26" s="1730"/>
      <c r="C26" s="1570"/>
      <c r="D26" s="36" t="s">
        <v>384</v>
      </c>
      <c r="E26" s="2595" t="s">
        <v>374</v>
      </c>
      <c r="F26" s="3346"/>
      <c r="G26" s="3326">
        <v>8822.5840837296601</v>
      </c>
      <c r="H26" s="3326" t="s">
        <v>199</v>
      </c>
      <c r="I26" s="3346"/>
      <c r="J26" s="3326" t="s">
        <v>199</v>
      </c>
      <c r="K26" s="3334">
        <f t="shared" si="0"/>
        <v>8822.5840837296601</v>
      </c>
      <c r="L26" s="2597">
        <f t="shared" si="6"/>
        <v>1</v>
      </c>
      <c r="M26" s="5" t="s">
        <v>97</v>
      </c>
      <c r="N26" s="3334">
        <f t="shared" si="2"/>
        <v>8822.5840837296601</v>
      </c>
      <c r="O26" s="3307">
        <v>25.26136363636364</v>
      </c>
      <c r="P26" s="3334">
        <f t="shared" si="3"/>
        <v>222.87050475148905</v>
      </c>
      <c r="Q26" s="3334">
        <f>'Table1.A(d)'!G26</f>
        <v>222.87050475148905</v>
      </c>
      <c r="R26" s="3334" t="str">
        <f t="shared" si="7"/>
        <v>NO</v>
      </c>
      <c r="S26" s="2597" t="str">
        <f t="shared" si="8"/>
        <v>NA</v>
      </c>
      <c r="T26" s="3340" t="str">
        <f t="shared" si="9"/>
        <v>NO</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17714.000000000004</v>
      </c>
      <c r="H28" s="3326">
        <v>8632.6</v>
      </c>
      <c r="I28" s="3346"/>
      <c r="J28" s="3326">
        <v>19102.685810810814</v>
      </c>
      <c r="K28" s="3334">
        <f t="shared" si="0"/>
        <v>-10021.285810810808</v>
      </c>
      <c r="L28" s="2597">
        <f t="shared" si="6"/>
        <v>1</v>
      </c>
      <c r="M28" s="5" t="s">
        <v>97</v>
      </c>
      <c r="N28" s="3334">
        <f t="shared" si="2"/>
        <v>-10021.285810810808</v>
      </c>
      <c r="O28" s="3307">
        <v>19.03597497042735</v>
      </c>
      <c r="P28" s="3334">
        <f t="shared" si="3"/>
        <v>-190.76494586609331</v>
      </c>
      <c r="Q28" s="3334">
        <f>'Table1.A(d)'!G28</f>
        <v>563.01325131180784</v>
      </c>
      <c r="R28" s="3334">
        <f t="shared" si="7"/>
        <v>-753.77819717790112</v>
      </c>
      <c r="S28" s="2597">
        <f t="shared" si="8"/>
        <v>1</v>
      </c>
      <c r="T28" s="3340">
        <f t="shared" si="9"/>
        <v>-2763.853389652304</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1365601.1887233781</v>
      </c>
      <c r="O31" s="3329"/>
      <c r="P31" s="3336">
        <f>SUM(P11:P29)</f>
        <v>25798.057700291316</v>
      </c>
      <c r="Q31" s="3336">
        <f>SUM(Q11:Q29)</f>
        <v>2050.8214593385646</v>
      </c>
      <c r="R31" s="3334">
        <f t="shared" si="7"/>
        <v>23747.236240952752</v>
      </c>
      <c r="S31" s="2598"/>
      <c r="T31" s="3342">
        <f>SUM(T11:T29)</f>
        <v>87073.19955016012</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4231352.654751963</v>
      </c>
      <c r="G35" s="3326" t="s">
        <v>199</v>
      </c>
      <c r="H35" s="3326">
        <v>2965600</v>
      </c>
      <c r="I35" s="3326" t="s">
        <v>199</v>
      </c>
      <c r="J35" s="3326">
        <v>136300</v>
      </c>
      <c r="K35" s="3334">
        <f t="shared" si="10"/>
        <v>1129452.654751963</v>
      </c>
      <c r="L35" s="2597">
        <f t="shared" si="11"/>
        <v>1</v>
      </c>
      <c r="M35" s="55" t="s">
        <v>97</v>
      </c>
      <c r="N35" s="3334">
        <f t="shared" si="12"/>
        <v>1129452.654751963</v>
      </c>
      <c r="O35" s="3307">
        <v>23.813043615722599</v>
      </c>
      <c r="P35" s="3334">
        <f t="shared" si="13"/>
        <v>26895.705329502172</v>
      </c>
      <c r="Q35" s="3334">
        <f>'Table1.A(d)'!G35</f>
        <v>161.62010614842296</v>
      </c>
      <c r="R35" s="3334">
        <f t="shared" si="7"/>
        <v>26734.085223353748</v>
      </c>
      <c r="S35" s="2597">
        <f t="shared" si="14"/>
        <v>1</v>
      </c>
      <c r="T35" s="3340">
        <f t="shared" si="15"/>
        <v>98024.979152297077</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449543.35321326397</v>
      </c>
      <c r="G37" s="3326" t="s">
        <v>199</v>
      </c>
      <c r="H37" s="3326" t="s">
        <v>199</v>
      </c>
      <c r="I37" s="3346"/>
      <c r="J37" s="3326" t="s">
        <v>199</v>
      </c>
      <c r="K37" s="3334">
        <f t="shared" si="10"/>
        <v>449543.35321326397</v>
      </c>
      <c r="L37" s="2597">
        <f t="shared" si="11"/>
        <v>1</v>
      </c>
      <c r="M37" s="55" t="s">
        <v>97</v>
      </c>
      <c r="N37" s="3334">
        <f t="shared" si="12"/>
        <v>449543.35321326397</v>
      </c>
      <c r="O37" s="3307">
        <v>28.018286045729582</v>
      </c>
      <c r="P37" s="3334">
        <f t="shared" si="13"/>
        <v>12595.434260285678</v>
      </c>
      <c r="Q37" s="3334" t="str">
        <f>'Table1.A(d)'!G37</f>
        <v>NO</v>
      </c>
      <c r="R37" s="3334">
        <f t="shared" si="7"/>
        <v>12595.434260285678</v>
      </c>
      <c r="S37" s="2597">
        <f t="shared" si="14"/>
        <v>1</v>
      </c>
      <c r="T37" s="3340">
        <f t="shared" si="15"/>
        <v>46183.258954380814</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700</v>
      </c>
      <c r="I40" s="3346"/>
      <c r="J40" s="3326">
        <v>-900</v>
      </c>
      <c r="K40" s="3334">
        <f t="shared" ref="K40:K42" si="16">IF((SUM(F40:G40)-SUM(H40:J40))=0,"NO",(SUM(F40:G40)-SUM(H40:J40)))</f>
        <v>200</v>
      </c>
      <c r="L40" s="2597">
        <f t="shared" ref="L40:L42" si="17">IF(K40="NO","NA",1)</f>
        <v>1</v>
      </c>
      <c r="M40" s="55" t="s">
        <v>97</v>
      </c>
      <c r="N40" s="3334">
        <f t="shared" ref="N40:N42" si="18">K40</f>
        <v>200</v>
      </c>
      <c r="O40" s="3307">
        <v>25.90909090909091</v>
      </c>
      <c r="P40" s="3334">
        <f t="shared" ref="P40:P42" si="19">IFERROR(N40*O40/1000,"NA")</f>
        <v>5.1818181818181817</v>
      </c>
      <c r="Q40" s="3334" t="str">
        <f>'Table1.A(d)'!G40</f>
        <v>NA</v>
      </c>
      <c r="R40" s="3334">
        <f t="shared" si="7"/>
        <v>5.1818181818181817</v>
      </c>
      <c r="S40" s="2597">
        <f t="shared" ref="S40:S42" si="20">IF(R40="NO","NA",1)</f>
        <v>1</v>
      </c>
      <c r="T40" s="3340">
        <f t="shared" ref="T40:T42" si="21">IF(R40="NO","NO",R40*S40*44/12)</f>
        <v>19</v>
      </c>
    </row>
    <row r="41" spans="2:20" ht="18" customHeight="1" x14ac:dyDescent="0.2">
      <c r="B41" s="1730"/>
      <c r="C41" s="1570"/>
      <c r="D41" s="31" t="s">
        <v>397</v>
      </c>
      <c r="E41" s="2595" t="s">
        <v>374</v>
      </c>
      <c r="F41" s="3346"/>
      <c r="G41" s="3326" t="s">
        <v>199</v>
      </c>
      <c r="H41" s="3326">
        <v>15500</v>
      </c>
      <c r="I41" s="3346"/>
      <c r="J41" s="3326">
        <v>-7900</v>
      </c>
      <c r="K41" s="3334">
        <f t="shared" si="16"/>
        <v>-7600</v>
      </c>
      <c r="L41" s="2597">
        <f t="shared" si="17"/>
        <v>1</v>
      </c>
      <c r="M41" s="55" t="s">
        <v>97</v>
      </c>
      <c r="N41" s="3334">
        <f t="shared" si="18"/>
        <v>-7600</v>
      </c>
      <c r="O41" s="3307">
        <v>28.88333078833578</v>
      </c>
      <c r="P41" s="3334">
        <f t="shared" si="19"/>
        <v>-219.51331399135194</v>
      </c>
      <c r="Q41" s="3334">
        <f>'Table1.A(d)'!G41</f>
        <v>2551.1345950340442</v>
      </c>
      <c r="R41" s="3334">
        <f t="shared" si="7"/>
        <v>-2770.6479090253961</v>
      </c>
      <c r="S41" s="2597">
        <f t="shared" si="20"/>
        <v>1</v>
      </c>
      <c r="T41" s="3340">
        <f t="shared" si="21"/>
        <v>-10159.042333093119</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81.918908314521431</v>
      </c>
      <c r="R42" s="3334">
        <f t="shared" si="7"/>
        <v>-81.918908314521431</v>
      </c>
      <c r="S42" s="2597">
        <f t="shared" si="20"/>
        <v>1</v>
      </c>
      <c r="T42" s="3340">
        <f t="shared" si="21"/>
        <v>-300.36933048657858</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1571596.0079652269</v>
      </c>
      <c r="O45" s="3329"/>
      <c r="P45" s="3336">
        <f>SUM(P33:P43)</f>
        <v>39276.808093978318</v>
      </c>
      <c r="Q45" s="3336">
        <f>SUM(Q33:Q43)</f>
        <v>2794.6736094969888</v>
      </c>
      <c r="R45" s="3336">
        <f>SUM(R33:R43)</f>
        <v>36482.134484481321</v>
      </c>
      <c r="S45" s="41"/>
      <c r="T45" s="3342">
        <f>SUM(T33:T43)</f>
        <v>133767.82644309819</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786312.99999999988</v>
      </c>
      <c r="G47" s="3326" t="s">
        <v>199</v>
      </c>
      <c r="H47" s="3326">
        <v>109300</v>
      </c>
      <c r="I47" s="3326" t="s">
        <v>199</v>
      </c>
      <c r="J47" s="3326">
        <v>-100.00000000002274</v>
      </c>
      <c r="K47" s="3334">
        <f t="shared" ref="K47" si="22">IF((SUM(F47:G47)-SUM(H47:J47))=0,"NO",(SUM(F47:G47)-SUM(H47:J47)))</f>
        <v>677112.99999999988</v>
      </c>
      <c r="L47" s="2597">
        <f t="shared" ref="L47" si="23">IF(K47="NO","NA",1)</f>
        <v>1</v>
      </c>
      <c r="M47" s="55" t="s">
        <v>97</v>
      </c>
      <c r="N47" s="3334">
        <f t="shared" ref="N47" si="24">K47</f>
        <v>677112.99999999988</v>
      </c>
      <c r="O47" s="3307">
        <v>14.01783793292334</v>
      </c>
      <c r="P47" s="3334">
        <f t="shared" ref="P47" si="25">IFERROR(N47*O47/1000,"NA")</f>
        <v>9491.6602962755205</v>
      </c>
      <c r="Q47" s="3334">
        <f>'Table1.A(d)'!G47</f>
        <v>312.27939097852033</v>
      </c>
      <c r="R47" s="3334">
        <f t="shared" ref="R47" si="26">IF(SUM(P47,-SUM(Q47))=0,"NO",SUM(P47,-SUM(Q47)))</f>
        <v>9179.3809052970009</v>
      </c>
      <c r="S47" s="2597">
        <f t="shared" ref="S47" si="27">IF(R47="NO","NA",1)</f>
        <v>1</v>
      </c>
      <c r="T47" s="3340">
        <f t="shared" ref="T47" si="28">IF(R47="NO","NO",R47*S47*44/12)</f>
        <v>33657.729986089005</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677112.99999999988</v>
      </c>
      <c r="O50" s="3331"/>
      <c r="P50" s="3336">
        <f>SUM(P47:P48)</f>
        <v>9491.6602962755205</v>
      </c>
      <c r="Q50" s="3336">
        <f>SUM(Q47:Q48)</f>
        <v>312.27939097852033</v>
      </c>
      <c r="R50" s="3336">
        <f>SUM(R47:R48)</f>
        <v>9179.3809052970009</v>
      </c>
      <c r="S50" s="2379"/>
      <c r="T50" s="3342">
        <f>SUM(T47:T48)</f>
        <v>33657.729986089005</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3614310.196688605</v>
      </c>
      <c r="O55" s="3332"/>
      <c r="P55" s="3338">
        <f>SUM(P31,P45,P50,P54)</f>
        <v>74566.526090545143</v>
      </c>
      <c r="Q55" s="3338">
        <f>SUM(Q31,Q45,Q50,Q54)</f>
        <v>5157.7744598140735</v>
      </c>
      <c r="R55" s="3338">
        <f>SUM(R31,R45,R50,R54)</f>
        <v>69408.751630731073</v>
      </c>
      <c r="S55" s="2399"/>
      <c r="T55" s="3344">
        <f>SUM(T31,T45,T50,T54)</f>
        <v>254498.75597934733</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2459</v>
      </c>
    </row>
    <row r="2" spans="2:12" ht="16.5" customHeight="1" x14ac:dyDescent="0.3">
      <c r="B2" s="210" t="s">
        <v>417</v>
      </c>
      <c r="C2" s="210"/>
      <c r="D2" s="210"/>
      <c r="I2" s="14" t="s">
        <v>2460</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1365.6011887233781</v>
      </c>
      <c r="D10" s="4127">
        <f>C10-'Table1.A(d)'!E31/1000</f>
        <v>1259.3047047251448</v>
      </c>
      <c r="E10" s="4126">
        <f>'Table1.A(b)'!T31</f>
        <v>87073.19955016012</v>
      </c>
      <c r="F10" s="4126">
        <f>'Table1.A(a)s1'!C11/1000</f>
        <v>1268.2158120415129</v>
      </c>
      <c r="G10" s="4126">
        <f>'Table1.A(a)s1'!H11</f>
        <v>86336.676403455145</v>
      </c>
      <c r="H10" s="4126">
        <f>100*((D10-F10)/F10)</f>
        <v>-0.70264912578431082</v>
      </c>
      <c r="I10" s="4128">
        <f>100*((E10-G10)/G10)</f>
        <v>0.85308258018083616</v>
      </c>
      <c r="L10"/>
    </row>
    <row r="11" spans="2:12" ht="18" customHeight="1" x14ac:dyDescent="0.2">
      <c r="B11" s="50" t="s">
        <v>430</v>
      </c>
      <c r="C11" s="4126">
        <f>'Table1.A(b)'!N45/1000</f>
        <v>1571.5960079652268</v>
      </c>
      <c r="D11" s="4126">
        <f>C11-'Table1.A(d)'!E45/1000</f>
        <v>1473.0371425502613</v>
      </c>
      <c r="E11" s="4126">
        <f>'Table1.A(b)'!T45</f>
        <v>133767.82644309819</v>
      </c>
      <c r="F11" s="4126">
        <f>'Table1.A(a)s1'!C12/1000</f>
        <v>1446.3798742920553</v>
      </c>
      <c r="G11" s="4126">
        <f>'Table1.A(a)s1'!H12</f>
        <v>131681.32040912588</v>
      </c>
      <c r="H11" s="4126">
        <f t="shared" ref="H11:H13" si="0">100*((D11-F11)/F11)</f>
        <v>1.8430336823687892</v>
      </c>
      <c r="I11" s="4128">
        <f t="shared" ref="I11:I13" si="1">100*((E11-G11)/G11)</f>
        <v>1.5845117800229107</v>
      </c>
      <c r="L11"/>
    </row>
    <row r="12" spans="2:12" ht="18" customHeight="1" x14ac:dyDescent="0.2">
      <c r="B12" s="50" t="s">
        <v>431</v>
      </c>
      <c r="C12" s="4126">
        <f>'Table1.A(b)'!N50/1000</f>
        <v>677.11299999999983</v>
      </c>
      <c r="D12" s="4126">
        <f>C12-'Table1.A(d)'!E50/1000</f>
        <v>654.84142425307004</v>
      </c>
      <c r="E12" s="4126">
        <f>'Table1.A(b)'!T50</f>
        <v>33657.729986089005</v>
      </c>
      <c r="F12" s="4126">
        <f>'Table1.A(a)s1'!C13/1000</f>
        <v>648.16503492082279</v>
      </c>
      <c r="G12" s="4126">
        <f>'Table1.A(a)s1'!H13</f>
        <v>33346.502345855137</v>
      </c>
      <c r="H12" s="4126">
        <f t="shared" si="0"/>
        <v>1.0300446603175399</v>
      </c>
      <c r="I12" s="4128">
        <f t="shared" si="1"/>
        <v>0.93331419591162323</v>
      </c>
      <c r="L12"/>
    </row>
    <row r="13" spans="2:12" ht="18" customHeight="1" x14ac:dyDescent="0.2">
      <c r="B13" s="50" t="s">
        <v>432</v>
      </c>
      <c r="C13" s="4126">
        <f>'Table1.A(b)'!N54/1000</f>
        <v>0</v>
      </c>
      <c r="D13" s="4126">
        <f>C13-SUM('Table1.A(d)'!E54)/1000</f>
        <v>0</v>
      </c>
      <c r="E13" s="4126">
        <f>'Table1.A(b)'!T54</f>
        <v>0</v>
      </c>
      <c r="F13" s="4126">
        <f>'Table1.A(a)s1'!C14/1000</f>
        <v>3.5016857313595482</v>
      </c>
      <c r="G13" s="4126">
        <f>'Table1.A(a)s1'!H14</f>
        <v>314.78956410865493</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3614.3101966886047</v>
      </c>
      <c r="D15" s="4196">
        <f>SUM(D10:D14)</f>
        <v>3387.1832715284763</v>
      </c>
      <c r="E15" s="4196">
        <f>SUM(E10:E14)</f>
        <v>254498.75597934733</v>
      </c>
      <c r="F15" s="4196">
        <f>SUM(F10:F14)</f>
        <v>3366.2624069857502</v>
      </c>
      <c r="G15" s="4196">
        <f>SUM(G10:G14)</f>
        <v>251679.28872254482</v>
      </c>
      <c r="H15" s="4197">
        <f t="shared" ref="H15" si="2">100*((D15-F15)/F15)</f>
        <v>0.62148644441118528</v>
      </c>
      <c r="I15" s="4198">
        <f t="shared" ref="I15" si="3">100*((E15-G15)/G15)</f>
        <v>1.1202619298208274</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500" t="s">
        <v>435</v>
      </c>
      <c r="C35" s="4501"/>
      <c r="D35" s="4501"/>
      <c r="E35" s="4501"/>
      <c r="F35" s="4501"/>
      <c r="G35" s="4501"/>
      <c r="H35" s="4501"/>
      <c r="I35" s="4502"/>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www.w3.org/XML/1998/namespace"/>
    <ds:schemaRef ds:uri="81c01dc6-2c49-4730-b140-874c95cac377"/>
    <ds:schemaRef ds:uri="http://schemas.microsoft.com/office/2006/metadata/properties"/>
    <ds:schemaRef ds:uri="http://purl.org/dc/terms/"/>
    <ds:schemaRef ds:uri="http://schemas.microsoft.com/office/infopath/2007/PartnerControls"/>
    <ds:schemaRef ds:uri="http://purl.org/dc/dcmitype/"/>
    <ds:schemaRef ds:uri="http://schemas.microsoft.com/office/2006/documentManagement/types"/>
    <ds:schemaRef ds:uri="http://purl.org/dc/elements/1.1/"/>
    <ds:schemaRef ds:uri="http://schemas.openxmlformats.org/package/2006/metadata/core-properties"/>
    <ds:schemaRef ds:uri="3c3f7c97-9070-4768-a3ac-fb4f4af74aa6"/>
    <ds:schemaRef ds:uri="f3ac41a9-262d-4755-bd43-8a680e000c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2024-04-12T00:24:01Z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