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16" documentId="13_ncr:1_{F49A09E8-FBA9-40CE-847C-DBFA997039AA}" xr6:coauthVersionLast="47" xr6:coauthVersionMax="47" xr10:uidLastSave="{57EBC73C-B820-466C-9860-16820D1346EC}"/>
  <bookViews>
    <workbookView xWindow="1200" yWindow="930" windowWidth="26415" windowHeight="1437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N11" i="125" s="1"/>
  <c r="AL10" i="125"/>
  <c r="AO10" i="125" s="1"/>
  <c r="AH10" i="75"/>
  <c r="AH72" i="75" s="1"/>
  <c r="AH22" i="125" s="1"/>
  <c r="AH35" i="125" s="1"/>
  <c r="AN14" i="125"/>
  <c r="AL14" i="125"/>
  <c r="AN12" i="125"/>
  <c r="AL12" i="125"/>
  <c r="AN15" i="125"/>
  <c r="AL15" i="125"/>
  <c r="AN29" i="125"/>
  <c r="AL29"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I22" i="70"/>
  <c r="C30" i="70"/>
  <c r="Q26" i="70"/>
  <c r="I50" i="70"/>
  <c r="I18" i="70" l="1"/>
  <c r="C22" i="70"/>
  <c r="O12" i="70"/>
  <c r="I41" i="70"/>
  <c r="O41" i="70"/>
  <c r="O50" i="70"/>
  <c r="C18" i="70"/>
  <c r="O18" i="70"/>
  <c r="O11" i="70" s="1"/>
  <c r="O10" i="70" s="1"/>
  <c r="C41" i="70"/>
  <c r="O30" i="70"/>
  <c r="I30" i="70"/>
  <c r="T26" i="70"/>
  <c r="R26" i="70"/>
  <c r="S26" i="70"/>
  <c r="O22" i="70"/>
  <c r="I12" i="70"/>
  <c r="I11" i="70" s="1"/>
  <c r="C12" i="70"/>
  <c r="C11" i="70" s="1"/>
  <c r="C10" i="70" s="1"/>
  <c r="I10" i="70" l="1"/>
  <c r="C10" i="73" l="1"/>
  <c r="E34" i="73" s="1"/>
  <c r="E35" i="73" s="1"/>
  <c r="D282" i="56" l="1"/>
  <c r="D302" i="56"/>
  <c r="D281" i="56"/>
  <c r="D415" i="56"/>
  <c r="D423" i="56"/>
  <c r="C17" i="124"/>
  <c r="C11" i="124"/>
  <c r="C10" i="124" s="1"/>
  <c r="D411" i="56" l="1"/>
  <c r="D331" i="56"/>
  <c r="D327" i="56" s="1"/>
  <c r="D277" i="56"/>
  <c r="R18" i="50"/>
  <c r="R13" i="50" s="1"/>
  <c r="R10" i="50" s="1"/>
  <c r="Q17" i="52"/>
  <c r="Q11" i="52" s="1"/>
  <c r="Q10" i="52" s="1"/>
  <c r="Q11" i="53"/>
  <c r="P11" i="53"/>
  <c r="R21" i="51"/>
  <c r="R15" i="51" s="1"/>
  <c r="R10" i="51" s="1"/>
  <c r="Q21" i="51" l="1"/>
  <c r="S22" i="51"/>
  <c r="S21" i="51" s="1"/>
  <c r="D12" i="51"/>
  <c r="K12" i="51"/>
  <c r="K18" i="52"/>
  <c r="D18" i="52"/>
  <c r="F18" i="50"/>
  <c r="L19" i="50"/>
  <c r="D22" i="51"/>
  <c r="K22" i="51"/>
  <c r="E21" i="51"/>
  <c r="K21" i="51" s="1"/>
  <c r="L22" i="51"/>
  <c r="F21" i="51"/>
  <c r="D15" i="52"/>
  <c r="E14" i="52"/>
  <c r="K15" i="52"/>
  <c r="D16" i="52"/>
  <c r="K16" i="52"/>
  <c r="I35" i="47"/>
  <c r="Q18" i="50"/>
  <c r="S19" i="50"/>
  <c r="S18" i="50" s="1"/>
  <c r="N11" i="53"/>
  <c r="E18" i="50"/>
  <c r="D19" i="50"/>
  <c r="K19" i="50"/>
  <c r="P17" i="52"/>
  <c r="P11" i="52" s="1"/>
  <c r="P10" i="52" s="1"/>
  <c r="P11" i="51"/>
  <c r="K18" i="50" l="1"/>
  <c r="N11" i="51"/>
  <c r="O14" i="51"/>
  <c r="S14" i="51" s="1"/>
  <c r="G22" i="51"/>
  <c r="I22" i="51"/>
  <c r="H22" i="51"/>
  <c r="D21" i="51"/>
  <c r="J22" i="51"/>
  <c r="N17" i="52"/>
  <c r="N11" i="52" s="1"/>
  <c r="O19" i="52"/>
  <c r="S19" i="52" s="1"/>
  <c r="P22" i="49"/>
  <c r="U22" i="49" s="1"/>
  <c r="J16" i="52"/>
  <c r="H16" i="52"/>
  <c r="G16" i="52"/>
  <c r="I16" i="52"/>
  <c r="F13" i="50"/>
  <c r="L18" i="50"/>
  <c r="G19" i="50"/>
  <c r="I19" i="50"/>
  <c r="J19" i="50"/>
  <c r="D18" i="50"/>
  <c r="H19" i="50"/>
  <c r="O18" i="52"/>
  <c r="J18" i="52"/>
  <c r="G18" i="52"/>
  <c r="H18" i="52"/>
  <c r="I18" i="52"/>
  <c r="O12" i="51"/>
  <c r="I12" i="51" s="1"/>
  <c r="M11" i="51"/>
  <c r="K14" i="52"/>
  <c r="H15" i="52"/>
  <c r="J15" i="52"/>
  <c r="I15" i="52"/>
  <c r="D14" i="52"/>
  <c r="G15" i="52"/>
  <c r="M11" i="53"/>
  <c r="O12" i="53"/>
  <c r="L21" i="51"/>
  <c r="F15" i="51"/>
  <c r="H12" i="51"/>
  <c r="G12" i="51"/>
  <c r="J12" i="51"/>
  <c r="P14" i="49"/>
  <c r="G45" i="59"/>
  <c r="G22" i="59"/>
  <c r="G16" i="59"/>
  <c r="M17" i="52" l="1"/>
  <c r="M11" i="52" s="1"/>
  <c r="P15" i="49"/>
  <c r="U15" i="49" s="1"/>
  <c r="G18" i="59"/>
  <c r="F17" i="59"/>
  <c r="G17" i="59" s="1"/>
  <c r="G51" i="59"/>
  <c r="F50" i="59"/>
  <c r="J18" i="50"/>
  <c r="I18" i="50"/>
  <c r="G18" i="50"/>
  <c r="H18" i="50"/>
  <c r="O11" i="53"/>
  <c r="S12" i="53"/>
  <c r="S11" i="53" s="1"/>
  <c r="S12" i="51"/>
  <c r="O11" i="51"/>
  <c r="G24" i="59"/>
  <c r="F23" i="59"/>
  <c r="G23" i="59" s="1"/>
  <c r="I21" i="51"/>
  <c r="H21" i="51"/>
  <c r="J21" i="51"/>
  <c r="G21" i="51"/>
  <c r="G14" i="59"/>
  <c r="L13" i="50"/>
  <c r="F10" i="50"/>
  <c r="L10" i="50" s="1"/>
  <c r="L15" i="51"/>
  <c r="F10" i="51"/>
  <c r="L10" i="51" s="1"/>
  <c r="I14" i="52"/>
  <c r="G14" i="52"/>
  <c r="H14" i="52"/>
  <c r="J14" i="52"/>
  <c r="O17" i="52"/>
  <c r="O11" i="52" s="1"/>
  <c r="S18" i="52"/>
  <c r="S17" i="52" s="1"/>
  <c r="S11" i="52" s="1"/>
  <c r="G39" i="59"/>
  <c r="F38" i="59"/>
  <c r="O18" i="51"/>
  <c r="S18" i="51" s="1"/>
  <c r="G38" i="59" l="1"/>
  <c r="F37" i="59"/>
  <c r="F49" i="59"/>
  <c r="G50" i="59"/>
  <c r="C21" i="47"/>
  <c r="C24" i="47"/>
  <c r="T23" i="49"/>
  <c r="T16" i="49" s="1"/>
  <c r="T10" i="49" s="1"/>
  <c r="Q16" i="51"/>
  <c r="Q15" i="51" s="1"/>
  <c r="D21" i="49"/>
  <c r="Q14" i="53"/>
  <c r="Q13" i="53" s="1"/>
  <c r="Q10" i="53" s="1"/>
  <c r="R14" i="53"/>
  <c r="R13" i="53" s="1"/>
  <c r="R10" i="53" s="1"/>
  <c r="Q14" i="50"/>
  <c r="Q13" i="50" s="1"/>
  <c r="S25" i="49"/>
  <c r="S17" i="49"/>
  <c r="S11" i="49"/>
  <c r="L15" i="53" l="1"/>
  <c r="F14" i="53"/>
  <c r="D15" i="53"/>
  <c r="D17" i="51"/>
  <c r="E16" i="51"/>
  <c r="K17" i="51"/>
  <c r="D26" i="49"/>
  <c r="L26" i="49"/>
  <c r="E25" i="49"/>
  <c r="D13" i="49"/>
  <c r="L13" i="49"/>
  <c r="M24" i="49"/>
  <c r="D24" i="49"/>
  <c r="F23" i="49"/>
  <c r="G33" i="59"/>
  <c r="F32" i="59"/>
  <c r="D12" i="49"/>
  <c r="L12" i="49"/>
  <c r="E14" i="53"/>
  <c r="K16" i="53"/>
  <c r="D16" i="53"/>
  <c r="E17" i="49"/>
  <c r="D18" i="49"/>
  <c r="L18" i="49"/>
  <c r="E14" i="50"/>
  <c r="K15" i="50"/>
  <c r="D15" i="50"/>
  <c r="G49" i="59"/>
  <c r="F48" i="59"/>
  <c r="G48" i="59" s="1"/>
  <c r="F66" i="59"/>
  <c r="G67" i="59"/>
  <c r="F43" i="59"/>
  <c r="G44" i="59"/>
  <c r="G37" i="59"/>
  <c r="K37" i="52"/>
  <c r="E36" i="52"/>
  <c r="D37" i="52"/>
  <c r="H21" i="59"/>
  <c r="F20" i="59"/>
  <c r="G21" i="59"/>
  <c r="I21" i="59"/>
  <c r="Q17" i="49"/>
  <c r="R25" i="49"/>
  <c r="R17" i="49"/>
  <c r="P16" i="51"/>
  <c r="P15" i="51" s="1"/>
  <c r="P10" i="51" s="1"/>
  <c r="O25" i="49"/>
  <c r="N14" i="50"/>
  <c r="N13" i="50" s="1"/>
  <c r="N16" i="51"/>
  <c r="N15" i="51" s="1"/>
  <c r="N10" i="51" s="1"/>
  <c r="N36" i="52"/>
  <c r="N35" i="52" s="1"/>
  <c r="N23" i="52" s="1"/>
  <c r="N10" i="52" s="1"/>
  <c r="O17" i="49"/>
  <c r="P14" i="50"/>
  <c r="P13" i="50" s="1"/>
  <c r="P10" i="50" s="1"/>
  <c r="O23" i="49"/>
  <c r="Q23" i="49"/>
  <c r="Q25" i="49"/>
  <c r="J21" i="49"/>
  <c r="R23" i="49"/>
  <c r="K21" i="49"/>
  <c r="L21" i="49"/>
  <c r="O11" i="49"/>
  <c r="Q19" i="49" l="1"/>
  <c r="Q16" i="49" s="1"/>
  <c r="H13" i="49"/>
  <c r="J13" i="49"/>
  <c r="K13" i="49"/>
  <c r="G13" i="49"/>
  <c r="P12" i="49"/>
  <c r="N11" i="49"/>
  <c r="M16" i="51"/>
  <c r="M15" i="51" s="1"/>
  <c r="M10" i="51" s="1"/>
  <c r="O17" i="51"/>
  <c r="I17" i="51" s="1"/>
  <c r="J15" i="53"/>
  <c r="L25" i="49"/>
  <c r="C18" i="57"/>
  <c r="G15" i="50"/>
  <c r="J15" i="50"/>
  <c r="D14" i="50"/>
  <c r="H15" i="50"/>
  <c r="J26" i="49"/>
  <c r="H26" i="49"/>
  <c r="D25" i="49"/>
  <c r="G26" i="49"/>
  <c r="K26" i="49"/>
  <c r="I26" i="49"/>
  <c r="E19" i="49"/>
  <c r="D20" i="49"/>
  <c r="L20" i="49"/>
  <c r="S19" i="49"/>
  <c r="S16" i="49" s="1"/>
  <c r="S10" i="49" s="1"/>
  <c r="F19" i="59"/>
  <c r="G20" i="59"/>
  <c r="G43" i="59"/>
  <c r="F42" i="59"/>
  <c r="M14" i="50"/>
  <c r="M13" i="50" s="1"/>
  <c r="O15" i="50"/>
  <c r="K12" i="49"/>
  <c r="H12" i="49"/>
  <c r="G12" i="49"/>
  <c r="J12" i="49"/>
  <c r="I12" i="49"/>
  <c r="P26" i="49"/>
  <c r="N25" i="49"/>
  <c r="C23" i="57"/>
  <c r="E13" i="50"/>
  <c r="K13" i="50" s="1"/>
  <c r="K14" i="50"/>
  <c r="G32" i="59"/>
  <c r="F31" i="59"/>
  <c r="G15" i="59"/>
  <c r="F13" i="59"/>
  <c r="H21" i="49"/>
  <c r="O16" i="53"/>
  <c r="E35" i="52"/>
  <c r="K36" i="52"/>
  <c r="K18" i="49"/>
  <c r="J18" i="49"/>
  <c r="H18" i="49"/>
  <c r="G18" i="49"/>
  <c r="D17" i="49"/>
  <c r="K16" i="51"/>
  <c r="E15" i="51"/>
  <c r="K15" i="51" s="1"/>
  <c r="C32" i="57"/>
  <c r="D36" i="52"/>
  <c r="J37" i="52"/>
  <c r="G37" i="52"/>
  <c r="H37" i="52"/>
  <c r="G66" i="59"/>
  <c r="F65" i="59"/>
  <c r="L17" i="49"/>
  <c r="C15" i="57"/>
  <c r="M23" i="49"/>
  <c r="F16" i="49"/>
  <c r="G17" i="51"/>
  <c r="H17" i="51"/>
  <c r="D16" i="51"/>
  <c r="J17" i="51"/>
  <c r="J16" i="53"/>
  <c r="O15" i="53"/>
  <c r="M14" i="53"/>
  <c r="M13" i="53" s="1"/>
  <c r="M10" i="53" s="1"/>
  <c r="P18" i="49"/>
  <c r="N17" i="49"/>
  <c r="G16" i="53"/>
  <c r="H16" i="53"/>
  <c r="I16" i="53"/>
  <c r="G24" i="49"/>
  <c r="K24" i="49"/>
  <c r="D23" i="49"/>
  <c r="J24" i="49"/>
  <c r="H24" i="49"/>
  <c r="H15" i="53"/>
  <c r="G15" i="53"/>
  <c r="D14" i="53"/>
  <c r="I15" i="53"/>
  <c r="R11" i="49"/>
  <c r="P24" i="49"/>
  <c r="N23" i="49"/>
  <c r="R19" i="49"/>
  <c r="R16" i="49" s="1"/>
  <c r="N14" i="53"/>
  <c r="N13" i="53" s="1"/>
  <c r="N10" i="53" s="1"/>
  <c r="P13" i="49"/>
  <c r="U13" i="49" s="1"/>
  <c r="M36" i="52"/>
  <c r="M35" i="52" s="1"/>
  <c r="M23" i="52" s="1"/>
  <c r="M10" i="52" s="1"/>
  <c r="O37" i="52"/>
  <c r="I37" i="52" s="1"/>
  <c r="L22" i="52"/>
  <c r="D22" i="52"/>
  <c r="F21" i="52"/>
  <c r="L14" i="53"/>
  <c r="F13" i="53"/>
  <c r="K14" i="53"/>
  <c r="C50" i="57"/>
  <c r="E13" i="53"/>
  <c r="K13" i="53" s="1"/>
  <c r="O19" i="49"/>
  <c r="O16" i="49" s="1"/>
  <c r="O10" i="49" s="1"/>
  <c r="I15" i="50" l="1"/>
  <c r="O14" i="50"/>
  <c r="O13" i="50" s="1"/>
  <c r="S15" i="50"/>
  <c r="S14" i="50" s="1"/>
  <c r="S13" i="50" s="1"/>
  <c r="C16" i="47" s="1"/>
  <c r="D19" i="49"/>
  <c r="H20" i="49"/>
  <c r="G20" i="49"/>
  <c r="K20" i="49"/>
  <c r="J20" i="49"/>
  <c r="E16" i="49"/>
  <c r="L16" i="49" s="1"/>
  <c r="L19" i="49"/>
  <c r="C16" i="57"/>
  <c r="G23" i="49"/>
  <c r="H23" i="49"/>
  <c r="J23" i="49"/>
  <c r="K23" i="49"/>
  <c r="P14" i="53"/>
  <c r="P13" i="53" s="1"/>
  <c r="P10" i="53" s="1"/>
  <c r="R10" i="49"/>
  <c r="E23" i="52"/>
  <c r="K23" i="52" s="1"/>
  <c r="K35" i="52"/>
  <c r="C21" i="57"/>
  <c r="O16" i="51"/>
  <c r="O15" i="51" s="1"/>
  <c r="O10" i="51" s="1"/>
  <c r="S17" i="51"/>
  <c r="S16" i="51" s="1"/>
  <c r="S15" i="51" s="1"/>
  <c r="C19" i="47" s="1"/>
  <c r="P23" i="49"/>
  <c r="I23" i="49" s="1"/>
  <c r="U24" i="49"/>
  <c r="U23" i="49" s="1"/>
  <c r="S16" i="53"/>
  <c r="G42" i="59"/>
  <c r="F36" i="59"/>
  <c r="G36" i="59" s="1"/>
  <c r="G16" i="51"/>
  <c r="D15" i="51"/>
  <c r="H16" i="51"/>
  <c r="J16" i="51"/>
  <c r="L21" i="52"/>
  <c r="F17" i="52"/>
  <c r="H22" i="52"/>
  <c r="I22" i="52"/>
  <c r="J22" i="52"/>
  <c r="G22" i="52"/>
  <c r="D21" i="52"/>
  <c r="M16" i="49"/>
  <c r="F10" i="49"/>
  <c r="M10" i="49" s="1"/>
  <c r="G36" i="52"/>
  <c r="H36" i="52"/>
  <c r="D35" i="52"/>
  <c r="J36" i="52"/>
  <c r="P21" i="49"/>
  <c r="G21" i="49"/>
  <c r="U26" i="49"/>
  <c r="U25" i="49" s="1"/>
  <c r="P25" i="49"/>
  <c r="I25" i="49" s="1"/>
  <c r="H25" i="49"/>
  <c r="K25" i="49"/>
  <c r="G25" i="49"/>
  <c r="J25" i="49"/>
  <c r="D13" i="53"/>
  <c r="G14" i="53"/>
  <c r="H14" i="53"/>
  <c r="C30" i="57"/>
  <c r="U12" i="49"/>
  <c r="P11" i="49"/>
  <c r="F10" i="53"/>
  <c r="L10" i="53" s="1"/>
  <c r="L13" i="53"/>
  <c r="S37" i="52"/>
  <c r="S36" i="52" s="1"/>
  <c r="S35" i="52" s="1"/>
  <c r="S23" i="52" s="1"/>
  <c r="O36" i="52"/>
  <c r="O35" i="52" s="1"/>
  <c r="O23" i="52" s="1"/>
  <c r="O10" i="52" s="1"/>
  <c r="G13" i="59"/>
  <c r="F12" i="59"/>
  <c r="C48" i="57"/>
  <c r="I18" i="49"/>
  <c r="P17" i="49"/>
  <c r="U18" i="49"/>
  <c r="U17" i="49" s="1"/>
  <c r="N19" i="49"/>
  <c r="N16" i="49" s="1"/>
  <c r="N10" i="49" s="1"/>
  <c r="P20" i="49"/>
  <c r="I24" i="49"/>
  <c r="D16" i="49"/>
  <c r="G17" i="49"/>
  <c r="K17" i="49"/>
  <c r="H17" i="49"/>
  <c r="J17" i="49"/>
  <c r="H14" i="50"/>
  <c r="J14" i="50"/>
  <c r="G14" i="50"/>
  <c r="D13" i="50"/>
  <c r="I14" i="50"/>
  <c r="I13" i="49"/>
  <c r="S15" i="53"/>
  <c r="O14" i="53"/>
  <c r="O13" i="53" s="1"/>
  <c r="O10" i="53" s="1"/>
  <c r="G65" i="59"/>
  <c r="F59" i="59"/>
  <c r="F25" i="59"/>
  <c r="G25" i="59" s="1"/>
  <c r="G31" i="59"/>
  <c r="I16" i="51" l="1"/>
  <c r="H13" i="50"/>
  <c r="I13" i="50"/>
  <c r="J13" i="50"/>
  <c r="G13" i="50"/>
  <c r="I20" i="49"/>
  <c r="U20" i="49"/>
  <c r="P19" i="49"/>
  <c r="I19" i="49" s="1"/>
  <c r="C13" i="57"/>
  <c r="G35" i="52"/>
  <c r="H35" i="52"/>
  <c r="I35" i="52"/>
  <c r="J35" i="52"/>
  <c r="D23" i="52"/>
  <c r="G13" i="53"/>
  <c r="I13" i="53"/>
  <c r="H13" i="53"/>
  <c r="J13" i="53"/>
  <c r="C20" i="57"/>
  <c r="P16" i="49"/>
  <c r="P10" i="49" s="1"/>
  <c r="G15" i="51"/>
  <c r="I15" i="51"/>
  <c r="J15" i="51"/>
  <c r="H15" i="51"/>
  <c r="C22" i="47"/>
  <c r="C20" i="47" s="1"/>
  <c r="S10" i="52"/>
  <c r="G59" i="59"/>
  <c r="G19" i="49"/>
  <c r="K19" i="49"/>
  <c r="H19" i="49"/>
  <c r="J19" i="49"/>
  <c r="I17" i="49"/>
  <c r="K12" i="53"/>
  <c r="E11" i="53"/>
  <c r="D12" i="53"/>
  <c r="G21" i="52"/>
  <c r="H21" i="52"/>
  <c r="I21" i="52"/>
  <c r="J21" i="52"/>
  <c r="S14" i="53"/>
  <c r="S13" i="53" s="1"/>
  <c r="F11" i="59"/>
  <c r="G12" i="59"/>
  <c r="J14" i="53"/>
  <c r="U21" i="49"/>
  <c r="I21" i="49"/>
  <c r="J16" i="49"/>
  <c r="K16" i="49"/>
  <c r="G16" i="49"/>
  <c r="H16" i="49"/>
  <c r="I14" i="53"/>
  <c r="I36" i="52"/>
  <c r="F11" i="52"/>
  <c r="L17" i="52"/>
  <c r="J20" i="48"/>
  <c r="M13" i="48"/>
  <c r="F20" i="48" l="1"/>
  <c r="F21" i="48" s="1"/>
  <c r="M17" i="48"/>
  <c r="M12" i="48"/>
  <c r="F10" i="59"/>
  <c r="M18" i="48"/>
  <c r="K20" i="48"/>
  <c r="I16" i="49"/>
  <c r="C25" i="47"/>
  <c r="S10" i="53"/>
  <c r="E10" i="54"/>
  <c r="D11" i="54"/>
  <c r="D10" i="54" s="1"/>
  <c r="D13" i="51"/>
  <c r="E11" i="51"/>
  <c r="H20" i="48"/>
  <c r="U19" i="49"/>
  <c r="U16" i="49" s="1"/>
  <c r="C13" i="47" s="1"/>
  <c r="J21" i="48"/>
  <c r="D32" i="57"/>
  <c r="D30" i="57" s="1"/>
  <c r="F30" i="57" s="1"/>
  <c r="H30" i="57"/>
  <c r="L14" i="49"/>
  <c r="D14" i="49"/>
  <c r="E11" i="49"/>
  <c r="E11" i="50"/>
  <c r="D12" i="50"/>
  <c r="G12" i="53"/>
  <c r="J12" i="53"/>
  <c r="D11" i="53"/>
  <c r="H12" i="53"/>
  <c r="I12" i="53"/>
  <c r="D20" i="52"/>
  <c r="K20" i="52"/>
  <c r="E17" i="52"/>
  <c r="M15" i="48"/>
  <c r="C47" i="57"/>
  <c r="K11" i="53"/>
  <c r="E10" i="53"/>
  <c r="K10" i="53" s="1"/>
  <c r="L11" i="52"/>
  <c r="F10" i="52"/>
  <c r="L10" i="52" s="1"/>
  <c r="C46" i="109"/>
  <c r="J23" i="52"/>
  <c r="H23" i="52"/>
  <c r="G23" i="52"/>
  <c r="I23" i="52"/>
  <c r="C20" i="48"/>
  <c r="M10" i="48"/>
  <c r="E20" i="48"/>
  <c r="I68" i="34"/>
  <c r="H70" i="34"/>
  <c r="G72" i="34"/>
  <c r="I70" i="34"/>
  <c r="H72" i="34"/>
  <c r="I72" i="34"/>
  <c r="G74" i="34"/>
  <c r="H65" i="34"/>
  <c r="H74" i="34"/>
  <c r="G76" i="34"/>
  <c r="I65" i="34"/>
  <c r="G67" i="34"/>
  <c r="G69" i="34"/>
  <c r="I74" i="34"/>
  <c r="H76" i="34"/>
  <c r="H67" i="34"/>
  <c r="H69" i="34"/>
  <c r="G71" i="34"/>
  <c r="I76" i="34"/>
  <c r="I67" i="34"/>
  <c r="I69" i="34"/>
  <c r="H71" i="34"/>
  <c r="I71" i="34"/>
  <c r="G66" i="34"/>
  <c r="G73" i="34"/>
  <c r="G75" i="34"/>
  <c r="H66" i="34"/>
  <c r="H73" i="34"/>
  <c r="H75" i="34"/>
  <c r="G65" i="34"/>
  <c r="I66" i="34"/>
  <c r="G68" i="34"/>
  <c r="I73" i="34"/>
  <c r="I75" i="34"/>
  <c r="H68" i="34"/>
  <c r="G70" i="34"/>
  <c r="G80" i="34"/>
  <c r="G82" i="34"/>
  <c r="G84" i="34"/>
  <c r="G86" i="34"/>
  <c r="G88" i="34"/>
  <c r="G78" i="34"/>
  <c r="H78" i="34"/>
  <c r="H80" i="34"/>
  <c r="H82" i="34"/>
  <c r="H84" i="34"/>
  <c r="H86" i="34"/>
  <c r="H88" i="34"/>
  <c r="I78" i="34"/>
  <c r="I80" i="34"/>
  <c r="I82" i="34"/>
  <c r="I84" i="34"/>
  <c r="I86" i="34"/>
  <c r="I88" i="34"/>
  <c r="G79" i="34"/>
  <c r="G81" i="34"/>
  <c r="G83" i="34"/>
  <c r="G85" i="34"/>
  <c r="G87" i="34"/>
  <c r="G89" i="34"/>
  <c r="H79" i="34"/>
  <c r="H81" i="34"/>
  <c r="H83" i="34"/>
  <c r="H85" i="34"/>
  <c r="H87" i="34"/>
  <c r="H89" i="34"/>
  <c r="I79" i="34"/>
  <c r="I81" i="34"/>
  <c r="I83" i="34"/>
  <c r="I85" i="34"/>
  <c r="I87" i="34"/>
  <c r="I89" i="34"/>
  <c r="I55" i="34"/>
  <c r="I57" i="34"/>
  <c r="H59" i="34"/>
  <c r="G61" i="34"/>
  <c r="I59" i="34"/>
  <c r="H61" i="34"/>
  <c r="G63" i="34"/>
  <c r="I61" i="34"/>
  <c r="H63" i="34"/>
  <c r="I63" i="34"/>
  <c r="I52" i="34"/>
  <c r="G54" i="34"/>
  <c r="G56" i="34"/>
  <c r="G58" i="34"/>
  <c r="H54" i="34"/>
  <c r="H56" i="34"/>
  <c r="H58" i="34"/>
  <c r="I54" i="34"/>
  <c r="I56" i="34"/>
  <c r="I58" i="34"/>
  <c r="G60" i="34"/>
  <c r="G62" i="34"/>
  <c r="H60" i="34"/>
  <c r="H62" i="34"/>
  <c r="I60" i="34"/>
  <c r="I62" i="34"/>
  <c r="H52" i="34"/>
  <c r="G53" i="34"/>
  <c r="G52" i="34"/>
  <c r="H53" i="34"/>
  <c r="G55" i="34"/>
  <c r="G57" i="34"/>
  <c r="I53" i="34"/>
  <c r="H55" i="34"/>
  <c r="H57" i="34"/>
  <c r="G59" i="34"/>
  <c r="I92" i="34"/>
  <c r="I94" i="34"/>
  <c r="I96" i="34"/>
  <c r="I98" i="34"/>
  <c r="I100" i="34"/>
  <c r="I102" i="34"/>
  <c r="J109" i="34"/>
  <c r="J115" i="34"/>
  <c r="K107" i="34"/>
  <c r="K109" i="34"/>
  <c r="K111" i="34"/>
  <c r="K113" i="34"/>
  <c r="K115" i="34"/>
  <c r="M107" i="34"/>
  <c r="M109" i="34"/>
  <c r="M111" i="34"/>
  <c r="M113" i="34"/>
  <c r="M115" i="34"/>
  <c r="I93" i="34"/>
  <c r="I95" i="34"/>
  <c r="I97" i="34"/>
  <c r="I99" i="34"/>
  <c r="I101" i="34"/>
  <c r="I103" i="34"/>
  <c r="J106" i="34"/>
  <c r="J108" i="34"/>
  <c r="J110" i="34"/>
  <c r="J112" i="34"/>
  <c r="J116" i="34"/>
  <c r="K106" i="34"/>
  <c r="K108" i="34"/>
  <c r="K110" i="34"/>
  <c r="K112" i="34"/>
  <c r="K114" i="34"/>
  <c r="K116" i="34"/>
  <c r="M106" i="34"/>
  <c r="M108" i="34"/>
  <c r="M110" i="34"/>
  <c r="M112" i="34"/>
  <c r="M114" i="34"/>
  <c r="M116" i="34"/>
  <c r="H118" i="34"/>
  <c r="G123" i="34"/>
  <c r="H121" i="34"/>
  <c r="H123" i="34"/>
  <c r="H125" i="34"/>
  <c r="H127" i="34"/>
  <c r="I121" i="34"/>
  <c r="I123" i="34"/>
  <c r="I125" i="34"/>
  <c r="I127" i="34"/>
  <c r="I129" i="34"/>
  <c r="G129" i="34"/>
  <c r="G119" i="34"/>
  <c r="H119" i="34"/>
  <c r="G125" i="34"/>
  <c r="G127" i="34"/>
  <c r="H129" i="34"/>
  <c r="G120" i="34"/>
  <c r="G122" i="34"/>
  <c r="G124" i="34"/>
  <c r="G126" i="34"/>
  <c r="I119" i="34"/>
  <c r="H120" i="34"/>
  <c r="H122" i="34"/>
  <c r="H124" i="34"/>
  <c r="H126" i="34"/>
  <c r="H128" i="34"/>
  <c r="I120" i="34"/>
  <c r="I122" i="34"/>
  <c r="I124" i="34"/>
  <c r="I126" i="34"/>
  <c r="G128" i="34"/>
  <c r="G118" i="34"/>
  <c r="F29" i="25"/>
  <c r="I128" i="34"/>
  <c r="G121" i="34"/>
  <c r="I118" i="34"/>
  <c r="H132" i="34"/>
  <c r="G137" i="34"/>
  <c r="H137" i="34"/>
  <c r="G134" i="34"/>
  <c r="H142" i="34"/>
  <c r="H134" i="34"/>
  <c r="G139" i="34"/>
  <c r="H139" i="34"/>
  <c r="G132" i="34"/>
  <c r="H136" i="34"/>
  <c r="H141" i="34"/>
  <c r="G136" i="34"/>
  <c r="G141" i="34"/>
  <c r="G133" i="34"/>
  <c r="G138" i="34"/>
  <c r="G140" i="34"/>
  <c r="H133" i="34"/>
  <c r="H138" i="34"/>
  <c r="G143" i="34"/>
  <c r="G135" i="34"/>
  <c r="H143" i="34"/>
  <c r="H135" i="34"/>
  <c r="H140" i="34"/>
  <c r="G142" i="34"/>
  <c r="H147" i="34"/>
  <c r="I154" i="34"/>
  <c r="H156" i="34"/>
  <c r="I147" i="34"/>
  <c r="I156" i="34"/>
  <c r="H149" i="34"/>
  <c r="H158" i="34"/>
  <c r="I149" i="34"/>
  <c r="H151" i="34"/>
  <c r="I158" i="34"/>
  <c r="I151" i="34"/>
  <c r="H153" i="34"/>
  <c r="I153" i="34"/>
  <c r="H155" i="34"/>
  <c r="I155" i="34"/>
  <c r="H148" i="34"/>
  <c r="H157" i="34"/>
  <c r="I148" i="34"/>
  <c r="H150" i="34"/>
  <c r="I157" i="34"/>
  <c r="I150" i="34"/>
  <c r="H152" i="34"/>
  <c r="I152" i="34"/>
  <c r="H154" i="34"/>
  <c r="I16" i="59"/>
  <c r="D18" i="57"/>
  <c r="J47" i="34"/>
  <c r="J41" i="34"/>
  <c r="M48" i="34"/>
  <c r="K50" i="34"/>
  <c r="L41" i="34"/>
  <c r="M50" i="34"/>
  <c r="M41" i="34"/>
  <c r="K43" i="34"/>
  <c r="M43" i="34"/>
  <c r="K45" i="34"/>
  <c r="K47" i="34"/>
  <c r="M47" i="34"/>
  <c r="K42" i="34"/>
  <c r="M45" i="34"/>
  <c r="L47" i="34"/>
  <c r="K49" i="34"/>
  <c r="K40" i="34"/>
  <c r="M49" i="34"/>
  <c r="M40" i="34"/>
  <c r="K41" i="34"/>
  <c r="L50" i="34"/>
  <c r="M42" i="34"/>
  <c r="K44" i="34"/>
  <c r="M46" i="34"/>
  <c r="L44" i="34"/>
  <c r="K46" i="34"/>
  <c r="M44" i="34"/>
  <c r="K48" i="34"/>
  <c r="L42" i="34"/>
  <c r="L45" i="34"/>
  <c r="L43" i="34"/>
  <c r="L48" i="34"/>
  <c r="L49" i="34"/>
  <c r="L46" i="34"/>
  <c r="L40" i="34"/>
  <c r="I27" i="34"/>
  <c r="I29" i="34"/>
  <c r="H31" i="34"/>
  <c r="G33" i="34"/>
  <c r="G35" i="34"/>
  <c r="I31" i="34"/>
  <c r="H33" i="34"/>
  <c r="H35" i="34"/>
  <c r="G37" i="34"/>
  <c r="I37" i="34"/>
  <c r="H26" i="34"/>
  <c r="G28" i="34"/>
  <c r="I26" i="34"/>
  <c r="H28" i="34"/>
  <c r="G30" i="34"/>
  <c r="G32" i="34"/>
  <c r="I28" i="34"/>
  <c r="H30" i="34"/>
  <c r="H32" i="34"/>
  <c r="G34" i="34"/>
  <c r="I35" i="34"/>
  <c r="I30" i="34"/>
  <c r="I32" i="34"/>
  <c r="H34" i="34"/>
  <c r="G36" i="34"/>
  <c r="G26" i="34"/>
  <c r="I34" i="34"/>
  <c r="H36" i="34"/>
  <c r="H37" i="34"/>
  <c r="I36" i="34"/>
  <c r="G27" i="34"/>
  <c r="G29" i="34"/>
  <c r="I33" i="34"/>
  <c r="H27" i="34"/>
  <c r="H29" i="34"/>
  <c r="G31" i="34"/>
  <c r="D16" i="57"/>
  <c r="I22" i="59"/>
  <c r="I45" i="59"/>
  <c r="I15" i="59"/>
  <c r="H16" i="59"/>
  <c r="H22" i="59"/>
  <c r="H15" i="59"/>
  <c r="H45" i="59"/>
  <c r="D12" i="57"/>
  <c r="Q11" i="50"/>
  <c r="Q10" i="50" s="1"/>
  <c r="U29" i="25" l="1"/>
  <c r="K21" i="48"/>
  <c r="K25" i="34"/>
  <c r="H29" i="25"/>
  <c r="D29" i="25"/>
  <c r="D45" i="34"/>
  <c r="G45" i="34" s="1"/>
  <c r="G19" i="34"/>
  <c r="I16" i="34"/>
  <c r="F42" i="34"/>
  <c r="I42" i="34" s="1"/>
  <c r="J43" i="34"/>
  <c r="H27" i="25" s="1"/>
  <c r="H26" i="25" s="1"/>
  <c r="G148" i="34"/>
  <c r="D31" i="25"/>
  <c r="I31" i="25"/>
  <c r="G152" i="34"/>
  <c r="F30" i="25"/>
  <c r="E41" i="34"/>
  <c r="H41" i="34" s="1"/>
  <c r="H15" i="34"/>
  <c r="J42" i="34"/>
  <c r="G27" i="25" s="1"/>
  <c r="D50" i="34"/>
  <c r="G50" i="34" s="1"/>
  <c r="G24" i="34"/>
  <c r="L146" i="34"/>
  <c r="K13" i="59"/>
  <c r="H14" i="59"/>
  <c r="L13" i="59"/>
  <c r="I14" i="59"/>
  <c r="E39" i="34"/>
  <c r="H39" i="34" s="1"/>
  <c r="H13" i="34"/>
  <c r="H21" i="34"/>
  <c r="E47" i="34"/>
  <c r="H47" i="34" s="1"/>
  <c r="G150" i="34"/>
  <c r="G31" i="25"/>
  <c r="U31" i="25"/>
  <c r="G158" i="34"/>
  <c r="U30" i="25"/>
  <c r="O29" i="25"/>
  <c r="M29" i="25"/>
  <c r="J114" i="34"/>
  <c r="R28" i="25"/>
  <c r="H101" i="34"/>
  <c r="E114" i="34"/>
  <c r="H114" i="34" s="1"/>
  <c r="J113" i="34"/>
  <c r="O28" i="25"/>
  <c r="H100" i="34"/>
  <c r="E113" i="34"/>
  <c r="H113" i="34" s="1"/>
  <c r="M64" i="34"/>
  <c r="C46" i="57"/>
  <c r="E10" i="50"/>
  <c r="K10" i="50" s="1"/>
  <c r="K11" i="50"/>
  <c r="L12" i="34"/>
  <c r="L39" i="34"/>
  <c r="L38" i="34" s="1"/>
  <c r="I17" i="34"/>
  <c r="F43" i="34"/>
  <c r="I43" i="34" s="1"/>
  <c r="J40" i="34"/>
  <c r="D27" i="25" s="1"/>
  <c r="D40" i="34"/>
  <c r="G40" i="34" s="1"/>
  <c r="G14" i="34"/>
  <c r="G21" i="34"/>
  <c r="D47" i="34"/>
  <c r="G47" i="34" s="1"/>
  <c r="K31" i="25"/>
  <c r="G153" i="34"/>
  <c r="K146" i="34"/>
  <c r="H30" i="25"/>
  <c r="M30" i="25"/>
  <c r="T30" i="25"/>
  <c r="I30" i="25"/>
  <c r="C30" i="25"/>
  <c r="J131" i="34"/>
  <c r="J130" i="34" s="1"/>
  <c r="L117" i="34"/>
  <c r="K29" i="25"/>
  <c r="I29" i="25"/>
  <c r="M28" i="25"/>
  <c r="E112" i="34"/>
  <c r="H112" i="34" s="1"/>
  <c r="H99" i="34"/>
  <c r="J111" i="34"/>
  <c r="K28" i="25" s="1"/>
  <c r="E111" i="34"/>
  <c r="H111" i="34" s="1"/>
  <c r="H98" i="34"/>
  <c r="L51" i="34"/>
  <c r="C21" i="48"/>
  <c r="M20" i="48"/>
  <c r="M21" i="48"/>
  <c r="L11" i="49"/>
  <c r="E10" i="49"/>
  <c r="L10" i="49" s="1"/>
  <c r="C12" i="57"/>
  <c r="G29" i="25"/>
  <c r="I28" i="25"/>
  <c r="H97" i="34"/>
  <c r="E110" i="34"/>
  <c r="H110" i="34" s="1"/>
  <c r="H28" i="25"/>
  <c r="E109" i="34"/>
  <c r="H109" i="34" s="1"/>
  <c r="H96" i="34"/>
  <c r="J64" i="34"/>
  <c r="K17" i="52"/>
  <c r="E11" i="52"/>
  <c r="J14" i="49"/>
  <c r="G14" i="49"/>
  <c r="I14" i="49"/>
  <c r="H14" i="49"/>
  <c r="K14" i="49"/>
  <c r="D11" i="49"/>
  <c r="U27" i="25"/>
  <c r="J50" i="34"/>
  <c r="D23" i="57"/>
  <c r="D21" i="57" s="1"/>
  <c r="H21" i="57"/>
  <c r="H20" i="57" s="1"/>
  <c r="I12" i="57"/>
  <c r="G28" i="25"/>
  <c r="E108" i="34"/>
  <c r="H108" i="34" s="1"/>
  <c r="H95" i="34"/>
  <c r="J107" i="34"/>
  <c r="F28" i="25" s="1"/>
  <c r="H94" i="34"/>
  <c r="E107" i="34"/>
  <c r="H107" i="34" s="1"/>
  <c r="J51" i="34"/>
  <c r="L64" i="34"/>
  <c r="J44" i="34"/>
  <c r="I27" i="25"/>
  <c r="E50" i="34"/>
  <c r="H50" i="34" s="1"/>
  <c r="H24" i="34"/>
  <c r="R31" i="25"/>
  <c r="G156" i="34"/>
  <c r="G13" i="57"/>
  <c r="G11" i="57" s="1"/>
  <c r="I15" i="57"/>
  <c r="E15" i="57"/>
  <c r="I16" i="57"/>
  <c r="E16" i="57"/>
  <c r="I22" i="34"/>
  <c r="F48" i="34"/>
  <c r="I48" i="34" s="1"/>
  <c r="F46" i="34"/>
  <c r="I46" i="34" s="1"/>
  <c r="I20" i="34"/>
  <c r="H18" i="34"/>
  <c r="E44" i="34"/>
  <c r="H44" i="34" s="1"/>
  <c r="I23" i="34"/>
  <c r="F49" i="34"/>
  <c r="I49" i="34" s="1"/>
  <c r="D49" i="34"/>
  <c r="G49" i="34" s="1"/>
  <c r="G23" i="34"/>
  <c r="F27" i="25"/>
  <c r="K131" i="34"/>
  <c r="K130" i="34" s="1"/>
  <c r="K117" i="34"/>
  <c r="L91" i="34"/>
  <c r="L90" i="34" s="1"/>
  <c r="D28" i="25"/>
  <c r="E106" i="34"/>
  <c r="H106" i="34" s="1"/>
  <c r="H93" i="34"/>
  <c r="M91" i="34"/>
  <c r="M90" i="34" s="1"/>
  <c r="M105" i="34"/>
  <c r="M104" i="34" s="1"/>
  <c r="J91" i="34"/>
  <c r="J105" i="34"/>
  <c r="H92" i="34"/>
  <c r="E105" i="34"/>
  <c r="H105" i="34" s="1"/>
  <c r="M77" i="34"/>
  <c r="J77" i="34"/>
  <c r="H20" i="52"/>
  <c r="I20" i="52"/>
  <c r="G20" i="52"/>
  <c r="J20" i="52"/>
  <c r="D17" i="52"/>
  <c r="C23" i="47"/>
  <c r="L17" i="59"/>
  <c r="I17" i="59" s="1"/>
  <c r="I18" i="59"/>
  <c r="L23" i="59"/>
  <c r="I23" i="59" s="1"/>
  <c r="I24" i="59"/>
  <c r="K39" i="34"/>
  <c r="K38" i="34" s="1"/>
  <c r="K12" i="34"/>
  <c r="E43" i="34"/>
  <c r="H43" i="34" s="1"/>
  <c r="H17" i="34"/>
  <c r="L20" i="59"/>
  <c r="J46" i="34"/>
  <c r="M27" i="25" s="1"/>
  <c r="J49" i="34"/>
  <c r="T27" i="25" s="1"/>
  <c r="J39" i="34"/>
  <c r="J12" i="34"/>
  <c r="G155" i="34"/>
  <c r="O31" i="25"/>
  <c r="D116" i="34"/>
  <c r="G116" i="34" s="1"/>
  <c r="G103" i="34"/>
  <c r="G92" i="34"/>
  <c r="D105" i="34"/>
  <c r="G105" i="34" s="1"/>
  <c r="G17" i="34"/>
  <c r="D43" i="34"/>
  <c r="G43" i="34" s="1"/>
  <c r="I21" i="34"/>
  <c r="F47" i="34"/>
  <c r="I47" i="34" s="1"/>
  <c r="F31" i="25"/>
  <c r="G149" i="34"/>
  <c r="G21" i="57"/>
  <c r="I23" i="57"/>
  <c r="E23" i="57"/>
  <c r="I32" i="57"/>
  <c r="G30" i="57"/>
  <c r="E32" i="57"/>
  <c r="M25" i="34"/>
  <c r="F50" i="34"/>
  <c r="I50" i="34" s="1"/>
  <c r="I24" i="34"/>
  <c r="E48" i="34"/>
  <c r="H48" i="34" s="1"/>
  <c r="H22" i="34"/>
  <c r="F45" i="34"/>
  <c r="I45" i="34" s="1"/>
  <c r="I19" i="34"/>
  <c r="O27" i="25"/>
  <c r="M146" i="34"/>
  <c r="T29" i="25"/>
  <c r="G101" i="34"/>
  <c r="D114" i="34"/>
  <c r="G114" i="34" s="1"/>
  <c r="D115" i="34"/>
  <c r="G115" i="34" s="1"/>
  <c r="G102" i="34"/>
  <c r="M51" i="34"/>
  <c r="G99" i="34"/>
  <c r="D112" i="34"/>
  <c r="G112" i="34" s="1"/>
  <c r="K64" i="34"/>
  <c r="C46" i="65"/>
  <c r="H11" i="53"/>
  <c r="I11" i="53"/>
  <c r="D10" i="53"/>
  <c r="G11" i="53"/>
  <c r="J11" i="53"/>
  <c r="D39" i="34"/>
  <c r="G39" i="34" s="1"/>
  <c r="G13" i="34"/>
  <c r="T31" i="25"/>
  <c r="G157" i="34"/>
  <c r="U14" i="49"/>
  <c r="U11" i="49" s="1"/>
  <c r="Q11" i="49"/>
  <c r="Q10" i="49" s="1"/>
  <c r="K17" i="59"/>
  <c r="H17" i="59" s="1"/>
  <c r="H18" i="59"/>
  <c r="J48" i="34"/>
  <c r="R27" i="25" s="1"/>
  <c r="R26" i="25" s="1"/>
  <c r="D110" i="34"/>
  <c r="G110" i="34" s="1"/>
  <c r="G97" i="34"/>
  <c r="D111" i="34"/>
  <c r="G111" i="34" s="1"/>
  <c r="G98" i="34"/>
  <c r="K51" i="34"/>
  <c r="H13" i="57"/>
  <c r="H11" i="57" s="1"/>
  <c r="D15" i="57"/>
  <c r="D13" i="57" s="1"/>
  <c r="F39" i="34"/>
  <c r="I39" i="34" s="1"/>
  <c r="I13" i="34"/>
  <c r="K38" i="59"/>
  <c r="H39" i="59"/>
  <c r="K23" i="59"/>
  <c r="H23" i="59" s="1"/>
  <c r="H24" i="59"/>
  <c r="D48" i="34"/>
  <c r="G48" i="34" s="1"/>
  <c r="G22" i="34"/>
  <c r="G18" i="34"/>
  <c r="D44" i="34"/>
  <c r="G44" i="34" s="1"/>
  <c r="O30" i="25"/>
  <c r="M131" i="34"/>
  <c r="M130" i="34" s="1"/>
  <c r="G30" i="25"/>
  <c r="K13" i="51"/>
  <c r="S13" i="51"/>
  <c r="S11" i="51" s="1"/>
  <c r="Q11" i="51"/>
  <c r="Q10" i="51" s="1"/>
  <c r="I18" i="57"/>
  <c r="E18" i="57"/>
  <c r="K20" i="59"/>
  <c r="J25" i="34"/>
  <c r="H23" i="34"/>
  <c r="E49" i="34"/>
  <c r="H49" i="34" s="1"/>
  <c r="E46" i="34"/>
  <c r="H46" i="34" s="1"/>
  <c r="H20" i="34"/>
  <c r="H16" i="34"/>
  <c r="E42" i="34"/>
  <c r="H42" i="34" s="1"/>
  <c r="H14" i="34"/>
  <c r="E40" i="34"/>
  <c r="H40" i="34" s="1"/>
  <c r="M39" i="34"/>
  <c r="M38" i="34" s="1"/>
  <c r="M12" i="34"/>
  <c r="H31" i="25"/>
  <c r="G151" i="34"/>
  <c r="M117" i="34"/>
  <c r="D108" i="34"/>
  <c r="G108" i="34" s="1"/>
  <c r="G95" i="34"/>
  <c r="G96" i="34"/>
  <c r="D109" i="34"/>
  <c r="G109" i="34" s="1"/>
  <c r="H21" i="48"/>
  <c r="I15" i="34"/>
  <c r="F41" i="34"/>
  <c r="I41" i="34" s="1"/>
  <c r="D46" i="34"/>
  <c r="G46" i="34" s="1"/>
  <c r="G20" i="34"/>
  <c r="D113" i="34"/>
  <c r="G113" i="34" s="1"/>
  <c r="G100" i="34"/>
  <c r="G15" i="34"/>
  <c r="D41" i="34"/>
  <c r="G41" i="34" s="1"/>
  <c r="G16" i="34"/>
  <c r="D42" i="34"/>
  <c r="G42" i="34" s="1"/>
  <c r="J146" i="34"/>
  <c r="C31" i="25"/>
  <c r="G147" i="34"/>
  <c r="K30" i="25"/>
  <c r="L25" i="34"/>
  <c r="L38" i="59"/>
  <c r="I39" i="59"/>
  <c r="L43" i="59"/>
  <c r="I44" i="59"/>
  <c r="F44" i="34"/>
  <c r="I44" i="34" s="1"/>
  <c r="I18" i="34"/>
  <c r="I14" i="34"/>
  <c r="F40" i="34"/>
  <c r="I40" i="34" s="1"/>
  <c r="J45" i="34"/>
  <c r="K27" i="25" s="1"/>
  <c r="E45" i="34"/>
  <c r="H45" i="34" s="1"/>
  <c r="H19" i="34"/>
  <c r="M31" i="25"/>
  <c r="G154" i="34"/>
  <c r="D30" i="25"/>
  <c r="R30" i="25"/>
  <c r="C29" i="25"/>
  <c r="J117" i="34"/>
  <c r="D106" i="34"/>
  <c r="G106" i="34" s="1"/>
  <c r="G93" i="34"/>
  <c r="K91" i="34"/>
  <c r="K105" i="34"/>
  <c r="K104" i="34" s="1"/>
  <c r="G94" i="34"/>
  <c r="D107" i="34"/>
  <c r="G107" i="34" s="1"/>
  <c r="K77" i="34"/>
  <c r="K12" i="50"/>
  <c r="C29" i="57"/>
  <c r="E10" i="51"/>
  <c r="K11" i="51"/>
  <c r="R29" i="25"/>
  <c r="U28" i="25"/>
  <c r="E116" i="34"/>
  <c r="H116" i="34" s="1"/>
  <c r="H103" i="34"/>
  <c r="T28" i="25"/>
  <c r="E115" i="34"/>
  <c r="H115" i="34" s="1"/>
  <c r="H102" i="34"/>
  <c r="L77" i="34"/>
  <c r="D11" i="50"/>
  <c r="J12" i="50"/>
  <c r="I13" i="51"/>
  <c r="J13" i="51"/>
  <c r="H13" i="51"/>
  <c r="G13" i="51"/>
  <c r="D11" i="51"/>
  <c r="E21" i="48"/>
  <c r="I29" i="57"/>
  <c r="F14" i="124"/>
  <c r="D14" i="124" s="1"/>
  <c r="F48" i="22" l="1"/>
  <c r="M26" i="25"/>
  <c r="I26" i="25"/>
  <c r="M11" i="34"/>
  <c r="D26" i="25"/>
  <c r="F50" i="22"/>
  <c r="F13" i="57"/>
  <c r="H43" i="25"/>
  <c r="H39" i="25" s="1"/>
  <c r="H10" i="25"/>
  <c r="M43" i="25"/>
  <c r="M39" i="25" s="1"/>
  <c r="M10" i="25"/>
  <c r="D43" i="25"/>
  <c r="D39" i="25" s="1"/>
  <c r="D10" i="25"/>
  <c r="J281" i="56"/>
  <c r="J302" i="56"/>
  <c r="G306" i="56"/>
  <c r="G281" i="56" s="1"/>
  <c r="L32" i="59"/>
  <c r="I33" i="59"/>
  <c r="T26" i="25"/>
  <c r="C47" i="109"/>
  <c r="I13" i="57"/>
  <c r="E13" i="57"/>
  <c r="K26" i="25"/>
  <c r="K43" i="59"/>
  <c r="H44" i="59"/>
  <c r="L37" i="59"/>
  <c r="I38" i="59"/>
  <c r="M10" i="34"/>
  <c r="I11" i="51"/>
  <c r="H11" i="51"/>
  <c r="J11" i="51"/>
  <c r="G11" i="51"/>
  <c r="D10" i="51"/>
  <c r="L11" i="34"/>
  <c r="L10" i="34" s="1"/>
  <c r="C18" i="47"/>
  <c r="S10" i="51"/>
  <c r="K37" i="59"/>
  <c r="H38" i="59"/>
  <c r="R10" i="25"/>
  <c r="R43" i="25"/>
  <c r="R39" i="25" s="1"/>
  <c r="G10" i="53"/>
  <c r="I10" i="53"/>
  <c r="H10" i="53"/>
  <c r="J10" i="53"/>
  <c r="J17" i="52"/>
  <c r="H17" i="52"/>
  <c r="G17" i="52"/>
  <c r="I17" i="52"/>
  <c r="D11" i="52"/>
  <c r="E12" i="57"/>
  <c r="C11" i="57"/>
  <c r="D25" i="73"/>
  <c r="E25" i="73" s="1"/>
  <c r="O50" i="22"/>
  <c r="I30" i="57"/>
  <c r="E30" i="57"/>
  <c r="L19" i="59"/>
  <c r="I19" i="59" s="1"/>
  <c r="I20" i="59"/>
  <c r="L12" i="59"/>
  <c r="I13" i="59"/>
  <c r="I11" i="57"/>
  <c r="K11" i="52"/>
  <c r="E10" i="52"/>
  <c r="K10" i="52" s="1"/>
  <c r="K12" i="59"/>
  <c r="H13" i="59"/>
  <c r="J415" i="56"/>
  <c r="J423" i="56"/>
  <c r="J416" i="56" s="1"/>
  <c r="G427" i="56"/>
  <c r="J282" i="56"/>
  <c r="G307" i="56"/>
  <c r="G282" i="56" s="1"/>
  <c r="I43" i="25"/>
  <c r="I39" i="25" s="1"/>
  <c r="I10" i="25"/>
  <c r="K50" i="59"/>
  <c r="H51" i="59"/>
  <c r="D45" i="70"/>
  <c r="E45" i="70" s="1"/>
  <c r="O26" i="25"/>
  <c r="K11" i="34"/>
  <c r="D20" i="57"/>
  <c r="F20" i="57" s="1"/>
  <c r="F21" i="57"/>
  <c r="G20" i="57"/>
  <c r="I21" i="57"/>
  <c r="E21" i="57"/>
  <c r="C10" i="127"/>
  <c r="L50" i="59"/>
  <c r="I51" i="59"/>
  <c r="K10" i="51"/>
  <c r="G28" i="57"/>
  <c r="C27" i="25"/>
  <c r="F49" i="22"/>
  <c r="K32" i="59"/>
  <c r="H33" i="59"/>
  <c r="D23" i="73"/>
  <c r="E23" i="73" s="1"/>
  <c r="O48" i="22"/>
  <c r="E18" i="47"/>
  <c r="C28" i="57"/>
  <c r="E28" i="57" s="1"/>
  <c r="E29" i="57"/>
  <c r="L42" i="59"/>
  <c r="I42" i="59" s="1"/>
  <c r="I43" i="59"/>
  <c r="F26" i="25"/>
  <c r="U26" i="25"/>
  <c r="G26" i="25"/>
  <c r="K90" i="34"/>
  <c r="I31" i="47"/>
  <c r="E30" i="47"/>
  <c r="E50" i="109" s="1"/>
  <c r="E50" i="65" s="1"/>
  <c r="P49" i="70" s="1"/>
  <c r="Q49" i="70" s="1"/>
  <c r="C12" i="47"/>
  <c r="C11" i="47" s="1"/>
  <c r="U10" i="49"/>
  <c r="H28" i="57"/>
  <c r="I28" i="57" s="1"/>
  <c r="D29" i="57"/>
  <c r="D28" i="57" s="1"/>
  <c r="F28" i="57" s="1"/>
  <c r="C30" i="47"/>
  <c r="I32" i="47"/>
  <c r="J11" i="50"/>
  <c r="D10" i="50"/>
  <c r="J10" i="50" s="1"/>
  <c r="K19" i="59"/>
  <c r="H20" i="59"/>
  <c r="D11" i="57"/>
  <c r="J38" i="34"/>
  <c r="J11" i="34" s="1"/>
  <c r="J11" i="49"/>
  <c r="G11" i="49"/>
  <c r="I11" i="49"/>
  <c r="K11" i="49"/>
  <c r="D10" i="49"/>
  <c r="H11" i="49"/>
  <c r="C28" i="25"/>
  <c r="F47" i="22" s="1"/>
  <c r="J104" i="34"/>
  <c r="J90" i="34" s="1"/>
  <c r="G10" i="126"/>
  <c r="H10" i="126"/>
  <c r="C30" i="128"/>
  <c r="C67" i="109"/>
  <c r="F16" i="124"/>
  <c r="D16" i="124" s="1"/>
  <c r="C23" i="128" l="1"/>
  <c r="C21" i="128" s="1"/>
  <c r="C10" i="128" s="1"/>
  <c r="J10" i="34"/>
  <c r="L49" i="59"/>
  <c r="I50" i="59"/>
  <c r="F45" i="70"/>
  <c r="H25" i="73"/>
  <c r="G25" i="73"/>
  <c r="F25" i="73"/>
  <c r="T43" i="25"/>
  <c r="T39" i="25" s="1"/>
  <c r="T10" i="25"/>
  <c r="E11" i="57"/>
  <c r="C10" i="57"/>
  <c r="K11" i="59"/>
  <c r="D12" i="47"/>
  <c r="H12" i="59"/>
  <c r="O67" i="109"/>
  <c r="C66" i="65"/>
  <c r="F11" i="57"/>
  <c r="K49" i="59"/>
  <c r="H50" i="59"/>
  <c r="L36" i="59"/>
  <c r="I36" i="59" s="1"/>
  <c r="I37" i="59"/>
  <c r="L31" i="59"/>
  <c r="I32" i="59"/>
  <c r="O10" i="25"/>
  <c r="O43" i="25"/>
  <c r="O39" i="25" s="1"/>
  <c r="C43" i="109"/>
  <c r="I11" i="52"/>
  <c r="G11" i="52"/>
  <c r="D10" i="52"/>
  <c r="H11" i="52"/>
  <c r="J11" i="52"/>
  <c r="D18" i="47"/>
  <c r="I18" i="47" s="1"/>
  <c r="H37" i="59"/>
  <c r="K42" i="59"/>
  <c r="H43" i="59"/>
  <c r="J295" i="56"/>
  <c r="J277" i="56"/>
  <c r="G302" i="56"/>
  <c r="R49" i="70"/>
  <c r="C17" i="47"/>
  <c r="N11" i="50"/>
  <c r="H12" i="50"/>
  <c r="D13" i="47"/>
  <c r="H19" i="59"/>
  <c r="F23" i="73"/>
  <c r="H23" i="73"/>
  <c r="G23" i="73"/>
  <c r="G11" i="124"/>
  <c r="F13" i="124"/>
  <c r="C11" i="126"/>
  <c r="O47" i="22"/>
  <c r="D22" i="73"/>
  <c r="E22" i="73" s="1"/>
  <c r="K31" i="59"/>
  <c r="H32" i="59"/>
  <c r="I20" i="57"/>
  <c r="E20" i="57"/>
  <c r="E12" i="47"/>
  <c r="L11" i="59"/>
  <c r="I12" i="59"/>
  <c r="M11" i="50"/>
  <c r="O12" i="50"/>
  <c r="G12" i="50"/>
  <c r="O49" i="22"/>
  <c r="D24" i="73"/>
  <c r="E24" i="73" s="1"/>
  <c r="G423" i="56"/>
  <c r="G415" i="56"/>
  <c r="I10" i="51"/>
  <c r="J10" i="51"/>
  <c r="H10" i="51"/>
  <c r="G10" i="51"/>
  <c r="K43" i="25"/>
  <c r="K39" i="25" s="1"/>
  <c r="K10" i="25"/>
  <c r="U43" i="25"/>
  <c r="U39" i="25" s="1"/>
  <c r="U10" i="25"/>
  <c r="C26" i="25"/>
  <c r="C43" i="25" s="1"/>
  <c r="F46" i="22"/>
  <c r="G43" i="25"/>
  <c r="G39" i="25" s="1"/>
  <c r="G10" i="25"/>
  <c r="G10" i="49"/>
  <c r="H10" i="49"/>
  <c r="K10" i="49"/>
  <c r="I10" i="49"/>
  <c r="J10" i="49"/>
  <c r="F43" i="25"/>
  <c r="F39" i="25" s="1"/>
  <c r="F10" i="25"/>
  <c r="K10" i="34"/>
  <c r="J411" i="56"/>
  <c r="J404" i="56" s="1"/>
  <c r="J331" i="56"/>
  <c r="J327" i="56" s="1"/>
  <c r="J320" i="56" s="1"/>
  <c r="D22" i="47" s="1"/>
  <c r="I22" i="47" s="1"/>
  <c r="E13" i="47"/>
  <c r="E19" i="47"/>
  <c r="E17" i="47" s="1"/>
  <c r="E45" i="109" s="1"/>
  <c r="E45" i="65" s="1"/>
  <c r="P44" i="70" s="1"/>
  <c r="Q44" i="70" s="1"/>
  <c r="F11" i="126"/>
  <c r="F10" i="126" s="1"/>
  <c r="D12" i="1" s="1"/>
  <c r="I30" i="47"/>
  <c r="C50" i="109"/>
  <c r="C47" i="65"/>
  <c r="F18" i="124"/>
  <c r="R44" i="70" l="1"/>
  <c r="W43" i="25"/>
  <c r="G10" i="52"/>
  <c r="H10" i="52"/>
  <c r="I10" i="52"/>
  <c r="J10" i="52"/>
  <c r="D46" i="70"/>
  <c r="E46" i="70" s="1"/>
  <c r="G331" i="56"/>
  <c r="G327" i="56" s="1"/>
  <c r="G411" i="56"/>
  <c r="C10" i="126"/>
  <c r="D18" i="124"/>
  <c r="D17" i="124" s="1"/>
  <c r="F17" i="124"/>
  <c r="G17" i="124" s="1"/>
  <c r="G10" i="124" s="1"/>
  <c r="C29" i="47" s="1"/>
  <c r="O11" i="50"/>
  <c r="S12" i="50"/>
  <c r="S11" i="50" s="1"/>
  <c r="I12" i="50"/>
  <c r="D13" i="124"/>
  <c r="D11" i="124" s="1"/>
  <c r="F11" i="124"/>
  <c r="F10" i="124" s="1"/>
  <c r="M10" i="50"/>
  <c r="G10" i="50" s="1"/>
  <c r="G11" i="50"/>
  <c r="K48" i="59"/>
  <c r="H48" i="59" s="1"/>
  <c r="H49" i="59"/>
  <c r="I13" i="47"/>
  <c r="J270" i="56"/>
  <c r="J269" i="56" s="1"/>
  <c r="J10" i="56" s="1"/>
  <c r="G277" i="56"/>
  <c r="I11" i="59"/>
  <c r="E11" i="47"/>
  <c r="O50" i="109"/>
  <c r="C50" i="65"/>
  <c r="K36" i="59"/>
  <c r="H36" i="59" s="1"/>
  <c r="D19" i="47"/>
  <c r="I19" i="47" s="1"/>
  <c r="H42" i="59"/>
  <c r="C43" i="65"/>
  <c r="D65" i="70"/>
  <c r="E65" i="70" s="1"/>
  <c r="K66" i="65"/>
  <c r="D11" i="1"/>
  <c r="J12" i="1"/>
  <c r="N10" i="50"/>
  <c r="H10" i="50" s="1"/>
  <c r="H11" i="50"/>
  <c r="I12" i="47"/>
  <c r="D11" i="47"/>
  <c r="E21" i="47"/>
  <c r="E20" i="47" s="1"/>
  <c r="E46" i="109" s="1"/>
  <c r="E46" i="65" s="1"/>
  <c r="P45" i="70" s="1"/>
  <c r="Q45" i="70" s="1"/>
  <c r="L48" i="59"/>
  <c r="I48" i="59" s="1"/>
  <c r="I49" i="59"/>
  <c r="K25" i="59"/>
  <c r="H25" i="59" s="1"/>
  <c r="D16" i="47"/>
  <c r="H31" i="59"/>
  <c r="O46" i="22"/>
  <c r="D21" i="73"/>
  <c r="E21" i="73" s="1"/>
  <c r="F45" i="22"/>
  <c r="F24" i="73"/>
  <c r="H24" i="73"/>
  <c r="G24" i="73"/>
  <c r="F22" i="73"/>
  <c r="G22" i="73"/>
  <c r="H22" i="73"/>
  <c r="C45" i="109"/>
  <c r="E16" i="47"/>
  <c r="E14" i="47" s="1"/>
  <c r="E44" i="109" s="1"/>
  <c r="E44" i="65" s="1"/>
  <c r="P43" i="70" s="1"/>
  <c r="Q43" i="70" s="1"/>
  <c r="L25" i="59"/>
  <c r="I25" i="59" s="1"/>
  <c r="I31" i="59"/>
  <c r="H11" i="59"/>
  <c r="D10" i="124" l="1"/>
  <c r="D43" i="109"/>
  <c r="I11" i="47"/>
  <c r="D49" i="70"/>
  <c r="E49" i="70" s="1"/>
  <c r="K50" i="65"/>
  <c r="O45" i="22"/>
  <c r="F28" i="109"/>
  <c r="F46" i="70"/>
  <c r="G21" i="73"/>
  <c r="F21" i="73"/>
  <c r="H21" i="73"/>
  <c r="D17" i="47"/>
  <c r="E43" i="109"/>
  <c r="E43" i="65" s="1"/>
  <c r="P42" i="70" s="1"/>
  <c r="Q42" i="70" s="1"/>
  <c r="R43" i="70"/>
  <c r="J11" i="1"/>
  <c r="D52" i="109"/>
  <c r="S10" i="50"/>
  <c r="C15" i="47"/>
  <c r="D14" i="47"/>
  <c r="D44" i="109" s="1"/>
  <c r="D44" i="65" s="1"/>
  <c r="J43" i="70" s="1"/>
  <c r="K43" i="70" s="1"/>
  <c r="I16" i="47"/>
  <c r="O10" i="50"/>
  <c r="I10" i="50" s="1"/>
  <c r="I11" i="50"/>
  <c r="C49" i="109"/>
  <c r="I29" i="47"/>
  <c r="C45" i="65"/>
  <c r="F65" i="70"/>
  <c r="D42" i="70"/>
  <c r="E42" i="70" s="1"/>
  <c r="R45" i="70"/>
  <c r="D21" i="47"/>
  <c r="L43" i="70" l="1"/>
  <c r="F11" i="129"/>
  <c r="D23" i="1"/>
  <c r="J23" i="1" s="1"/>
  <c r="I15" i="47"/>
  <c r="C14" i="47"/>
  <c r="D22" i="128"/>
  <c r="G10" i="127"/>
  <c r="E11" i="127"/>
  <c r="F10" i="129"/>
  <c r="D22" i="1"/>
  <c r="D44" i="70"/>
  <c r="E44" i="70" s="1"/>
  <c r="O52" i="109"/>
  <c r="D52" i="65"/>
  <c r="F28" i="65"/>
  <c r="K28" i="65" s="1"/>
  <c r="O28" i="109"/>
  <c r="E22" i="128"/>
  <c r="H21" i="128"/>
  <c r="O49" i="109"/>
  <c r="C49" i="65"/>
  <c r="F22" i="128"/>
  <c r="I21" i="128"/>
  <c r="D20" i="47"/>
  <c r="I21" i="47"/>
  <c r="F49" i="70"/>
  <c r="H49" i="70"/>
  <c r="E22" i="1"/>
  <c r="E21" i="1" s="1"/>
  <c r="E55" i="109" s="1"/>
  <c r="E55" i="65" s="1"/>
  <c r="P54" i="70" s="1"/>
  <c r="Q54" i="70" s="1"/>
  <c r="G10" i="129"/>
  <c r="F10" i="127"/>
  <c r="D11" i="127"/>
  <c r="D12" i="43"/>
  <c r="D27" i="128"/>
  <c r="R42" i="70"/>
  <c r="G30" i="128"/>
  <c r="D30" i="128" s="1"/>
  <c r="D31" i="128"/>
  <c r="F42" i="70"/>
  <c r="D45" i="109"/>
  <c r="I17" i="47"/>
  <c r="D43" i="65"/>
  <c r="O43" i="109"/>
  <c r="F12" i="43"/>
  <c r="E36" i="38" s="1"/>
  <c r="J36" i="38" s="1"/>
  <c r="E10" i="46"/>
  <c r="C45" i="38" s="1"/>
  <c r="E14" i="43"/>
  <c r="C46" i="38"/>
  <c r="E38" i="38"/>
  <c r="J38" i="38" s="1"/>
  <c r="E37" i="38"/>
  <c r="J37" i="38" s="1"/>
  <c r="E23" i="43"/>
  <c r="D12" i="46"/>
  <c r="E39" i="38"/>
  <c r="J39" i="38" s="1"/>
  <c r="D16" i="1" l="1"/>
  <c r="D10" i="127"/>
  <c r="H10" i="128"/>
  <c r="E21" i="128"/>
  <c r="J22" i="1"/>
  <c r="D21" i="1"/>
  <c r="E16" i="43"/>
  <c r="D13" i="46"/>
  <c r="R54" i="70"/>
  <c r="E17" i="43"/>
  <c r="E16" i="1"/>
  <c r="E15" i="1" s="1"/>
  <c r="E10" i="127"/>
  <c r="E40" i="38"/>
  <c r="J40" i="38" s="1"/>
  <c r="E19" i="43"/>
  <c r="J46" i="38"/>
  <c r="C39" i="109"/>
  <c r="J51" i="70"/>
  <c r="K51" i="70" s="1"/>
  <c r="K52" i="65"/>
  <c r="I14" i="47"/>
  <c r="C44" i="109"/>
  <c r="C10" i="47"/>
  <c r="J45" i="38"/>
  <c r="C38" i="109"/>
  <c r="C10" i="38"/>
  <c r="G23" i="128"/>
  <c r="D46" i="109"/>
  <c r="I20" i="47"/>
  <c r="E11" i="43"/>
  <c r="E35" i="38"/>
  <c r="F10" i="43"/>
  <c r="J42" i="70"/>
  <c r="K42" i="70" s="1"/>
  <c r="K43" i="65"/>
  <c r="E13" i="43"/>
  <c r="F44" i="70"/>
  <c r="I10" i="128"/>
  <c r="F21" i="128"/>
  <c r="E22" i="43"/>
  <c r="F21" i="43"/>
  <c r="E42" i="38" s="1"/>
  <c r="J42" i="38" s="1"/>
  <c r="E12" i="43"/>
  <c r="D48" i="70"/>
  <c r="E48" i="70" s="1"/>
  <c r="K49" i="65"/>
  <c r="D11" i="46"/>
  <c r="D45" i="65"/>
  <c r="O45" i="109"/>
  <c r="E18" i="43"/>
  <c r="P22" i="12"/>
  <c r="K28" i="12"/>
  <c r="K42" i="12"/>
  <c r="K26" i="12"/>
  <c r="F28" i="15"/>
  <c r="K13" i="12"/>
  <c r="K40" i="12"/>
  <c r="P34" i="12"/>
  <c r="E50" i="15"/>
  <c r="K37" i="12"/>
  <c r="K11" i="12" l="1"/>
  <c r="K17" i="12"/>
  <c r="K52" i="12"/>
  <c r="E31" i="15"/>
  <c r="K19" i="12"/>
  <c r="H64" i="132"/>
  <c r="C31" i="22" s="1"/>
  <c r="E64" i="132"/>
  <c r="F13" i="33"/>
  <c r="H25" i="15"/>
  <c r="Q25" i="12"/>
  <c r="H42" i="15"/>
  <c r="Q42" i="12"/>
  <c r="H35" i="15"/>
  <c r="Q35" i="12"/>
  <c r="J44" i="70"/>
  <c r="K44" i="70" s="1"/>
  <c r="K45" i="65"/>
  <c r="C44" i="65"/>
  <c r="O44" i="109"/>
  <c r="L26" i="12"/>
  <c r="N26" i="12"/>
  <c r="P26" i="12" s="1"/>
  <c r="K24" i="12"/>
  <c r="K47" i="12"/>
  <c r="H24" i="15"/>
  <c r="Q24" i="12"/>
  <c r="L42" i="70"/>
  <c r="L17" i="12"/>
  <c r="N17" i="12"/>
  <c r="P17" i="12" s="1"/>
  <c r="R17" i="12" s="1"/>
  <c r="S17" i="12" s="1"/>
  <c r="T17" i="12" s="1"/>
  <c r="L52" i="12"/>
  <c r="N52" i="12"/>
  <c r="H26" i="15"/>
  <c r="Q26" i="12"/>
  <c r="Q28" i="12"/>
  <c r="H28" i="15"/>
  <c r="F48" i="70"/>
  <c r="J35" i="38"/>
  <c r="E34" i="38"/>
  <c r="L51" i="70"/>
  <c r="L37" i="12"/>
  <c r="N37" i="12"/>
  <c r="P37" i="12" s="1"/>
  <c r="K35" i="12"/>
  <c r="N28" i="12"/>
  <c r="P28" i="12" s="1"/>
  <c r="L28" i="12"/>
  <c r="F35" i="15"/>
  <c r="I45" i="15"/>
  <c r="O39" i="109"/>
  <c r="C39" i="65"/>
  <c r="C25" i="42"/>
  <c r="H34" i="15"/>
  <c r="Q34" i="12"/>
  <c r="G45" i="15"/>
  <c r="H45" i="15" s="1"/>
  <c r="N11" i="12"/>
  <c r="L11" i="12"/>
  <c r="Q22" i="12"/>
  <c r="H22" i="15"/>
  <c r="G31" i="15"/>
  <c r="Q37" i="12"/>
  <c r="R37" i="12" s="1"/>
  <c r="S37" i="12" s="1"/>
  <c r="T37" i="12" s="1"/>
  <c r="H37" i="15"/>
  <c r="F26" i="15"/>
  <c r="I31" i="15"/>
  <c r="K15" i="12"/>
  <c r="D46" i="65"/>
  <c r="O46" i="109"/>
  <c r="J21" i="1"/>
  <c r="D55" i="109"/>
  <c r="L19" i="12"/>
  <c r="N19" i="12"/>
  <c r="P19" i="12" s="1"/>
  <c r="R19" i="12" s="1"/>
  <c r="S19" i="12" s="1"/>
  <c r="T19" i="12" s="1"/>
  <c r="F47" i="15"/>
  <c r="I50" i="15"/>
  <c r="F50" i="15" s="1"/>
  <c r="H35" i="132"/>
  <c r="C24" i="22" s="1"/>
  <c r="H39" i="132"/>
  <c r="H36" i="132"/>
  <c r="H45" i="132"/>
  <c r="H42" i="132" s="1"/>
  <c r="K21" i="12"/>
  <c r="K20" i="12"/>
  <c r="K25" i="12"/>
  <c r="D23" i="128"/>
  <c r="G21" i="128"/>
  <c r="C13" i="25"/>
  <c r="C12" i="25" s="1"/>
  <c r="C11" i="25" s="1"/>
  <c r="G12" i="33"/>
  <c r="G11" i="33" s="1"/>
  <c r="G10" i="33" s="1"/>
  <c r="H41" i="15"/>
  <c r="Q41" i="12"/>
  <c r="F42" i="15"/>
  <c r="K41" i="12"/>
  <c r="E45" i="15"/>
  <c r="E55" i="15" s="1"/>
  <c r="C53" i="11"/>
  <c r="F10" i="128"/>
  <c r="E19" i="1"/>
  <c r="E18" i="1" s="1"/>
  <c r="E54" i="109" s="1"/>
  <c r="E54" i="65" s="1"/>
  <c r="P53" i="70" s="1"/>
  <c r="C31" i="109"/>
  <c r="C38" i="65"/>
  <c r="O38" i="109"/>
  <c r="D19" i="1"/>
  <c r="D18" i="1" s="1"/>
  <c r="D54" i="109" s="1"/>
  <c r="D54" i="65" s="1"/>
  <c r="J53" i="70" s="1"/>
  <c r="E10" i="128"/>
  <c r="N42" i="12"/>
  <c r="P42" i="12" s="1"/>
  <c r="L42" i="12"/>
  <c r="L40" i="12"/>
  <c r="N40" i="12"/>
  <c r="P40" i="12" s="1"/>
  <c r="R40" i="12" s="1"/>
  <c r="S40" i="12" s="1"/>
  <c r="T40" i="12" s="1"/>
  <c r="H47" i="15"/>
  <c r="G50" i="15"/>
  <c r="H50" i="15" s="1"/>
  <c r="Q47" i="12"/>
  <c r="F41" i="15"/>
  <c r="N13" i="12"/>
  <c r="P13" i="12" s="1"/>
  <c r="R13" i="12" s="1"/>
  <c r="S13" i="12" s="1"/>
  <c r="T13" i="12" s="1"/>
  <c r="L13" i="12"/>
  <c r="K16" i="12"/>
  <c r="C42" i="109"/>
  <c r="E53" i="109"/>
  <c r="E53" i="65" s="1"/>
  <c r="P52" i="70" s="1"/>
  <c r="Q52" i="70" s="1"/>
  <c r="E10" i="1"/>
  <c r="E51" i="109" s="1"/>
  <c r="E51" i="65" s="1"/>
  <c r="P50" i="70" s="1"/>
  <c r="Q50" i="70" s="1"/>
  <c r="J16" i="1"/>
  <c r="D15" i="1"/>
  <c r="E33" i="132"/>
  <c r="K22" i="132"/>
  <c r="L22" i="132"/>
  <c r="I164" i="34"/>
  <c r="F28" i="33"/>
  <c r="J163" i="34"/>
  <c r="K163" i="34"/>
  <c r="K162" i="34" s="1"/>
  <c r="K173" i="34"/>
  <c r="K170" i="34" s="1"/>
  <c r="K165" i="34" s="1"/>
  <c r="M163" i="34"/>
  <c r="M162" i="34" s="1"/>
  <c r="L163" i="34"/>
  <c r="L162" i="34" s="1"/>
  <c r="R34" i="41"/>
  <c r="H20" i="41"/>
  <c r="H15" i="41" s="1"/>
  <c r="H10" i="41" s="1"/>
  <c r="H48" i="41" s="1"/>
  <c r="N20" i="41"/>
  <c r="N15" i="41" s="1"/>
  <c r="N10" i="41" s="1"/>
  <c r="R35" i="41"/>
  <c r="R36" i="41"/>
  <c r="R37" i="41"/>
  <c r="I28" i="41"/>
  <c r="I27" i="41" s="1"/>
  <c r="L20" i="41"/>
  <c r="L15" i="41" s="1"/>
  <c r="L10" i="41" s="1"/>
  <c r="L48" i="41" s="1"/>
  <c r="J28" i="41"/>
  <c r="J27" i="41" s="1"/>
  <c r="J30" i="41"/>
  <c r="K28" i="41"/>
  <c r="K27" i="41" s="1"/>
  <c r="K30" i="41"/>
  <c r="R22" i="41"/>
  <c r="L28" i="41"/>
  <c r="L27" i="41" s="1"/>
  <c r="L30" i="41"/>
  <c r="O28" i="41"/>
  <c r="O27" i="41" s="1"/>
  <c r="Q28" i="41"/>
  <c r="Q27" i="41" s="1"/>
  <c r="N30" i="41"/>
  <c r="O30" i="41"/>
  <c r="R33" i="41"/>
  <c r="Q30" i="41"/>
  <c r="G22" i="40"/>
  <c r="E22" i="41" s="1"/>
  <c r="G29" i="40"/>
  <c r="E29" i="41" s="1"/>
  <c r="G23" i="40"/>
  <c r="E23" i="41" s="1"/>
  <c r="G26" i="40"/>
  <c r="E26" i="41" s="1"/>
  <c r="G21" i="40"/>
  <c r="E21" i="41" s="1"/>
  <c r="J49" i="41"/>
  <c r="K49" i="41"/>
  <c r="L49" i="41"/>
  <c r="W47" i="41"/>
  <c r="C81" i="10"/>
  <c r="C26" i="10"/>
  <c r="C27" i="10"/>
  <c r="C15" i="10" s="1"/>
  <c r="C104" i="10"/>
  <c r="H98" i="132"/>
  <c r="C58" i="22" s="1"/>
  <c r="E31" i="38"/>
  <c r="J31" i="38" s="1"/>
  <c r="G28" i="39"/>
  <c r="G27" i="39" s="1"/>
  <c r="D19" i="38" s="1"/>
  <c r="J19" i="38" s="1"/>
  <c r="G45" i="39"/>
  <c r="K28" i="40"/>
  <c r="K27" i="40" s="1"/>
  <c r="D29" i="38" s="1"/>
  <c r="C22" i="22"/>
  <c r="O22" i="22" s="1"/>
  <c r="G25" i="39"/>
  <c r="G24" i="39" s="1"/>
  <c r="D18" i="38" s="1"/>
  <c r="J18" i="38" s="1"/>
  <c r="K25" i="40"/>
  <c r="K24" i="40" s="1"/>
  <c r="D28" i="38" s="1"/>
  <c r="J28" i="38" s="1"/>
  <c r="K45" i="40"/>
  <c r="X30" i="41"/>
  <c r="E30" i="38" s="1"/>
  <c r="Y17" i="25"/>
  <c r="Y16" i="25" s="1"/>
  <c r="R26" i="12" l="1"/>
  <c r="S26" i="12" s="1"/>
  <c r="T26" i="12" s="1"/>
  <c r="C50" i="10"/>
  <c r="J20" i="41"/>
  <c r="J15" i="41" s="1"/>
  <c r="J10" i="41" s="1"/>
  <c r="J48" i="41" s="1"/>
  <c r="R28" i="12"/>
  <c r="S28" i="12" s="1"/>
  <c r="T28" i="12" s="1"/>
  <c r="G164" i="34"/>
  <c r="K39" i="40"/>
  <c r="K30" i="40" s="1"/>
  <c r="D30" i="38" s="1"/>
  <c r="J30" i="38" s="1"/>
  <c r="C57" i="22"/>
  <c r="O58" i="22"/>
  <c r="G20" i="39"/>
  <c r="G15" i="39" s="1"/>
  <c r="I35" i="132"/>
  <c r="I45" i="132"/>
  <c r="I42" i="132" s="1"/>
  <c r="C112" i="10"/>
  <c r="C111" i="10" s="1"/>
  <c r="C100" i="10"/>
  <c r="C46" i="41"/>
  <c r="C45" i="41" s="1"/>
  <c r="C45" i="39"/>
  <c r="F45" i="39" s="1"/>
  <c r="F46" i="39"/>
  <c r="C46" i="40"/>
  <c r="N48" i="41"/>
  <c r="N49" i="41" s="1"/>
  <c r="I20" i="41"/>
  <c r="I15" i="41" s="1"/>
  <c r="I10" i="41" s="1"/>
  <c r="J162" i="34"/>
  <c r="AJ34" i="25"/>
  <c r="I53" i="22"/>
  <c r="R52" i="70"/>
  <c r="L41" i="12"/>
  <c r="N41" i="12"/>
  <c r="P41" i="12" s="1"/>
  <c r="R41" i="12" s="1"/>
  <c r="S41" i="12" s="1"/>
  <c r="T41" i="12" s="1"/>
  <c r="L15" i="12"/>
  <c r="N15" i="12"/>
  <c r="P15" i="12" s="1"/>
  <c r="R15" i="12" s="1"/>
  <c r="S15" i="12" s="1"/>
  <c r="T15" i="12" s="1"/>
  <c r="K44" i="65"/>
  <c r="D43" i="70"/>
  <c r="E43" i="70" s="1"/>
  <c r="F26" i="33"/>
  <c r="F25" i="33"/>
  <c r="Y41" i="25"/>
  <c r="Y39" i="25" s="1"/>
  <c r="Y10" i="25"/>
  <c r="G84" i="10"/>
  <c r="F84" i="10"/>
  <c r="X20" i="41"/>
  <c r="C16" i="10"/>
  <c r="V47" i="41"/>
  <c r="F22" i="39"/>
  <c r="C22" i="40"/>
  <c r="J22" i="40" s="1"/>
  <c r="C22" i="41"/>
  <c r="M45" i="41"/>
  <c r="R45" i="41" s="1"/>
  <c r="R46" i="41"/>
  <c r="E63" i="132"/>
  <c r="I55" i="15"/>
  <c r="F55" i="15" s="1"/>
  <c r="F31" i="15"/>
  <c r="H164" i="34"/>
  <c r="E46" i="132"/>
  <c r="F46" i="132"/>
  <c r="C42" i="65"/>
  <c r="L44" i="70"/>
  <c r="F27" i="45"/>
  <c r="N16" i="12"/>
  <c r="P16" i="12" s="1"/>
  <c r="R16" i="12" s="1"/>
  <c r="S16" i="12" s="1"/>
  <c r="T16" i="12" s="1"/>
  <c r="L16" i="12"/>
  <c r="K39" i="65"/>
  <c r="D38" i="70"/>
  <c r="E38" i="70" s="1"/>
  <c r="E33" i="38"/>
  <c r="J34" i="38"/>
  <c r="F23" i="132"/>
  <c r="G23" i="132"/>
  <c r="E23" i="132"/>
  <c r="C30" i="22"/>
  <c r="H72" i="132"/>
  <c r="C36" i="22"/>
  <c r="C68" i="10"/>
  <c r="C60" i="10" s="1"/>
  <c r="C29" i="10"/>
  <c r="G69" i="10"/>
  <c r="F69" i="10"/>
  <c r="C40" i="10"/>
  <c r="C36" i="41"/>
  <c r="F36" i="39"/>
  <c r="C36" i="40"/>
  <c r="J36" i="40" s="1"/>
  <c r="C37" i="40"/>
  <c r="J37" i="40" s="1"/>
  <c r="C37" i="41"/>
  <c r="F37" i="39"/>
  <c r="C17" i="22"/>
  <c r="C105" i="10"/>
  <c r="C102" i="10"/>
  <c r="C13" i="10" s="1"/>
  <c r="C23" i="10"/>
  <c r="C34" i="40"/>
  <c r="J34" i="40" s="1"/>
  <c r="F34" i="39"/>
  <c r="C34" i="41"/>
  <c r="C35" i="40"/>
  <c r="J35" i="40" s="1"/>
  <c r="C35" i="41"/>
  <c r="F35" i="39"/>
  <c r="R23" i="41"/>
  <c r="K20" i="41"/>
  <c r="K15" i="41" s="1"/>
  <c r="K10" i="41" s="1"/>
  <c r="K48" i="41" s="1"/>
  <c r="R43" i="41"/>
  <c r="F21" i="45"/>
  <c r="G24" i="132"/>
  <c r="K38" i="65"/>
  <c r="D37" i="70"/>
  <c r="E37" i="70" s="1"/>
  <c r="C10" i="25"/>
  <c r="C40" i="25"/>
  <c r="H31" i="15"/>
  <c r="G55" i="15"/>
  <c r="H55" i="15" s="1"/>
  <c r="F45" i="15"/>
  <c r="R42" i="12"/>
  <c r="S42" i="12" s="1"/>
  <c r="T42" i="12" s="1"/>
  <c r="C38" i="40"/>
  <c r="J38" i="40" s="1"/>
  <c r="C38" i="41"/>
  <c r="U38" i="41" s="1"/>
  <c r="R38" i="41"/>
  <c r="I30" i="41"/>
  <c r="I48" i="41" s="1"/>
  <c r="I49" i="41" s="1"/>
  <c r="X28" i="41"/>
  <c r="X17" i="25"/>
  <c r="X16" i="25" s="1"/>
  <c r="G24" i="33"/>
  <c r="G23" i="33" s="1"/>
  <c r="G22" i="33" s="1"/>
  <c r="G39" i="39"/>
  <c r="G30" i="39" s="1"/>
  <c r="D20" i="38" s="1"/>
  <c r="J20" i="38" s="1"/>
  <c r="C96" i="10"/>
  <c r="C88" i="10" s="1"/>
  <c r="C12" i="10"/>
  <c r="C33" i="40"/>
  <c r="J33" i="40" s="1"/>
  <c r="F33" i="39"/>
  <c r="C33" i="41"/>
  <c r="Q48" i="41"/>
  <c r="Q49" i="41" s="1"/>
  <c r="D21" i="128"/>
  <c r="G10" i="128"/>
  <c r="C29" i="41"/>
  <c r="C28" i="41" s="1"/>
  <c r="C27" i="41" s="1"/>
  <c r="F29" i="39"/>
  <c r="C29" i="40"/>
  <c r="C28" i="39"/>
  <c r="F28" i="41"/>
  <c r="R29" i="41"/>
  <c r="Q50" i="12"/>
  <c r="C31" i="65"/>
  <c r="R22" i="12"/>
  <c r="S22" i="12" s="1"/>
  <c r="T22" i="12" s="1"/>
  <c r="Q31" i="12"/>
  <c r="N47" i="12"/>
  <c r="L47" i="12"/>
  <c r="H48" i="57"/>
  <c r="D50" i="57"/>
  <c r="D48" i="57" s="1"/>
  <c r="I31" i="22"/>
  <c r="AJ18" i="25"/>
  <c r="AJ16" i="25" s="1"/>
  <c r="L25" i="12"/>
  <c r="N25" i="12"/>
  <c r="P25" i="12" s="1"/>
  <c r="R25" i="12" s="1"/>
  <c r="S25" i="12" s="1"/>
  <c r="T25" i="12" s="1"/>
  <c r="O55" i="109"/>
  <c r="D55" i="65"/>
  <c r="L24" i="12"/>
  <c r="N24" i="12"/>
  <c r="P24" i="12" s="1"/>
  <c r="R24" i="12" s="1"/>
  <c r="S24" i="12" s="1"/>
  <c r="T24" i="12" s="1"/>
  <c r="C30" i="10"/>
  <c r="C21" i="10"/>
  <c r="C11" i="10" s="1"/>
  <c r="F32" i="39"/>
  <c r="C32" i="40"/>
  <c r="C32" i="41"/>
  <c r="C30" i="39"/>
  <c r="F30" i="39" s="1"/>
  <c r="K20" i="40"/>
  <c r="K15" i="40" s="1"/>
  <c r="G98" i="10"/>
  <c r="F98" i="10"/>
  <c r="C25" i="39"/>
  <c r="F26" i="39"/>
  <c r="C26" i="41"/>
  <c r="C25" i="41" s="1"/>
  <c r="C24" i="41" s="1"/>
  <c r="C26" i="40"/>
  <c r="O48" i="41"/>
  <c r="R21" i="41"/>
  <c r="F20" i="41"/>
  <c r="J15" i="1"/>
  <c r="D53" i="109"/>
  <c r="D10" i="1"/>
  <c r="N20" i="12"/>
  <c r="P20" i="12" s="1"/>
  <c r="R20" i="12" s="1"/>
  <c r="S20" i="12" s="1"/>
  <c r="T20" i="12" s="1"/>
  <c r="L20" i="12"/>
  <c r="P11" i="12"/>
  <c r="N35" i="12"/>
  <c r="L35" i="12"/>
  <c r="C43" i="41"/>
  <c r="C39" i="41" s="1"/>
  <c r="F43" i="39"/>
  <c r="C43" i="40"/>
  <c r="C39" i="39"/>
  <c r="E18" i="22"/>
  <c r="J22" i="132"/>
  <c r="C103" i="10"/>
  <c r="F120" i="10"/>
  <c r="G120" i="10"/>
  <c r="C21" i="41"/>
  <c r="F21" i="39"/>
  <c r="C15" i="39"/>
  <c r="C21" i="40"/>
  <c r="R32" i="41"/>
  <c r="AJ35" i="25"/>
  <c r="I54" i="22"/>
  <c r="F14" i="45"/>
  <c r="F10" i="45" s="1"/>
  <c r="N21" i="12"/>
  <c r="P21" i="12" s="1"/>
  <c r="R21" i="12" s="1"/>
  <c r="S21" i="12" s="1"/>
  <c r="T21" i="12" s="1"/>
  <c r="L21" i="12"/>
  <c r="L66" i="59"/>
  <c r="I67" i="59"/>
  <c r="C22" i="10"/>
  <c r="C23" i="40"/>
  <c r="J23" i="40" s="1"/>
  <c r="C23" i="41"/>
  <c r="U23" i="41" s="1"/>
  <c r="F23" i="39"/>
  <c r="M20" i="41"/>
  <c r="M15" i="41" s="1"/>
  <c r="M10" i="41" s="1"/>
  <c r="M25" i="41"/>
  <c r="R26" i="41"/>
  <c r="E73" i="132"/>
  <c r="R50" i="70"/>
  <c r="J45" i="70"/>
  <c r="K45" i="70" s="1"/>
  <c r="K46" i="65"/>
  <c r="R34" i="12"/>
  <c r="Q45" i="12"/>
  <c r="P52" i="12"/>
  <c r="N54" i="12"/>
  <c r="C13" i="13" s="1"/>
  <c r="D13" i="13" s="1"/>
  <c r="O31" i="22"/>
  <c r="C99" i="11"/>
  <c r="D16" i="20"/>
  <c r="C10" i="20"/>
  <c r="M9" i="20" s="1"/>
  <c r="L9" i="20" s="1"/>
  <c r="G24" i="114"/>
  <c r="E38" i="7"/>
  <c r="F23" i="114"/>
  <c r="G26" i="114"/>
  <c r="G23" i="114"/>
  <c r="F14" i="114"/>
  <c r="F26" i="114"/>
  <c r="F25" i="114"/>
  <c r="F38" i="114"/>
  <c r="G30" i="114"/>
  <c r="G12" i="114"/>
  <c r="F11" i="16"/>
  <c r="I27" i="114"/>
  <c r="G25" i="114"/>
  <c r="F24" i="114"/>
  <c r="E35" i="114"/>
  <c r="I70" i="132"/>
  <c r="I67" i="132" s="1"/>
  <c r="H70" i="132"/>
  <c r="H67" i="132" s="1"/>
  <c r="C34" i="22" s="1"/>
  <c r="J70" i="132"/>
  <c r="J67" i="132" s="1"/>
  <c r="H50" i="132"/>
  <c r="H47" i="132" s="1"/>
  <c r="C26" i="22" s="1"/>
  <c r="O26" i="22" s="1"/>
  <c r="F91" i="10"/>
  <c r="G94" i="10"/>
  <c r="E61" i="10"/>
  <c r="E19" i="132"/>
  <c r="E16" i="132"/>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D13" i="16" l="1"/>
  <c r="C14" i="20"/>
  <c r="F39" i="39"/>
  <c r="AJ33" i="25"/>
  <c r="AJ44" i="25" s="1"/>
  <c r="F16" i="20"/>
  <c r="E16" i="20"/>
  <c r="J27" i="114"/>
  <c r="J16" i="10"/>
  <c r="E25" i="7" s="1"/>
  <c r="G17" i="10"/>
  <c r="G89" i="10"/>
  <c r="I96" i="10"/>
  <c r="I14" i="10" s="1"/>
  <c r="F97" i="10"/>
  <c r="J11" i="9"/>
  <c r="J17" i="9"/>
  <c r="E17" i="7" s="1"/>
  <c r="J24" i="9"/>
  <c r="E18" i="7" s="1"/>
  <c r="J66" i="8"/>
  <c r="H38" i="114"/>
  <c r="G11" i="114"/>
  <c r="F35" i="114"/>
  <c r="I32" i="114"/>
  <c r="C20" i="41"/>
  <c r="C15" i="41" s="1"/>
  <c r="C10" i="41" s="1"/>
  <c r="N31" i="12"/>
  <c r="X41" i="25"/>
  <c r="X10" i="25"/>
  <c r="O17" i="22"/>
  <c r="C16" i="22"/>
  <c r="O36" i="22"/>
  <c r="C35" i="22"/>
  <c r="H119" i="9"/>
  <c r="H118" i="9" s="1"/>
  <c r="J65" i="9"/>
  <c r="H38" i="9"/>
  <c r="C20" i="7" s="1"/>
  <c r="I47" i="57"/>
  <c r="E24" i="47" s="1"/>
  <c r="I24" i="47" s="1"/>
  <c r="E47" i="57"/>
  <c r="I65" i="9"/>
  <c r="I52" i="132"/>
  <c r="D34" i="22"/>
  <c r="D27" i="22" s="1"/>
  <c r="D25" i="109" s="1"/>
  <c r="D25" i="65" s="1"/>
  <c r="J25" i="70" s="1"/>
  <c r="K25" i="70" s="1"/>
  <c r="I10" i="20"/>
  <c r="E53" i="7" s="1"/>
  <c r="F11" i="20"/>
  <c r="I16" i="10"/>
  <c r="D25" i="7" s="1"/>
  <c r="F17" i="10"/>
  <c r="F89" i="10"/>
  <c r="H96" i="10"/>
  <c r="H88" i="10" s="1"/>
  <c r="C28" i="7" s="1"/>
  <c r="E97" i="10"/>
  <c r="G32" i="10"/>
  <c r="J22" i="10"/>
  <c r="G22" i="10" s="1"/>
  <c r="G51" i="10"/>
  <c r="J50" i="10"/>
  <c r="E108" i="10"/>
  <c r="H102" i="10"/>
  <c r="E102" i="10" s="1"/>
  <c r="H105" i="10"/>
  <c r="J26" i="8"/>
  <c r="I30" i="8"/>
  <c r="J13" i="9"/>
  <c r="J45" i="9"/>
  <c r="E21" i="7" s="1"/>
  <c r="D15" i="16"/>
  <c r="F11" i="114"/>
  <c r="I10" i="114"/>
  <c r="C43" i="7" s="1"/>
  <c r="E19" i="16"/>
  <c r="G18" i="16"/>
  <c r="E18" i="16" s="1"/>
  <c r="G18" i="114"/>
  <c r="J16" i="114"/>
  <c r="M10" i="20"/>
  <c r="L10" i="20" s="1"/>
  <c r="P31" i="12"/>
  <c r="R11" i="12"/>
  <c r="S11" i="12" s="1"/>
  <c r="T11" i="12" s="1"/>
  <c r="T31" i="12" s="1"/>
  <c r="F25" i="39"/>
  <c r="C24" i="39"/>
  <c r="F24" i="39" s="1"/>
  <c r="K55" i="65"/>
  <c r="J54" i="70"/>
  <c r="K54" i="70" s="1"/>
  <c r="C19" i="1"/>
  <c r="D10" i="128"/>
  <c r="J46" i="40"/>
  <c r="C45" i="40"/>
  <c r="J45" i="40" s="1"/>
  <c r="G13" i="114"/>
  <c r="H14" i="114"/>
  <c r="C94" i="11"/>
  <c r="C93" i="11" s="1"/>
  <c r="C109" i="11"/>
  <c r="C108" i="11" s="1"/>
  <c r="D30" i="70"/>
  <c r="E30" i="70" s="1"/>
  <c r="U29" i="41"/>
  <c r="W40" i="25"/>
  <c r="C39" i="25"/>
  <c r="H52" i="132"/>
  <c r="E17" i="10"/>
  <c r="H16" i="10"/>
  <c r="C25" i="7" s="1"/>
  <c r="J95" i="9"/>
  <c r="H25" i="8"/>
  <c r="I52" i="9"/>
  <c r="D22" i="7" s="1"/>
  <c r="J112" i="10"/>
  <c r="J111" i="10" s="1"/>
  <c r="G113" i="10"/>
  <c r="J100" i="10"/>
  <c r="F32" i="10"/>
  <c r="I22" i="10"/>
  <c r="F22" i="10" s="1"/>
  <c r="I50" i="10"/>
  <c r="F51" i="10"/>
  <c r="H24" i="9"/>
  <c r="C18" i="7" s="1"/>
  <c r="I61" i="9"/>
  <c r="G38" i="114"/>
  <c r="E19" i="109"/>
  <c r="E19" i="65" s="1"/>
  <c r="P19" i="70" s="1"/>
  <c r="Q19" i="70" s="1"/>
  <c r="F103" i="10"/>
  <c r="G103" i="10"/>
  <c r="U28" i="41"/>
  <c r="X27" i="41"/>
  <c r="C27" i="22"/>
  <c r="U21" i="41"/>
  <c r="E120" i="10"/>
  <c r="H103" i="10"/>
  <c r="E103" i="10" s="1"/>
  <c r="I67" i="9"/>
  <c r="I60" i="9"/>
  <c r="I119" i="9"/>
  <c r="I118" i="9" s="1"/>
  <c r="H102" i="9"/>
  <c r="I95" i="9"/>
  <c r="J102" i="9"/>
  <c r="K32" i="114"/>
  <c r="K36" i="114"/>
  <c r="H37" i="114"/>
  <c r="R25" i="41"/>
  <c r="M24" i="41"/>
  <c r="R24" i="41" s="1"/>
  <c r="D51" i="109"/>
  <c r="D51" i="65" s="1"/>
  <c r="J50" i="70" s="1"/>
  <c r="K50" i="70" s="1"/>
  <c r="C15" i="68"/>
  <c r="K10" i="40"/>
  <c r="D27" i="38"/>
  <c r="F37" i="70"/>
  <c r="X15" i="41"/>
  <c r="U20" i="41"/>
  <c r="H99" i="11"/>
  <c r="E99" i="11" s="1"/>
  <c r="E114" i="11"/>
  <c r="I105" i="10"/>
  <c r="I102" i="10"/>
  <c r="F102" i="10" s="1"/>
  <c r="F108" i="10"/>
  <c r="G37" i="114"/>
  <c r="J36" i="114"/>
  <c r="G14" i="114"/>
  <c r="H11" i="114"/>
  <c r="K10" i="114"/>
  <c r="E43" i="7" s="1"/>
  <c r="V28" i="73"/>
  <c r="W28" i="73" s="1"/>
  <c r="O54" i="22"/>
  <c r="E16" i="22"/>
  <c r="O18" i="22"/>
  <c r="D53" i="65"/>
  <c r="O53" i="109"/>
  <c r="AJ41" i="25"/>
  <c r="AJ39" i="25" s="1"/>
  <c r="AJ10" i="25"/>
  <c r="C99" i="10"/>
  <c r="I112" i="10"/>
  <c r="I111" i="10" s="1"/>
  <c r="I100" i="10"/>
  <c r="F113" i="10"/>
  <c r="E51" i="10"/>
  <c r="H50" i="10"/>
  <c r="I81" i="9"/>
  <c r="I23" i="10"/>
  <c r="F23" i="10" s="1"/>
  <c r="F33" i="10"/>
  <c r="E36" i="10"/>
  <c r="H26" i="10"/>
  <c r="J119" i="9"/>
  <c r="J118" i="9" s="1"/>
  <c r="J52" i="9"/>
  <c r="E22" i="7" s="1"/>
  <c r="C10" i="16"/>
  <c r="I36" i="114"/>
  <c r="F37" i="114"/>
  <c r="H22" i="114"/>
  <c r="K21" i="114"/>
  <c r="E44" i="7" s="1"/>
  <c r="P54" i="12"/>
  <c r="R52" i="12"/>
  <c r="C30" i="41"/>
  <c r="U30" i="41" s="1"/>
  <c r="I27" i="22"/>
  <c r="V14" i="73"/>
  <c r="H30" i="8"/>
  <c r="E33" i="10"/>
  <c r="H23" i="10"/>
  <c r="E23" i="10" s="1"/>
  <c r="J104" i="10"/>
  <c r="G104" i="10" s="1"/>
  <c r="G121" i="10"/>
  <c r="I102" i="9"/>
  <c r="H61" i="9"/>
  <c r="H60" i="9"/>
  <c r="H67" i="9"/>
  <c r="E41" i="10"/>
  <c r="H40" i="10"/>
  <c r="D14" i="16"/>
  <c r="E15" i="19"/>
  <c r="C49" i="7" s="1"/>
  <c r="E27" i="19"/>
  <c r="E28" i="19" s="1"/>
  <c r="J43" i="40"/>
  <c r="C39" i="40"/>
  <c r="J39" i="40" s="1"/>
  <c r="F15" i="41"/>
  <c r="F10" i="41" s="1"/>
  <c r="R20" i="41"/>
  <c r="R15" i="41" s="1"/>
  <c r="R10" i="41" s="1"/>
  <c r="J32" i="40"/>
  <c r="F48" i="57"/>
  <c r="H104" i="10"/>
  <c r="E104" i="10" s="1"/>
  <c r="E121" i="10"/>
  <c r="E82" i="10"/>
  <c r="H81" i="10"/>
  <c r="C27" i="7" s="1"/>
  <c r="J27" i="7" s="1"/>
  <c r="J105" i="10"/>
  <c r="J102" i="10"/>
  <c r="G102" i="10" s="1"/>
  <c r="G108" i="10"/>
  <c r="I27" i="10"/>
  <c r="F37" i="10"/>
  <c r="J26" i="10"/>
  <c r="G36" i="10"/>
  <c r="H112" i="10"/>
  <c r="H111" i="10" s="1"/>
  <c r="H100" i="10"/>
  <c r="E113" i="10"/>
  <c r="J60" i="9"/>
  <c r="J67" i="9"/>
  <c r="V27" i="73"/>
  <c r="W27" i="73" s="1"/>
  <c r="O53" i="22"/>
  <c r="I52" i="22"/>
  <c r="I22" i="132"/>
  <c r="D24" i="22"/>
  <c r="I26" i="10"/>
  <c r="F36" i="10"/>
  <c r="G31" i="10"/>
  <c r="J21" i="10"/>
  <c r="K66" i="59"/>
  <c r="H67" i="59"/>
  <c r="G35" i="114"/>
  <c r="J32" i="114"/>
  <c r="S34" i="12"/>
  <c r="T34" i="12" s="1"/>
  <c r="E12" i="10"/>
  <c r="G12" i="10"/>
  <c r="F12" i="10"/>
  <c r="E69" i="10"/>
  <c r="H68" i="10"/>
  <c r="H60" i="10" s="1"/>
  <c r="H29" i="10"/>
  <c r="I104" i="10"/>
  <c r="F104" i="10" s="1"/>
  <c r="F121" i="10"/>
  <c r="H31" i="9"/>
  <c r="C19" i="7" s="1"/>
  <c r="H45" i="9"/>
  <c r="C21" i="7" s="1"/>
  <c r="H81" i="9"/>
  <c r="J25" i="8"/>
  <c r="H46" i="57"/>
  <c r="H10" i="57" s="1"/>
  <c r="D47" i="57"/>
  <c r="D46" i="57" s="1"/>
  <c r="J52" i="132"/>
  <c r="E34" i="22"/>
  <c r="E27" i="22" s="1"/>
  <c r="E25" i="109" s="1"/>
  <c r="E25" i="65" s="1"/>
  <c r="P25" i="70" s="1"/>
  <c r="Q25" i="70" s="1"/>
  <c r="E15" i="16"/>
  <c r="J21" i="114"/>
  <c r="D44" i="7" s="1"/>
  <c r="G22" i="114"/>
  <c r="C20" i="40"/>
  <c r="J21" i="40"/>
  <c r="C27" i="39"/>
  <c r="F27" i="39" s="1"/>
  <c r="F28" i="39"/>
  <c r="F20" i="45"/>
  <c r="E35" i="109"/>
  <c r="J33" i="38"/>
  <c r="D41" i="70"/>
  <c r="E41" i="70" s="1"/>
  <c r="G10" i="39"/>
  <c r="D17" i="38"/>
  <c r="J27" i="10"/>
  <c r="G37" i="10"/>
  <c r="H22" i="10"/>
  <c r="E22" i="10" s="1"/>
  <c r="E32" i="10"/>
  <c r="N62" i="109"/>
  <c r="I52" i="7"/>
  <c r="N61" i="109" s="1"/>
  <c r="G82" i="10"/>
  <c r="J81" i="10"/>
  <c r="E27" i="7" s="1"/>
  <c r="J61" i="9"/>
  <c r="F27" i="41"/>
  <c r="R28" i="41"/>
  <c r="J40" i="10"/>
  <c r="G41" i="10"/>
  <c r="I30" i="10"/>
  <c r="I21" i="10"/>
  <c r="F31" i="10"/>
  <c r="I26" i="8"/>
  <c r="F41" i="10"/>
  <c r="I40" i="10"/>
  <c r="G61" i="10"/>
  <c r="J60" i="10"/>
  <c r="J96" i="10"/>
  <c r="J14" i="10" s="1"/>
  <c r="G97" i="10"/>
  <c r="I81" i="10"/>
  <c r="D27" i="7" s="1"/>
  <c r="F82" i="10"/>
  <c r="I38" i="9"/>
  <c r="D20" i="7" s="1"/>
  <c r="I62" i="9"/>
  <c r="J81" i="9"/>
  <c r="I50" i="57"/>
  <c r="G48" i="57"/>
  <c r="G46" i="57" s="1"/>
  <c r="E50" i="57"/>
  <c r="J38" i="9"/>
  <c r="E20" i="7" s="1"/>
  <c r="E12" i="16"/>
  <c r="G11" i="16"/>
  <c r="D19" i="16"/>
  <c r="F18" i="16"/>
  <c r="D18" i="16" s="1"/>
  <c r="C17" i="19"/>
  <c r="C11" i="19"/>
  <c r="E23" i="19"/>
  <c r="E29" i="19" s="1"/>
  <c r="C16" i="19"/>
  <c r="L24" i="114"/>
  <c r="L21" i="114" s="1"/>
  <c r="C58" i="7"/>
  <c r="L45" i="70"/>
  <c r="C10" i="39"/>
  <c r="F15" i="39"/>
  <c r="C25" i="40"/>
  <c r="J26" i="40"/>
  <c r="P47" i="12"/>
  <c r="N50" i="12"/>
  <c r="C12" i="13" s="1"/>
  <c r="D12" i="13" s="1"/>
  <c r="C28" i="40"/>
  <c r="J29" i="40"/>
  <c r="M39" i="41"/>
  <c r="G29" i="10"/>
  <c r="C28" i="10"/>
  <c r="C14" i="10" s="1"/>
  <c r="C10" i="10" s="1"/>
  <c r="F29" i="10"/>
  <c r="F38" i="70"/>
  <c r="I60" i="10"/>
  <c r="F61" i="10"/>
  <c r="H30" i="10"/>
  <c r="E31" i="10"/>
  <c r="H21" i="10"/>
  <c r="J12" i="9"/>
  <c r="I21" i="114"/>
  <c r="C44" i="7" s="1"/>
  <c r="F22" i="114"/>
  <c r="L65" i="59"/>
  <c r="I66" i="59"/>
  <c r="P35" i="12"/>
  <c r="N45" i="12"/>
  <c r="C11" i="13" s="1"/>
  <c r="D11" i="13" s="1"/>
  <c r="Q55" i="12"/>
  <c r="H22" i="132"/>
  <c r="F43" i="70"/>
  <c r="C30" i="109"/>
  <c r="O57" i="22"/>
  <c r="E20" i="132"/>
  <c r="E21" i="132"/>
  <c r="H13" i="9"/>
  <c r="H17" i="9"/>
  <c r="C17" i="7" s="1"/>
  <c r="I12" i="9"/>
  <c r="J61" i="8"/>
  <c r="E47" i="10"/>
  <c r="N63" i="109"/>
  <c r="E95" i="10"/>
  <c r="M63" i="109"/>
  <c r="K63" i="109"/>
  <c r="L63" i="109"/>
  <c r="I82" i="8" l="1"/>
  <c r="F10" i="39"/>
  <c r="F10" i="16"/>
  <c r="D39" i="7" s="1"/>
  <c r="D38" i="7" s="1"/>
  <c r="J63" i="8"/>
  <c r="I46" i="57"/>
  <c r="E46" i="57"/>
  <c r="G10" i="57"/>
  <c r="H27" i="8"/>
  <c r="J18" i="8"/>
  <c r="I31" i="9"/>
  <c r="D19" i="7" s="1"/>
  <c r="I20" i="10"/>
  <c r="D26" i="7" s="1"/>
  <c r="F21" i="10"/>
  <c r="G14" i="10"/>
  <c r="I45" i="9"/>
  <c r="D21" i="7" s="1"/>
  <c r="J21" i="7" s="1"/>
  <c r="J58" i="7"/>
  <c r="C57" i="7"/>
  <c r="I59" i="9"/>
  <c r="D23" i="7" s="1"/>
  <c r="F15" i="20"/>
  <c r="I14" i="20"/>
  <c r="E54" i="7" s="1"/>
  <c r="E63" i="109" s="1"/>
  <c r="E62" i="65" s="1"/>
  <c r="P61" i="70" s="1"/>
  <c r="Q61" i="70" s="1"/>
  <c r="H14" i="20"/>
  <c r="D54" i="7" s="1"/>
  <c r="D63" i="109" s="1"/>
  <c r="D62" i="65" s="1"/>
  <c r="J61" i="70" s="1"/>
  <c r="K61" i="70" s="1"/>
  <c r="E15" i="20"/>
  <c r="H21" i="8"/>
  <c r="D19" i="109"/>
  <c r="D19" i="65" s="1"/>
  <c r="J19" i="70" s="1"/>
  <c r="K19" i="70" s="1"/>
  <c r="J30" i="8"/>
  <c r="I16" i="9"/>
  <c r="H63" i="8"/>
  <c r="C14" i="22"/>
  <c r="O14" i="22" s="1"/>
  <c r="E13" i="132"/>
  <c r="M62" i="109"/>
  <c r="H52" i="7"/>
  <c r="M61" i="109" s="1"/>
  <c r="L59" i="59"/>
  <c r="I65" i="59"/>
  <c r="E11" i="16"/>
  <c r="G10" i="16"/>
  <c r="C39" i="7" s="1"/>
  <c r="C15" i="40"/>
  <c r="J20" i="40"/>
  <c r="G21" i="10"/>
  <c r="J52" i="70"/>
  <c r="K52" i="70" s="1"/>
  <c r="K53" i="65"/>
  <c r="K31" i="114"/>
  <c r="E45" i="7" s="1"/>
  <c r="E42" i="7" s="1"/>
  <c r="U27" i="41"/>
  <c r="E29" i="38"/>
  <c r="J29" i="38" s="1"/>
  <c r="W39" i="25"/>
  <c r="F25" i="22"/>
  <c r="L54" i="70"/>
  <c r="I11" i="10"/>
  <c r="C24" i="109"/>
  <c r="H61" i="8"/>
  <c r="H68" i="8"/>
  <c r="H11" i="9"/>
  <c r="H52" i="9"/>
  <c r="C22" i="7" s="1"/>
  <c r="J22" i="7" s="1"/>
  <c r="F41" i="70"/>
  <c r="J59" i="9"/>
  <c r="E23" i="7" s="1"/>
  <c r="J30" i="10"/>
  <c r="J23" i="10"/>
  <c r="G23" i="10" s="1"/>
  <c r="G33" i="10"/>
  <c r="E10" i="13"/>
  <c r="I32" i="8"/>
  <c r="I25" i="8"/>
  <c r="F52" i="7"/>
  <c r="K61" i="109" s="1"/>
  <c r="K62" i="109"/>
  <c r="I68" i="8"/>
  <c r="I61" i="8"/>
  <c r="G14" i="20"/>
  <c r="C54" i="7" s="1"/>
  <c r="D15" i="20"/>
  <c r="H27" i="10"/>
  <c r="E37" i="10"/>
  <c r="J21" i="8"/>
  <c r="P45" i="12"/>
  <c r="R35" i="12"/>
  <c r="I75" i="8"/>
  <c r="H62" i="9"/>
  <c r="I63" i="8"/>
  <c r="I11" i="9"/>
  <c r="I17" i="9"/>
  <c r="D17" i="7" s="1"/>
  <c r="F27" i="10"/>
  <c r="I15" i="10"/>
  <c r="F15" i="10" s="1"/>
  <c r="H59" i="9"/>
  <c r="C23" i="7" s="1"/>
  <c r="J23" i="7" s="1"/>
  <c r="E10" i="22"/>
  <c r="E22" i="109" s="1"/>
  <c r="E22" i="65" s="1"/>
  <c r="P22" i="70" s="1"/>
  <c r="Q22" i="70" s="1"/>
  <c r="E24" i="109"/>
  <c r="E24" i="65" s="1"/>
  <c r="P24" i="70" s="1"/>
  <c r="Q24" i="70" s="1"/>
  <c r="D22" i="38"/>
  <c r="D21" i="38"/>
  <c r="F30" i="70"/>
  <c r="X39" i="25"/>
  <c r="AH41" i="25"/>
  <c r="G30" i="22"/>
  <c r="I27" i="8"/>
  <c r="R25" i="70"/>
  <c r="J20" i="7"/>
  <c r="N55" i="12"/>
  <c r="C10" i="13"/>
  <c r="F14" i="10"/>
  <c r="J44" i="7"/>
  <c r="I66" i="8"/>
  <c r="F26" i="10"/>
  <c r="I13" i="10"/>
  <c r="F13" i="10" s="1"/>
  <c r="J49" i="7"/>
  <c r="C47" i="7"/>
  <c r="V10" i="73"/>
  <c r="W10" i="73" s="1"/>
  <c r="W14" i="73"/>
  <c r="L50" i="70"/>
  <c r="R19" i="70"/>
  <c r="R31" i="12"/>
  <c r="L25" i="70"/>
  <c r="J88" i="10"/>
  <c r="E28" i="7" s="1"/>
  <c r="E52" i="7"/>
  <c r="E61" i="109" s="1"/>
  <c r="E60" i="65" s="1"/>
  <c r="P59" i="70" s="1"/>
  <c r="Q59" i="70" s="1"/>
  <c r="E62" i="109"/>
  <c r="E61" i="65" s="1"/>
  <c r="P60" i="70" s="1"/>
  <c r="Q60" i="70" s="1"/>
  <c r="J68" i="8"/>
  <c r="J62" i="8"/>
  <c r="J60" i="8" s="1"/>
  <c r="E15" i="7" s="1"/>
  <c r="H62" i="8"/>
  <c r="E21" i="10"/>
  <c r="I48" i="57"/>
  <c r="E25" i="47" s="1"/>
  <c r="E23" i="47" s="1"/>
  <c r="E48" i="57"/>
  <c r="J19" i="7"/>
  <c r="J31" i="114"/>
  <c r="D45" i="7" s="1"/>
  <c r="D16" i="22"/>
  <c r="O24" i="22"/>
  <c r="E100" i="10"/>
  <c r="H99" i="10"/>
  <c r="C29" i="7" s="1"/>
  <c r="I25" i="109"/>
  <c r="I25" i="65" s="1"/>
  <c r="I10" i="22"/>
  <c r="I22" i="109" s="1"/>
  <c r="H13" i="10"/>
  <c r="E13" i="10" s="1"/>
  <c r="E26" i="10"/>
  <c r="I99" i="10"/>
  <c r="D29" i="7" s="1"/>
  <c r="F100" i="10"/>
  <c r="I31" i="114"/>
  <c r="C45" i="7" s="1"/>
  <c r="J75" i="8"/>
  <c r="O30" i="109"/>
  <c r="C30" i="65"/>
  <c r="E35" i="65"/>
  <c r="O35" i="109"/>
  <c r="X28" i="73"/>
  <c r="R39" i="41"/>
  <c r="M30" i="41"/>
  <c r="R30" i="41" s="1"/>
  <c r="H44" i="11"/>
  <c r="I53" i="8"/>
  <c r="D14" i="7" s="1"/>
  <c r="I13" i="9"/>
  <c r="C13" i="22"/>
  <c r="O13" i="22" s="1"/>
  <c r="E12" i="132"/>
  <c r="J28" i="40"/>
  <c r="C27" i="40"/>
  <c r="J27" i="40" s="1"/>
  <c r="F48" i="41"/>
  <c r="R27" i="41"/>
  <c r="H18" i="132"/>
  <c r="H14" i="132" s="1"/>
  <c r="C15" i="22" s="1"/>
  <c r="O15" i="22" s="1"/>
  <c r="H11" i="10"/>
  <c r="I23" i="8"/>
  <c r="J11" i="10"/>
  <c r="J82" i="8"/>
  <c r="H10" i="20"/>
  <c r="D53" i="7" s="1"/>
  <c r="E11" i="20"/>
  <c r="J25" i="7"/>
  <c r="J10" i="114"/>
  <c r="D43" i="7" s="1"/>
  <c r="D12" i="16"/>
  <c r="H11" i="16"/>
  <c r="O34" i="22"/>
  <c r="H16" i="9"/>
  <c r="H75" i="8"/>
  <c r="I21" i="8"/>
  <c r="G52" i="7"/>
  <c r="L61" i="109" s="1"/>
  <c r="L62" i="109"/>
  <c r="F46" i="57"/>
  <c r="D10" i="57"/>
  <c r="F10" i="57" s="1"/>
  <c r="O52" i="22"/>
  <c r="I29" i="109"/>
  <c r="S52" i="12"/>
  <c r="T52" i="12" s="1"/>
  <c r="T54" i="12" s="1"/>
  <c r="E13" i="13" s="1"/>
  <c r="R54" i="12"/>
  <c r="H66" i="8"/>
  <c r="H65" i="9"/>
  <c r="H32" i="8"/>
  <c r="H26" i="8"/>
  <c r="I24" i="9"/>
  <c r="D18" i="7" s="1"/>
  <c r="J18" i="7" s="1"/>
  <c r="P50" i="12"/>
  <c r="P55" i="12" s="1"/>
  <c r="R47" i="12"/>
  <c r="H53" i="8"/>
  <c r="C14" i="7" s="1"/>
  <c r="J19" i="8"/>
  <c r="H95" i="9"/>
  <c r="D11" i="20"/>
  <c r="G10" i="20"/>
  <c r="C53" i="7" s="1"/>
  <c r="C12" i="22"/>
  <c r="H10" i="132"/>
  <c r="E11" i="132"/>
  <c r="J15" i="10"/>
  <c r="G15" i="10" s="1"/>
  <c r="G27" i="10"/>
  <c r="C20" i="10"/>
  <c r="E29" i="10"/>
  <c r="H28" i="10"/>
  <c r="H14" i="10" s="1"/>
  <c r="E14" i="10" s="1"/>
  <c r="K65" i="59"/>
  <c r="H66" i="59"/>
  <c r="X27" i="73"/>
  <c r="C30" i="40"/>
  <c r="J30" i="40" s="1"/>
  <c r="U15" i="41"/>
  <c r="E27" i="38"/>
  <c r="X10" i="41"/>
  <c r="I88" i="10"/>
  <c r="D28" i="7" s="1"/>
  <c r="J16" i="9"/>
  <c r="C26" i="109"/>
  <c r="O35" i="22"/>
  <c r="H12" i="9"/>
  <c r="J25" i="40"/>
  <c r="C24" i="40"/>
  <c r="J24" i="40" s="1"/>
  <c r="I62" i="8"/>
  <c r="J17" i="38"/>
  <c r="D11" i="38"/>
  <c r="G26" i="10"/>
  <c r="J13" i="10"/>
  <c r="G13" i="10" s="1"/>
  <c r="J31" i="9"/>
  <c r="E19" i="7" s="1"/>
  <c r="C25" i="109"/>
  <c r="J99" i="10"/>
  <c r="E29" i="7" s="1"/>
  <c r="G100" i="10"/>
  <c r="J53" i="8"/>
  <c r="E14" i="7" s="1"/>
  <c r="C18" i="1"/>
  <c r="J19" i="1"/>
  <c r="J43" i="7"/>
  <c r="D42" i="7" l="1"/>
  <c r="D20" i="109" s="1"/>
  <c r="D20" i="65" s="1"/>
  <c r="J20" i="70" s="1"/>
  <c r="K20" i="70" s="1"/>
  <c r="J45" i="7"/>
  <c r="J20" i="10"/>
  <c r="E26" i="7" s="1"/>
  <c r="G27" i="22"/>
  <c r="O30" i="22"/>
  <c r="I24" i="8"/>
  <c r="D13" i="7" s="1"/>
  <c r="I18" i="8"/>
  <c r="C42" i="7"/>
  <c r="J11" i="38"/>
  <c r="D32" i="109"/>
  <c r="E22" i="38"/>
  <c r="J22" i="38" s="1"/>
  <c r="E21" i="38"/>
  <c r="J14" i="7"/>
  <c r="G11" i="10"/>
  <c r="J10" i="10"/>
  <c r="Z14" i="73"/>
  <c r="Y14" i="73"/>
  <c r="X14" i="73"/>
  <c r="D10" i="13"/>
  <c r="C15" i="13"/>
  <c r="J54" i="7"/>
  <c r="C63" i="109"/>
  <c r="E20" i="109"/>
  <c r="E20" i="65" s="1"/>
  <c r="P20" i="70" s="1"/>
  <c r="Q20" i="70" s="1"/>
  <c r="E37" i="7"/>
  <c r="E18" i="109" s="1"/>
  <c r="E18" i="65" s="1"/>
  <c r="P18" i="70" s="1"/>
  <c r="Q18" i="70" s="1"/>
  <c r="I59" i="59"/>
  <c r="L10" i="59"/>
  <c r="I10" i="59" s="1"/>
  <c r="D37" i="7"/>
  <c r="D18" i="109" s="1"/>
  <c r="D18" i="65" s="1"/>
  <c r="J18" i="70" s="1"/>
  <c r="K18" i="70" s="1"/>
  <c r="H18" i="8"/>
  <c r="H60" i="8"/>
  <c r="C15" i="7" s="1"/>
  <c r="L19" i="70"/>
  <c r="J57" i="7"/>
  <c r="C66" i="109"/>
  <c r="O29" i="109"/>
  <c r="I29" i="65"/>
  <c r="K29" i="65" s="1"/>
  <c r="H10" i="16"/>
  <c r="D11" i="16"/>
  <c r="I10" i="109"/>
  <c r="I10" i="65" s="1"/>
  <c r="I22" i="65"/>
  <c r="X10" i="73"/>
  <c r="I19" i="8"/>
  <c r="L52" i="70"/>
  <c r="L20" i="70"/>
  <c r="K35" i="65"/>
  <c r="P34" i="70"/>
  <c r="Q34" i="70" s="1"/>
  <c r="J29" i="7"/>
  <c r="J47" i="7"/>
  <c r="C21" i="109"/>
  <c r="J27" i="38"/>
  <c r="D16" i="7"/>
  <c r="D14" i="109" s="1"/>
  <c r="D14" i="65" s="1"/>
  <c r="J14" i="70" s="1"/>
  <c r="K14" i="70" s="1"/>
  <c r="I60" i="8"/>
  <c r="D15" i="7" s="1"/>
  <c r="C24" i="65"/>
  <c r="D24" i="70" s="1"/>
  <c r="E24" i="70" s="1"/>
  <c r="E24" i="7"/>
  <c r="E15" i="109" s="1"/>
  <c r="E15" i="65" s="1"/>
  <c r="P15" i="70" s="1"/>
  <c r="Q15" i="70" s="1"/>
  <c r="H19" i="8"/>
  <c r="J18" i="1"/>
  <c r="C10" i="1"/>
  <c r="C54" i="109"/>
  <c r="O12" i="22"/>
  <c r="C11" i="22"/>
  <c r="D33" i="109"/>
  <c r="J21" i="38"/>
  <c r="I10" i="9"/>
  <c r="F11" i="10"/>
  <c r="I10" i="10"/>
  <c r="H14" i="8"/>
  <c r="C26" i="65"/>
  <c r="O26" i="109"/>
  <c r="R50" i="12"/>
  <c r="S47" i="12"/>
  <c r="T47" i="12" s="1"/>
  <c r="T50" i="12" s="1"/>
  <c r="E12" i="13" s="1"/>
  <c r="E11" i="10"/>
  <c r="H10" i="10"/>
  <c r="D29" i="70"/>
  <c r="E29" i="70" s="1"/>
  <c r="K30" i="65"/>
  <c r="C52" i="7"/>
  <c r="J53" i="7"/>
  <c r="C62" i="109"/>
  <c r="H23" i="8"/>
  <c r="S35" i="12"/>
  <c r="T35" i="12" s="1"/>
  <c r="T45" i="12" s="1"/>
  <c r="R45" i="12"/>
  <c r="R55" i="12" s="1"/>
  <c r="E16" i="7"/>
  <c r="E14" i="109" s="1"/>
  <c r="E14" i="65" s="1"/>
  <c r="P14" i="70" s="1"/>
  <c r="Q14" i="70" s="1"/>
  <c r="H20" i="8"/>
  <c r="L61" i="70"/>
  <c r="C16" i="7"/>
  <c r="C25" i="65"/>
  <c r="D25" i="70" s="1"/>
  <c r="E25" i="70" s="1"/>
  <c r="D10" i="22"/>
  <c r="D24" i="109"/>
  <c r="D24" i="65" s="1"/>
  <c r="J24" i="70" s="1"/>
  <c r="K24" i="70" s="1"/>
  <c r="R24" i="70"/>
  <c r="J32" i="8"/>
  <c r="J27" i="8"/>
  <c r="C10" i="40"/>
  <c r="J10" i="40" s="1"/>
  <c r="J15" i="40"/>
  <c r="H82" i="8"/>
  <c r="K59" i="59"/>
  <c r="D25" i="47"/>
  <c r="H65" i="59"/>
  <c r="I14" i="8"/>
  <c r="H23" i="11"/>
  <c r="I20" i="8"/>
  <c r="R22" i="70"/>
  <c r="J17" i="7"/>
  <c r="D11" i="73"/>
  <c r="F16" i="22"/>
  <c r="O25" i="22"/>
  <c r="I10" i="57"/>
  <c r="E10" i="57"/>
  <c r="J14" i="8"/>
  <c r="D62" i="109"/>
  <c r="D61" i="65" s="1"/>
  <c r="J60" i="70" s="1"/>
  <c r="K60" i="70" s="1"/>
  <c r="D52" i="7"/>
  <c r="D61" i="109" s="1"/>
  <c r="D60" i="65" s="1"/>
  <c r="J59" i="70" s="1"/>
  <c r="K59" i="70" s="1"/>
  <c r="R60" i="70"/>
  <c r="J13" i="73"/>
  <c r="AH39" i="25"/>
  <c r="J39" i="7"/>
  <c r="C38" i="7"/>
  <c r="R61" i="70"/>
  <c r="D24" i="7"/>
  <c r="D15" i="109" s="1"/>
  <c r="D15" i="65" s="1"/>
  <c r="J15" i="70" s="1"/>
  <c r="K15" i="70" s="1"/>
  <c r="E47" i="109"/>
  <c r="E47" i="65" s="1"/>
  <c r="P46" i="70" s="1"/>
  <c r="Q46" i="70" s="1"/>
  <c r="E10" i="47"/>
  <c r="E42" i="109" s="1"/>
  <c r="E42" i="65" s="1"/>
  <c r="P41" i="70" s="1"/>
  <c r="Q41" i="70" s="1"/>
  <c r="R59" i="70"/>
  <c r="E27" i="10"/>
  <c r="H15" i="10"/>
  <c r="E15" i="10" s="1"/>
  <c r="H10" i="9"/>
  <c r="J23" i="8"/>
  <c r="X50" i="41"/>
  <c r="U50" i="41" s="1"/>
  <c r="U10" i="41"/>
  <c r="H24" i="8"/>
  <c r="C13" i="7" s="1"/>
  <c r="H20" i="10"/>
  <c r="C26" i="7" s="1"/>
  <c r="J28" i="7"/>
  <c r="J10" i="9"/>
  <c r="R41" i="70" l="1"/>
  <c r="F29" i="70"/>
  <c r="O63" i="109"/>
  <c r="C62" i="65"/>
  <c r="D10" i="73"/>
  <c r="E10" i="73" s="1"/>
  <c r="E11" i="73"/>
  <c r="R46" i="70"/>
  <c r="F24" i="109"/>
  <c r="F24" i="65" s="1"/>
  <c r="K24" i="65" s="1"/>
  <c r="F10" i="22"/>
  <c r="F22" i="109" s="1"/>
  <c r="F24" i="70"/>
  <c r="O32" i="109"/>
  <c r="D32" i="65"/>
  <c r="L24" i="70"/>
  <c r="D33" i="65"/>
  <c r="L60" i="70"/>
  <c r="H59" i="59"/>
  <c r="K10" i="59"/>
  <c r="H10" i="59" s="1"/>
  <c r="L14" i="70"/>
  <c r="L59" i="70"/>
  <c r="D23" i="47"/>
  <c r="I25" i="47"/>
  <c r="D15" i="13"/>
  <c r="C20" i="109"/>
  <c r="J42" i="7"/>
  <c r="D22" i="109"/>
  <c r="D22" i="65" s="1"/>
  <c r="J22" i="70" s="1"/>
  <c r="K22" i="70" s="1"/>
  <c r="C12" i="68"/>
  <c r="E11" i="13"/>
  <c r="E15" i="13" s="1"/>
  <c r="T55" i="12"/>
  <c r="O11" i="22"/>
  <c r="C10" i="22"/>
  <c r="C23" i="109"/>
  <c r="J15" i="7"/>
  <c r="H17" i="8"/>
  <c r="I17" i="8"/>
  <c r="R14" i="70"/>
  <c r="O54" i="109"/>
  <c r="C54" i="65"/>
  <c r="C21" i="65"/>
  <c r="O21" i="109"/>
  <c r="C19" i="109"/>
  <c r="J38" i="7"/>
  <c r="C37" i="7"/>
  <c r="F25" i="70"/>
  <c r="C61" i="65"/>
  <c r="O62" i="109"/>
  <c r="K26" i="65"/>
  <c r="D26" i="70"/>
  <c r="E26" i="70" s="1"/>
  <c r="C51" i="109"/>
  <c r="J10" i="1"/>
  <c r="L18" i="70"/>
  <c r="D12" i="7"/>
  <c r="L15" i="70"/>
  <c r="C14" i="109"/>
  <c r="J16" i="7"/>
  <c r="J26" i="7"/>
  <c r="C24" i="7"/>
  <c r="C61" i="109"/>
  <c r="J52" i="7"/>
  <c r="G13" i="13"/>
  <c r="I13" i="13" s="1"/>
  <c r="R34" i="70"/>
  <c r="G10" i="22"/>
  <c r="G22" i="109" s="1"/>
  <c r="G25" i="109"/>
  <c r="O27" i="22"/>
  <c r="K13" i="73"/>
  <c r="J10" i="73"/>
  <c r="K10" i="73" s="1"/>
  <c r="H16" i="11"/>
  <c r="H16" i="8" s="1"/>
  <c r="C56" i="7" s="1"/>
  <c r="J20" i="8"/>
  <c r="J24" i="8"/>
  <c r="E13" i="7" s="1"/>
  <c r="E12" i="7" s="1"/>
  <c r="R18" i="70"/>
  <c r="E33" i="109"/>
  <c r="E33" i="65" s="1"/>
  <c r="P32" i="70" s="1"/>
  <c r="Q32" i="70" s="1"/>
  <c r="C12" i="7"/>
  <c r="R15" i="70"/>
  <c r="C65" i="65"/>
  <c r="O66" i="109"/>
  <c r="R20" i="70"/>
  <c r="O16" i="22"/>
  <c r="J56" i="7" l="1"/>
  <c r="C65" i="109"/>
  <c r="L10" i="73"/>
  <c r="C60" i="65"/>
  <c r="O61" i="109"/>
  <c r="D13" i="109"/>
  <c r="D13" i="65" s="1"/>
  <c r="J13" i="70" s="1"/>
  <c r="K13" i="70" s="1"/>
  <c r="L22" i="70"/>
  <c r="O20" i="109"/>
  <c r="C20" i="65"/>
  <c r="F10" i="73"/>
  <c r="F11" i="73"/>
  <c r="G10" i="109"/>
  <c r="G10" i="65" s="1"/>
  <c r="G22" i="65"/>
  <c r="C19" i="65"/>
  <c r="O19" i="109"/>
  <c r="K62" i="65"/>
  <c r="D61" i="70"/>
  <c r="E61" i="70" s="1"/>
  <c r="C15" i="109"/>
  <c r="J24" i="7"/>
  <c r="G25" i="65"/>
  <c r="K25" i="65" s="1"/>
  <c r="O25" i="109"/>
  <c r="K32" i="65"/>
  <c r="J31" i="70"/>
  <c r="K31" i="70" s="1"/>
  <c r="O14" i="109"/>
  <c r="C14" i="65"/>
  <c r="K65" i="65"/>
  <c r="D64" i="70"/>
  <c r="C64" i="70" s="1"/>
  <c r="E64" i="70" s="1"/>
  <c r="C51" i="65"/>
  <c r="O51" i="109"/>
  <c r="K21" i="65"/>
  <c r="D21" i="70"/>
  <c r="E21" i="70" s="1"/>
  <c r="O24" i="109"/>
  <c r="F26" i="70"/>
  <c r="D53" i="70"/>
  <c r="E53" i="70" s="1"/>
  <c r="K54" i="65"/>
  <c r="C23" i="65"/>
  <c r="O23" i="109"/>
  <c r="D47" i="109"/>
  <c r="I23" i="47"/>
  <c r="D10" i="47"/>
  <c r="O33" i="109"/>
  <c r="J32" i="70"/>
  <c r="K32" i="70" s="1"/>
  <c r="K33" i="65"/>
  <c r="O10" i="22"/>
  <c r="C22" i="109"/>
  <c r="J17" i="8"/>
  <c r="L13" i="73"/>
  <c r="C18" i="109"/>
  <c r="J37" i="7"/>
  <c r="E13" i="109"/>
  <c r="E13" i="65" s="1"/>
  <c r="P13" i="70" s="1"/>
  <c r="Q13" i="70" s="1"/>
  <c r="C13" i="109"/>
  <c r="J12" i="7"/>
  <c r="D60" i="70"/>
  <c r="E60" i="70" s="1"/>
  <c r="K61" i="65"/>
  <c r="F22" i="65"/>
  <c r="F10" i="109"/>
  <c r="F10" i="65" s="1"/>
  <c r="R32" i="70"/>
  <c r="J13" i="7"/>
  <c r="F64" i="70" l="1"/>
  <c r="G64" i="70"/>
  <c r="H64" i="70"/>
  <c r="D23" i="70"/>
  <c r="E23" i="70" s="1"/>
  <c r="K23" i="65"/>
  <c r="K19" i="65"/>
  <c r="D19" i="70"/>
  <c r="E19" i="70" s="1"/>
  <c r="F60" i="70"/>
  <c r="K14" i="65"/>
  <c r="D14" i="70"/>
  <c r="E14" i="70" s="1"/>
  <c r="F53" i="70"/>
  <c r="C22" i="65"/>
  <c r="O22" i="109"/>
  <c r="L31" i="70"/>
  <c r="L13" i="70"/>
  <c r="C13" i="65"/>
  <c r="O13" i="109"/>
  <c r="K60" i="65"/>
  <c r="D59" i="70"/>
  <c r="E59" i="70" s="1"/>
  <c r="R13" i="70"/>
  <c r="F21" i="70"/>
  <c r="H21" i="70"/>
  <c r="G21" i="70"/>
  <c r="D42" i="109"/>
  <c r="C14" i="68"/>
  <c r="I10" i="47"/>
  <c r="C15" i="65"/>
  <c r="O15" i="109"/>
  <c r="L32" i="70"/>
  <c r="C18" i="65"/>
  <c r="O18" i="109"/>
  <c r="F61" i="70"/>
  <c r="K20" i="65"/>
  <c r="D20" i="70"/>
  <c r="E20" i="70" s="1"/>
  <c r="O65" i="109"/>
  <c r="C64" i="65"/>
  <c r="D47" i="65"/>
  <c r="O47" i="109"/>
  <c r="D50" i="70"/>
  <c r="E50" i="70" s="1"/>
  <c r="K51" i="65"/>
  <c r="F14" i="70" l="1"/>
  <c r="D42" i="65"/>
  <c r="O42" i="109"/>
  <c r="F19" i="70"/>
  <c r="K18" i="65"/>
  <c r="D18" i="70"/>
  <c r="E18" i="70" s="1"/>
  <c r="D15" i="70"/>
  <c r="E15" i="70" s="1"/>
  <c r="K15" i="65"/>
  <c r="F20" i="70"/>
  <c r="K13" i="65"/>
  <c r="D13" i="70"/>
  <c r="E13" i="70" s="1"/>
  <c r="D22" i="70"/>
  <c r="E22" i="70" s="1"/>
  <c r="K22" i="65"/>
  <c r="F23" i="70"/>
  <c r="K64" i="65"/>
  <c r="D63" i="70"/>
  <c r="E63" i="70" s="1"/>
  <c r="F50" i="70"/>
  <c r="J46" i="70"/>
  <c r="K46" i="70" s="1"/>
  <c r="K47" i="65"/>
  <c r="F59" i="70"/>
  <c r="F15" i="70" l="1"/>
  <c r="F18" i="70"/>
  <c r="F63" i="70"/>
  <c r="J41" i="70"/>
  <c r="K41" i="70" s="1"/>
  <c r="K42" i="65"/>
  <c r="F22" i="70"/>
  <c r="L46" i="70"/>
  <c r="F13" i="70"/>
  <c r="G16" i="45"/>
  <c r="G17" i="45"/>
  <c r="H12" i="45"/>
  <c r="G12" i="45"/>
  <c r="G19" i="45"/>
  <c r="H29" i="45"/>
  <c r="G13" i="45"/>
  <c r="H26" i="45"/>
  <c r="H19" i="45"/>
  <c r="H17" i="45"/>
  <c r="H18" i="45"/>
  <c r="H16" i="45"/>
  <c r="G18" i="45"/>
  <c r="G26" i="45"/>
  <c r="G29" i="45"/>
  <c r="H13" i="45"/>
  <c r="I21" i="45" l="1"/>
  <c r="G22" i="45"/>
  <c r="G10" i="42"/>
  <c r="D32" i="38"/>
  <c r="F11" i="42"/>
  <c r="H11" i="45"/>
  <c r="L41" i="70"/>
  <c r="I27" i="45"/>
  <c r="G27" i="45" s="1"/>
  <c r="G28" i="45"/>
  <c r="J21" i="45"/>
  <c r="H22" i="45"/>
  <c r="J27" i="45"/>
  <c r="H27" i="45" s="1"/>
  <c r="H28" i="45"/>
  <c r="I14" i="45"/>
  <c r="G14" i="45" s="1"/>
  <c r="G15" i="45"/>
  <c r="J14" i="45"/>
  <c r="H14" i="45" s="1"/>
  <c r="H15" i="45"/>
  <c r="I10" i="45"/>
  <c r="G11" i="45"/>
  <c r="C41" i="11"/>
  <c r="E77" i="8" l="1"/>
  <c r="G77" i="8"/>
  <c r="F77" i="8"/>
  <c r="J20" i="45"/>
  <c r="H20" i="45" s="1"/>
  <c r="H21" i="45"/>
  <c r="E78" i="8"/>
  <c r="F78" i="8"/>
  <c r="G78" i="8"/>
  <c r="G71" i="8"/>
  <c r="E71" i="8"/>
  <c r="F71" i="8"/>
  <c r="E84" i="8"/>
  <c r="F84" i="8"/>
  <c r="G84" i="8"/>
  <c r="G10" i="45"/>
  <c r="C26" i="8"/>
  <c r="G34" i="8"/>
  <c r="F34" i="8"/>
  <c r="E34" i="8"/>
  <c r="C25" i="8"/>
  <c r="C32" i="8"/>
  <c r="G33" i="8"/>
  <c r="E33" i="8"/>
  <c r="F33" i="8"/>
  <c r="C62" i="8"/>
  <c r="F70" i="8"/>
  <c r="G70" i="8"/>
  <c r="E70" i="8"/>
  <c r="C27" i="8"/>
  <c r="F35" i="8"/>
  <c r="E35" i="8"/>
  <c r="G35" i="8"/>
  <c r="J10" i="45"/>
  <c r="E56" i="8"/>
  <c r="G56" i="8"/>
  <c r="F56" i="8"/>
  <c r="C53" i="8"/>
  <c r="G54" i="8"/>
  <c r="E54" i="8"/>
  <c r="F54" i="8"/>
  <c r="J32" i="38"/>
  <c r="D34" i="109"/>
  <c r="C61" i="8"/>
  <c r="C68" i="8"/>
  <c r="G69" i="8"/>
  <c r="E69" i="8"/>
  <c r="F69" i="8"/>
  <c r="C66" i="8"/>
  <c r="G88" i="8"/>
  <c r="F88" i="8"/>
  <c r="E88" i="8"/>
  <c r="C75" i="8"/>
  <c r="G76" i="8"/>
  <c r="F76" i="8"/>
  <c r="E76" i="8"/>
  <c r="C82" i="8"/>
  <c r="F83" i="8"/>
  <c r="G83" i="8"/>
  <c r="E83" i="8"/>
  <c r="C21" i="8"/>
  <c r="G57" i="8"/>
  <c r="F57" i="8"/>
  <c r="E57" i="8"/>
  <c r="C30" i="8"/>
  <c r="F38" i="8"/>
  <c r="E38" i="8"/>
  <c r="G38" i="8"/>
  <c r="I20" i="45"/>
  <c r="G20" i="45" s="1"/>
  <c r="G21" i="45"/>
  <c r="C19" i="11"/>
  <c r="C12" i="11" s="1"/>
  <c r="C20" i="11"/>
  <c r="C62" i="11"/>
  <c r="C40" i="11"/>
  <c r="G58" i="11"/>
  <c r="F58" i="11"/>
  <c r="G31" i="11" l="1"/>
  <c r="J23" i="11"/>
  <c r="G47" i="11"/>
  <c r="J39" i="11"/>
  <c r="J46" i="11"/>
  <c r="F110" i="11"/>
  <c r="I94" i="11"/>
  <c r="I109" i="11"/>
  <c r="I108" i="11" s="1"/>
  <c r="D36" i="7" s="1"/>
  <c r="D34" i="7" s="1"/>
  <c r="D17" i="109" s="1"/>
  <c r="D17" i="65" s="1"/>
  <c r="J17" i="70" s="1"/>
  <c r="K17" i="70" s="1"/>
  <c r="J25" i="11"/>
  <c r="G26" i="11"/>
  <c r="J18" i="11"/>
  <c r="I25" i="11"/>
  <c r="F26" i="11"/>
  <c r="I18" i="11"/>
  <c r="I23" i="11"/>
  <c r="F31" i="11"/>
  <c r="C44" i="11"/>
  <c r="E44" i="11" s="1"/>
  <c r="E52" i="11"/>
  <c r="C23" i="8"/>
  <c r="E30" i="8"/>
  <c r="F30" i="8"/>
  <c r="G30" i="8"/>
  <c r="G110" i="11"/>
  <c r="J94" i="11"/>
  <c r="J109" i="11"/>
  <c r="J108" i="11" s="1"/>
  <c r="E36" i="7" s="1"/>
  <c r="E34" i="7" s="1"/>
  <c r="E17" i="109" s="1"/>
  <c r="E17" i="65" s="1"/>
  <c r="P17" i="70" s="1"/>
  <c r="Q17" i="70" s="1"/>
  <c r="H62" i="11"/>
  <c r="E62" i="11" s="1"/>
  <c r="E69" i="11"/>
  <c r="E28" i="11"/>
  <c r="H20" i="11"/>
  <c r="E48" i="11"/>
  <c r="H40" i="11"/>
  <c r="E40" i="11" s="1"/>
  <c r="C18" i="11"/>
  <c r="C25" i="11"/>
  <c r="F85" i="8"/>
  <c r="G85" i="8"/>
  <c r="E85" i="8"/>
  <c r="E44" i="38"/>
  <c r="H10" i="45"/>
  <c r="G48" i="11"/>
  <c r="J40" i="11"/>
  <c r="G40" i="11" s="1"/>
  <c r="G61" i="8"/>
  <c r="E61" i="8"/>
  <c r="F61" i="8"/>
  <c r="C18" i="8"/>
  <c r="C24" i="8"/>
  <c r="E25" i="8"/>
  <c r="G25" i="8"/>
  <c r="F25" i="8"/>
  <c r="I19" i="11"/>
  <c r="F27" i="11"/>
  <c r="F52" i="11"/>
  <c r="I44" i="11"/>
  <c r="F44" i="11" s="1"/>
  <c r="H41" i="11"/>
  <c r="E41" i="11" s="1"/>
  <c r="E49" i="11"/>
  <c r="I99" i="11"/>
  <c r="F99" i="11" s="1"/>
  <c r="F114" i="11"/>
  <c r="C63" i="8"/>
  <c r="O34" i="109"/>
  <c r="D34" i="65"/>
  <c r="J62" i="11"/>
  <c r="G62" i="11" s="1"/>
  <c r="G69" i="11"/>
  <c r="J60" i="11"/>
  <c r="J66" i="11"/>
  <c r="G67" i="11"/>
  <c r="F48" i="11"/>
  <c r="I40" i="11"/>
  <c r="F40" i="11" s="1"/>
  <c r="E54" i="11"/>
  <c r="H53" i="11"/>
  <c r="I60" i="11"/>
  <c r="I66" i="11"/>
  <c r="F67" i="11"/>
  <c r="F27" i="8"/>
  <c r="E27" i="8"/>
  <c r="G27" i="8"/>
  <c r="C23" i="11"/>
  <c r="E31" i="11"/>
  <c r="F49" i="11"/>
  <c r="I41" i="11"/>
  <c r="F41" i="11" s="1"/>
  <c r="J20" i="11"/>
  <c r="G28" i="11"/>
  <c r="C19" i="8"/>
  <c r="G26" i="8"/>
  <c r="F26" i="8"/>
  <c r="E26" i="8"/>
  <c r="H46" i="11"/>
  <c r="E47" i="11"/>
  <c r="H39" i="11"/>
  <c r="G27" i="11"/>
  <c r="J19" i="11"/>
  <c r="H94" i="11"/>
  <c r="E110" i="11"/>
  <c r="H109" i="11"/>
  <c r="H108" i="11" s="1"/>
  <c r="C36" i="7" s="1"/>
  <c r="J41" i="11"/>
  <c r="G41" i="11" s="1"/>
  <c r="G49" i="11"/>
  <c r="I20" i="11"/>
  <c r="F28" i="11"/>
  <c r="C13" i="11"/>
  <c r="I62" i="11"/>
  <c r="F62" i="11" s="1"/>
  <c r="F69" i="11"/>
  <c r="C14" i="8"/>
  <c r="E21" i="8"/>
  <c r="G21" i="8"/>
  <c r="F21" i="8"/>
  <c r="D44" i="38"/>
  <c r="G114" i="11"/>
  <c r="J99" i="11"/>
  <c r="G99" i="11" s="1"/>
  <c r="C39" i="11"/>
  <c r="C38" i="11" s="1"/>
  <c r="C46" i="11"/>
  <c r="G66" i="8"/>
  <c r="E66" i="8"/>
  <c r="F66" i="8"/>
  <c r="G62" i="8"/>
  <c r="F62" i="8"/>
  <c r="E62" i="8"/>
  <c r="H19" i="11"/>
  <c r="E27" i="11"/>
  <c r="I53" i="11"/>
  <c r="F54" i="11"/>
  <c r="H18" i="11"/>
  <c r="E26" i="11"/>
  <c r="H25" i="11"/>
  <c r="F47" i="11"/>
  <c r="I46" i="11"/>
  <c r="I39" i="11"/>
  <c r="J44" i="11"/>
  <c r="G44" i="11" s="1"/>
  <c r="G52" i="11"/>
  <c r="G54" i="11"/>
  <c r="J53" i="11"/>
  <c r="H66" i="11"/>
  <c r="H60" i="11"/>
  <c r="E67" i="11"/>
  <c r="C66" i="11"/>
  <c r="C60" i="11"/>
  <c r="C59" i="11" s="1"/>
  <c r="H20" i="47"/>
  <c r="M46" i="109" s="1"/>
  <c r="M27" i="22"/>
  <c r="M25" i="109" s="1"/>
  <c r="F20" i="47"/>
  <c r="K46" i="109" s="1"/>
  <c r="G11" i="47"/>
  <c r="G17" i="47"/>
  <c r="L45" i="109" s="1"/>
  <c r="G20" i="47"/>
  <c r="L46" i="109" s="1"/>
  <c r="H14" i="47"/>
  <c r="M44" i="109" s="1"/>
  <c r="M16" i="22"/>
  <c r="F14" i="47"/>
  <c r="K44" i="109" s="1"/>
  <c r="F34" i="7"/>
  <c r="K17" i="109" s="1"/>
  <c r="M35" i="22"/>
  <c r="M26" i="109" s="1"/>
  <c r="G24" i="7"/>
  <c r="L15" i="109" s="1"/>
  <c r="G34" i="7"/>
  <c r="L17" i="109" s="1"/>
  <c r="H23" i="47"/>
  <c r="M47" i="109" s="1"/>
  <c r="H42" i="7"/>
  <c r="H11" i="1"/>
  <c r="H11" i="47"/>
  <c r="F23" i="47"/>
  <c r="K47" i="109" s="1"/>
  <c r="G14" i="47"/>
  <c r="L44" i="109" s="1"/>
  <c r="I34" i="7"/>
  <c r="N17" i="109" s="1"/>
  <c r="G23" i="47"/>
  <c r="L47" i="109" s="1"/>
  <c r="M57" i="22"/>
  <c r="M30" i="109" s="1"/>
  <c r="H34" i="7"/>
  <c r="M17" i="109" s="1"/>
  <c r="F30" i="7" l="1"/>
  <c r="K16" i="109" s="1"/>
  <c r="F16" i="7"/>
  <c r="K14" i="109" s="1"/>
  <c r="G42" i="7"/>
  <c r="L20" i="109" s="1"/>
  <c r="G30" i="7"/>
  <c r="L16" i="109" s="1"/>
  <c r="I30" i="7"/>
  <c r="N16" i="109" s="1"/>
  <c r="I24" i="7"/>
  <c r="N15" i="109" s="1"/>
  <c r="E60" i="11"/>
  <c r="H59" i="11"/>
  <c r="C33" i="7" s="1"/>
  <c r="J33" i="70"/>
  <c r="K33" i="70" s="1"/>
  <c r="K34" i="65"/>
  <c r="G94" i="11"/>
  <c r="J93" i="11"/>
  <c r="G37" i="7"/>
  <c r="L18" i="109" s="1"/>
  <c r="G19" i="8"/>
  <c r="F19" i="8"/>
  <c r="E19" i="8"/>
  <c r="G18" i="11"/>
  <c r="J17" i="11"/>
  <c r="E31" i="7" s="1"/>
  <c r="J11" i="11"/>
  <c r="J36" i="7"/>
  <c r="C34" i="7"/>
  <c r="L27" i="22"/>
  <c r="M37" i="109"/>
  <c r="H10" i="38"/>
  <c r="E19" i="11"/>
  <c r="H12" i="11"/>
  <c r="J13" i="11"/>
  <c r="G20" i="11"/>
  <c r="G18" i="8"/>
  <c r="E18" i="8"/>
  <c r="F18" i="8"/>
  <c r="F17" i="47"/>
  <c r="K45" i="109" s="1"/>
  <c r="H93" i="11"/>
  <c r="E94" i="11"/>
  <c r="C11" i="11"/>
  <c r="C17" i="11"/>
  <c r="L17" i="70"/>
  <c r="I59" i="11"/>
  <c r="D33" i="7" s="1"/>
  <c r="F60" i="11"/>
  <c r="H16" i="7"/>
  <c r="M14" i="109" s="1"/>
  <c r="H17" i="47"/>
  <c r="M45" i="109" s="1"/>
  <c r="F11" i="47"/>
  <c r="G19" i="11"/>
  <c r="J12" i="11"/>
  <c r="F23" i="8"/>
  <c r="E23" i="8"/>
  <c r="G23" i="8"/>
  <c r="F94" i="11"/>
  <c r="I93" i="11"/>
  <c r="F42" i="7"/>
  <c r="G12" i="7"/>
  <c r="I16" i="7"/>
  <c r="N14" i="109" s="1"/>
  <c r="F39" i="11"/>
  <c r="I38" i="11"/>
  <c r="D32" i="7" s="1"/>
  <c r="F13" i="13"/>
  <c r="H13" i="13" s="1"/>
  <c r="G14" i="8"/>
  <c r="E14" i="8"/>
  <c r="F14" i="8"/>
  <c r="K37" i="109"/>
  <c r="F10" i="38"/>
  <c r="J44" i="38"/>
  <c r="D37" i="109"/>
  <c r="D10" i="38"/>
  <c r="G63" i="8"/>
  <c r="E63" i="8"/>
  <c r="F63" i="8"/>
  <c r="F24" i="7"/>
  <c r="K15" i="109" s="1"/>
  <c r="G10" i="47"/>
  <c r="L43" i="109"/>
  <c r="H12" i="7"/>
  <c r="H38" i="11"/>
  <c r="C32" i="7" s="1"/>
  <c r="E39" i="11"/>
  <c r="C16" i="11"/>
  <c r="E16" i="11" s="1"/>
  <c r="E23" i="11"/>
  <c r="C60" i="8"/>
  <c r="E20" i="11"/>
  <c r="H13" i="11"/>
  <c r="K27" i="22"/>
  <c r="M43" i="109"/>
  <c r="H10" i="47"/>
  <c r="H21" i="1"/>
  <c r="M55" i="109" s="1"/>
  <c r="G16" i="7"/>
  <c r="L14" i="109" s="1"/>
  <c r="G39" i="11"/>
  <c r="J38" i="11"/>
  <c r="E32" i="7" s="1"/>
  <c r="J59" i="11"/>
  <c r="E33" i="7" s="1"/>
  <c r="G60" i="11"/>
  <c r="I16" i="11"/>
  <c r="F23" i="11"/>
  <c r="M20" i="109"/>
  <c r="H37" i="7"/>
  <c r="M18" i="109" s="1"/>
  <c r="M52" i="109"/>
  <c r="H10" i="1"/>
  <c r="M10" i="22"/>
  <c r="M24" i="109"/>
  <c r="H30" i="7"/>
  <c r="M16" i="109" s="1"/>
  <c r="I12" i="7"/>
  <c r="F12" i="7"/>
  <c r="G10" i="38"/>
  <c r="L37" i="109"/>
  <c r="N27" i="22"/>
  <c r="F19" i="11"/>
  <c r="I12" i="11"/>
  <c r="F18" i="11"/>
  <c r="I17" i="11"/>
  <c r="D31" i="7" s="1"/>
  <c r="I11" i="11"/>
  <c r="J16" i="11"/>
  <c r="G23" i="11"/>
  <c r="H24" i="7"/>
  <c r="M15" i="109" s="1"/>
  <c r="E18" i="11"/>
  <c r="H11" i="11"/>
  <c r="H17" i="11"/>
  <c r="C31" i="7" s="1"/>
  <c r="I13" i="11"/>
  <c r="F20" i="11"/>
  <c r="C20" i="8"/>
  <c r="E37" i="109"/>
  <c r="E37" i="65" s="1"/>
  <c r="P36" i="70" s="1"/>
  <c r="Q36" i="70" s="1"/>
  <c r="E10" i="38"/>
  <c r="E31" i="109" s="1"/>
  <c r="E31" i="65" s="1"/>
  <c r="P30" i="70" s="1"/>
  <c r="Q30" i="70" s="1"/>
  <c r="R17" i="70"/>
  <c r="E48" i="9" l="1"/>
  <c r="G48" i="9"/>
  <c r="F48" i="9"/>
  <c r="F41" i="9"/>
  <c r="E41" i="9"/>
  <c r="G41" i="9"/>
  <c r="G16" i="11"/>
  <c r="J16" i="8"/>
  <c r="M13" i="109"/>
  <c r="H11" i="7"/>
  <c r="G33" i="9"/>
  <c r="E33" i="9"/>
  <c r="F33" i="9"/>
  <c r="G121" i="9"/>
  <c r="E121" i="9"/>
  <c r="F121" i="9"/>
  <c r="C13" i="9"/>
  <c r="G20" i="9"/>
  <c r="E20" i="9"/>
  <c r="F20" i="9"/>
  <c r="C24" i="9"/>
  <c r="G25" i="9"/>
  <c r="E25" i="9"/>
  <c r="F25" i="9"/>
  <c r="C81" i="9"/>
  <c r="F82" i="9"/>
  <c r="G82" i="9"/>
  <c r="E82" i="9"/>
  <c r="F11" i="11"/>
  <c r="I10" i="11"/>
  <c r="I11" i="8"/>
  <c r="E12" i="68"/>
  <c r="M22" i="109"/>
  <c r="G13" i="11"/>
  <c r="J13" i="8"/>
  <c r="C102" i="9"/>
  <c r="F103" i="9"/>
  <c r="E103" i="9"/>
  <c r="G103" i="9"/>
  <c r="E40" i="9"/>
  <c r="G40" i="9"/>
  <c r="F40" i="9"/>
  <c r="G125" i="9"/>
  <c r="F125" i="9"/>
  <c r="E125" i="9"/>
  <c r="G84" i="9"/>
  <c r="E84" i="9"/>
  <c r="F84" i="9"/>
  <c r="C31" i="9"/>
  <c r="G32" i="9"/>
  <c r="E32" i="9"/>
  <c r="F32" i="9"/>
  <c r="R30" i="70"/>
  <c r="D30" i="7"/>
  <c r="M51" i="109"/>
  <c r="E15" i="68"/>
  <c r="M42" i="109"/>
  <c r="E14" i="68"/>
  <c r="L42" i="109"/>
  <c r="D14" i="68"/>
  <c r="E12" i="11"/>
  <c r="H12" i="8"/>
  <c r="F44" i="9"/>
  <c r="G44" i="9"/>
  <c r="E44" i="9"/>
  <c r="R36" i="70"/>
  <c r="C10" i="11"/>
  <c r="C12" i="9"/>
  <c r="F19" i="9"/>
  <c r="G19" i="9"/>
  <c r="E19" i="9"/>
  <c r="G87" i="9"/>
  <c r="F87" i="9"/>
  <c r="E87" i="9"/>
  <c r="G34" i="9"/>
  <c r="F34" i="9"/>
  <c r="E34" i="9"/>
  <c r="C13" i="8"/>
  <c r="F12" i="13" s="1"/>
  <c r="H12" i="13" s="1"/>
  <c r="E20" i="8"/>
  <c r="F20" i="8"/>
  <c r="G20" i="8"/>
  <c r="K25" i="109"/>
  <c r="K10" i="22"/>
  <c r="G12" i="11"/>
  <c r="J12" i="8"/>
  <c r="E13" i="68"/>
  <c r="M31" i="109"/>
  <c r="C67" i="9"/>
  <c r="C60" i="9"/>
  <c r="F68" i="9"/>
  <c r="G68" i="9"/>
  <c r="E68" i="9"/>
  <c r="J31" i="7"/>
  <c r="C30" i="7"/>
  <c r="C13" i="68"/>
  <c r="D31" i="109"/>
  <c r="J10" i="38"/>
  <c r="N13" i="109"/>
  <c r="I11" i="7"/>
  <c r="C119" i="9"/>
  <c r="C118" i="9" s="1"/>
  <c r="E120" i="9"/>
  <c r="F120" i="9"/>
  <c r="G120" i="9"/>
  <c r="C65" i="9"/>
  <c r="F73" i="9"/>
  <c r="G73" i="9"/>
  <c r="E73" i="9"/>
  <c r="C62" i="9"/>
  <c r="G70" i="9"/>
  <c r="E70" i="9"/>
  <c r="F70" i="9"/>
  <c r="E47" i="9"/>
  <c r="G47" i="9"/>
  <c r="F47" i="9"/>
  <c r="F12" i="11"/>
  <c r="I12" i="8"/>
  <c r="F55" i="9"/>
  <c r="G55" i="9"/>
  <c r="E55" i="9"/>
  <c r="F101" i="9"/>
  <c r="G101" i="9"/>
  <c r="E101" i="9"/>
  <c r="E26" i="9"/>
  <c r="G26" i="9"/>
  <c r="F26" i="9"/>
  <c r="G51" i="9"/>
  <c r="E51" i="9"/>
  <c r="F51" i="9"/>
  <c r="E13" i="11"/>
  <c r="H13" i="8"/>
  <c r="E105" i="9"/>
  <c r="G105" i="9"/>
  <c r="F105" i="9"/>
  <c r="G30" i="9"/>
  <c r="E30" i="9"/>
  <c r="F30" i="9"/>
  <c r="F104" i="9"/>
  <c r="G104" i="9"/>
  <c r="E104" i="9"/>
  <c r="E122" i="9"/>
  <c r="G122" i="9"/>
  <c r="F122" i="9"/>
  <c r="F13" i="11"/>
  <c r="I13" i="8"/>
  <c r="F10" i="47"/>
  <c r="K43" i="109"/>
  <c r="L25" i="109"/>
  <c r="L10" i="22"/>
  <c r="N10" i="22"/>
  <c r="N22" i="109" s="1"/>
  <c r="N25" i="109"/>
  <c r="J34" i="7"/>
  <c r="C17" i="109"/>
  <c r="E11" i="11"/>
  <c r="H10" i="11"/>
  <c r="H11" i="8"/>
  <c r="D13" i="68"/>
  <c r="L31" i="109"/>
  <c r="O37" i="109"/>
  <c r="D37" i="65"/>
  <c r="L13" i="109"/>
  <c r="G11" i="7"/>
  <c r="F58" i="9"/>
  <c r="G58" i="9"/>
  <c r="E58" i="9"/>
  <c r="F54" i="9"/>
  <c r="G54" i="9"/>
  <c r="E54" i="9"/>
  <c r="C61" i="9"/>
  <c r="G69" i="9"/>
  <c r="F69" i="9"/>
  <c r="E69" i="9"/>
  <c r="C38" i="9"/>
  <c r="F39" i="9"/>
  <c r="G39" i="9"/>
  <c r="E39" i="9"/>
  <c r="C95" i="9"/>
  <c r="E96" i="9"/>
  <c r="G96" i="9"/>
  <c r="F96" i="9"/>
  <c r="C17" i="9"/>
  <c r="C11" i="9"/>
  <c r="G18" i="9"/>
  <c r="E18" i="9"/>
  <c r="F18" i="9"/>
  <c r="C45" i="9"/>
  <c r="G46" i="9"/>
  <c r="E46" i="9"/>
  <c r="F46" i="9"/>
  <c r="F37" i="9"/>
  <c r="G37" i="9"/>
  <c r="E37" i="9"/>
  <c r="K13" i="109"/>
  <c r="F11" i="7"/>
  <c r="F37" i="7"/>
  <c r="K18" i="109" s="1"/>
  <c r="K20" i="109"/>
  <c r="J10" i="11"/>
  <c r="G11" i="11"/>
  <c r="J11" i="8"/>
  <c r="L33" i="70"/>
  <c r="E30" i="7"/>
  <c r="J33" i="7"/>
  <c r="C16" i="9"/>
  <c r="G23" i="9"/>
  <c r="E23" i="9"/>
  <c r="F23" i="9"/>
  <c r="F16" i="11"/>
  <c r="I16" i="8"/>
  <c r="G83" i="9"/>
  <c r="E83" i="9"/>
  <c r="F83" i="9"/>
  <c r="K31" i="109"/>
  <c r="F13" i="68"/>
  <c r="E27" i="9"/>
  <c r="G27" i="9"/>
  <c r="F27" i="9"/>
  <c r="F98" i="9"/>
  <c r="G98" i="9"/>
  <c r="E98" i="9"/>
  <c r="C52" i="9"/>
  <c r="G53" i="9"/>
  <c r="F53" i="9"/>
  <c r="E53" i="9"/>
  <c r="J32" i="7"/>
  <c r="C17" i="8"/>
  <c r="O17" i="109" l="1"/>
  <c r="C17" i="65"/>
  <c r="F65" i="9"/>
  <c r="G65" i="9"/>
  <c r="E65" i="9"/>
  <c r="G12" i="9"/>
  <c r="F12" i="9"/>
  <c r="E12" i="9"/>
  <c r="C12" i="8"/>
  <c r="F11" i="13" s="1"/>
  <c r="H11" i="13" s="1"/>
  <c r="G13" i="8"/>
  <c r="M12" i="109"/>
  <c r="H10" i="7"/>
  <c r="C10" i="9"/>
  <c r="G11" i="9"/>
  <c r="E11" i="9"/>
  <c r="F11" i="9"/>
  <c r="C11" i="8"/>
  <c r="L12" i="109"/>
  <c r="G10" i="7"/>
  <c r="C59" i="9"/>
  <c r="F60" i="9"/>
  <c r="E60" i="9"/>
  <c r="G60" i="9"/>
  <c r="D12" i="68"/>
  <c r="L22" i="109"/>
  <c r="D16" i="109"/>
  <c r="D16" i="65" s="1"/>
  <c r="J16" i="70" s="1"/>
  <c r="K16" i="70" s="1"/>
  <c r="D11" i="7"/>
  <c r="F16" i="9"/>
  <c r="G16" i="9"/>
  <c r="E16" i="9"/>
  <c r="C16" i="8"/>
  <c r="E16" i="8" s="1"/>
  <c r="E61" i="9"/>
  <c r="G61" i="9"/>
  <c r="F61" i="9"/>
  <c r="G62" i="9"/>
  <c r="F62" i="9"/>
  <c r="E62" i="9"/>
  <c r="J10" i="8"/>
  <c r="K37" i="65"/>
  <c r="J36" i="70"/>
  <c r="K36" i="70" s="1"/>
  <c r="N12" i="109"/>
  <c r="I10" i="7"/>
  <c r="N11" i="109" s="1"/>
  <c r="N10" i="109" s="1"/>
  <c r="I10" i="8"/>
  <c r="F11" i="8"/>
  <c r="F13" i="8"/>
  <c r="K42" i="109"/>
  <c r="F14" i="68"/>
  <c r="G13" i="9"/>
  <c r="E13" i="9"/>
  <c r="F13" i="9"/>
  <c r="D31" i="65"/>
  <c r="O31" i="109"/>
  <c r="E12" i="8"/>
  <c r="G11" i="13"/>
  <c r="I11" i="13" s="1"/>
  <c r="G10" i="13"/>
  <c r="H10" i="8"/>
  <c r="F12" i="68"/>
  <c r="K22" i="109"/>
  <c r="E16" i="109"/>
  <c r="E16" i="65" s="1"/>
  <c r="P16" i="70" s="1"/>
  <c r="Q16" i="70" s="1"/>
  <c r="E11" i="7"/>
  <c r="G12" i="13"/>
  <c r="I12" i="13" s="1"/>
  <c r="E13" i="8"/>
  <c r="J30" i="7"/>
  <c r="C16" i="109"/>
  <c r="C11" i="7"/>
  <c r="F10" i="7"/>
  <c r="K12" i="109"/>
  <c r="F12" i="8" l="1"/>
  <c r="G12" i="8"/>
  <c r="F11" i="68"/>
  <c r="F10" i="68" s="1"/>
  <c r="K11" i="109"/>
  <c r="K10" i="109" s="1"/>
  <c r="G15" i="13"/>
  <c r="I15" i="13" s="1"/>
  <c r="I10" i="13"/>
  <c r="C12" i="109"/>
  <c r="J11" i="7"/>
  <c r="C10" i="7"/>
  <c r="L11" i="109"/>
  <c r="L10" i="109" s="1"/>
  <c r="D11" i="68"/>
  <c r="D10" i="68" s="1"/>
  <c r="L36" i="70"/>
  <c r="F16" i="8"/>
  <c r="C16" i="65"/>
  <c r="O16" i="109"/>
  <c r="C10" i="8"/>
  <c r="F10" i="13"/>
  <c r="G11" i="8"/>
  <c r="G16" i="8"/>
  <c r="D10" i="7"/>
  <c r="D12" i="109"/>
  <c r="D12" i="65" s="1"/>
  <c r="J12" i="70" s="1"/>
  <c r="K12" i="70" s="1"/>
  <c r="J30" i="70"/>
  <c r="K30" i="70" s="1"/>
  <c r="K31" i="65"/>
  <c r="E10" i="7"/>
  <c r="E11" i="109" s="1"/>
  <c r="E12" i="109"/>
  <c r="E12" i="65" s="1"/>
  <c r="P12" i="70" s="1"/>
  <c r="Q12" i="70" s="1"/>
  <c r="L16" i="70"/>
  <c r="R16" i="70"/>
  <c r="K17" i="65"/>
  <c r="D17" i="70"/>
  <c r="E17" i="70" s="1"/>
  <c r="E11" i="8"/>
  <c r="E11" i="68"/>
  <c r="E10" i="68" s="1"/>
  <c r="M11" i="109"/>
  <c r="M10" i="109" s="1"/>
  <c r="L30" i="70" l="1"/>
  <c r="D11" i="109"/>
  <c r="C11" i="68"/>
  <c r="C10" i="68" s="1"/>
  <c r="L12" i="70"/>
  <c r="C11" i="109"/>
  <c r="J10" i="7"/>
  <c r="F15" i="13"/>
  <c r="H15" i="13" s="1"/>
  <c r="H10" i="13"/>
  <c r="C12" i="65"/>
  <c r="O12" i="109"/>
  <c r="E11" i="65"/>
  <c r="P11" i="70" s="1"/>
  <c r="E10" i="109"/>
  <c r="E10" i="65" s="1"/>
  <c r="F17" i="70"/>
  <c r="D16" i="70"/>
  <c r="E16" i="70" s="1"/>
  <c r="K16" i="65"/>
  <c r="R12" i="70"/>
  <c r="O11" i="109" l="1"/>
  <c r="C11" i="65"/>
  <c r="C10" i="109"/>
  <c r="F16" i="70"/>
  <c r="D11" i="65"/>
  <c r="J11" i="70" s="1"/>
  <c r="D10" i="109"/>
  <c r="D10" i="65" s="1"/>
  <c r="Q11" i="70"/>
  <c r="P10" i="70"/>
  <c r="Q10" i="70" s="1"/>
  <c r="K12" i="65"/>
  <c r="D12" i="70"/>
  <c r="E12" i="70" s="1"/>
  <c r="F12" i="70" l="1"/>
  <c r="R11" i="70"/>
  <c r="R10" i="70"/>
  <c r="K11" i="70"/>
  <c r="J10" i="70"/>
  <c r="K10" i="70" s="1"/>
  <c r="O10" i="109"/>
  <c r="C10" i="65"/>
  <c r="K10" i="65" s="1"/>
  <c r="K11" i="65"/>
  <c r="D11" i="70"/>
  <c r="L10" i="70" l="1"/>
  <c r="L11" i="70"/>
  <c r="E11" i="70"/>
  <c r="D10" i="70"/>
  <c r="K71" i="65"/>
  <c r="K72" i="65"/>
  <c r="E10" i="70" l="1"/>
  <c r="G34" i="73"/>
  <c r="F11" i="70"/>
  <c r="H11" i="70" l="1"/>
  <c r="G35" i="73"/>
  <c r="I34" i="73"/>
  <c r="J34" i="73" s="1"/>
  <c r="H45" i="70"/>
  <c r="T49" i="70"/>
  <c r="T44" i="70"/>
  <c r="T45" i="70"/>
  <c r="T43" i="70"/>
  <c r="H46" i="70"/>
  <c r="H65" i="70"/>
  <c r="N43" i="70"/>
  <c r="T42" i="70"/>
  <c r="H42" i="70"/>
  <c r="H44" i="70"/>
  <c r="T54" i="70"/>
  <c r="H48" i="70"/>
  <c r="N42" i="70"/>
  <c r="N51" i="70"/>
  <c r="T52" i="70"/>
  <c r="N44" i="70"/>
  <c r="T50" i="70"/>
  <c r="H43" i="70"/>
  <c r="N45" i="70"/>
  <c r="H37" i="70"/>
  <c r="H38" i="70"/>
  <c r="N50" i="70"/>
  <c r="T19" i="70"/>
  <c r="N54" i="70"/>
  <c r="H41" i="70"/>
  <c r="T25" i="70"/>
  <c r="Z27" i="73"/>
  <c r="N25" i="70"/>
  <c r="H30" i="70"/>
  <c r="Z28" i="73"/>
  <c r="N61" i="70"/>
  <c r="N19" i="70"/>
  <c r="N20" i="70"/>
  <c r="N52" i="70"/>
  <c r="T22" i="70"/>
  <c r="T61" i="70"/>
  <c r="T24" i="70"/>
  <c r="T60" i="70"/>
  <c r="T59" i="70"/>
  <c r="Z10" i="73"/>
  <c r="N15" i="70"/>
  <c r="T41" i="70"/>
  <c r="N24" i="70"/>
  <c r="T14" i="70"/>
  <c r="T34" i="70"/>
  <c r="N59" i="70"/>
  <c r="H29" i="70"/>
  <c r="T18" i="70"/>
  <c r="H24" i="70"/>
  <c r="N60" i="70"/>
  <c r="N18" i="70"/>
  <c r="T20" i="70"/>
  <c r="T46" i="70"/>
  <c r="N14" i="70"/>
  <c r="H25" i="70"/>
  <c r="T15" i="70"/>
  <c r="N13" i="73"/>
  <c r="T32" i="70"/>
  <c r="N10" i="73"/>
  <c r="H10" i="73"/>
  <c r="H11" i="73"/>
  <c r="H26" i="70"/>
  <c r="N22" i="70"/>
  <c r="H53" i="70"/>
  <c r="N32" i="70"/>
  <c r="T13" i="70"/>
  <c r="N31" i="70"/>
  <c r="H60" i="70"/>
  <c r="H61" i="70"/>
  <c r="N13" i="70"/>
  <c r="H14" i="70"/>
  <c r="H20" i="70"/>
  <c r="H50" i="70"/>
  <c r="H59" i="70"/>
  <c r="H23" i="70"/>
  <c r="H19" i="70"/>
  <c r="H22" i="70"/>
  <c r="H15" i="70"/>
  <c r="N46" i="70"/>
  <c r="H18" i="70"/>
  <c r="H13" i="70"/>
  <c r="H63" i="70"/>
  <c r="N41" i="70"/>
  <c r="N17" i="70"/>
  <c r="T17" i="70"/>
  <c r="T30" i="70"/>
  <c r="T36" i="70"/>
  <c r="N33" i="70"/>
  <c r="N16" i="70"/>
  <c r="T16" i="70"/>
  <c r="N36" i="70"/>
  <c r="N30" i="70"/>
  <c r="H17" i="70"/>
  <c r="N12" i="70"/>
  <c r="T12" i="70"/>
  <c r="H16" i="70"/>
  <c r="H12" i="70"/>
  <c r="T11" i="70"/>
  <c r="T10" i="70"/>
  <c r="N10" i="70"/>
  <c r="N11" i="70"/>
  <c r="F10" i="70"/>
  <c r="H10" i="70"/>
  <c r="G10" i="70"/>
  <c r="I35" i="73" l="1"/>
  <c r="J35" i="73" s="1"/>
  <c r="G65" i="70"/>
  <c r="S54" i="70"/>
  <c r="M51" i="70"/>
  <c r="S50" i="70"/>
  <c r="S52" i="70"/>
  <c r="G37" i="70"/>
  <c r="G38" i="70"/>
  <c r="G30" i="70"/>
  <c r="Y28" i="73"/>
  <c r="M50" i="70"/>
  <c r="S19" i="70"/>
  <c r="M54" i="70"/>
  <c r="Y27" i="73"/>
  <c r="S25" i="70"/>
  <c r="M25" i="70"/>
  <c r="Y10" i="73"/>
  <c r="M61" i="70"/>
  <c r="S59" i="70"/>
  <c r="S22" i="70"/>
  <c r="S61" i="70"/>
  <c r="M52" i="70"/>
  <c r="M19" i="70"/>
  <c r="M20" i="70"/>
  <c r="S60" i="70"/>
  <c r="S24" i="70"/>
  <c r="M14" i="70"/>
  <c r="G25" i="70"/>
  <c r="S15" i="70"/>
  <c r="M18" i="70"/>
  <c r="S20" i="70"/>
  <c r="M15" i="70"/>
  <c r="M24" i="70"/>
  <c r="S14" i="70"/>
  <c r="M59" i="70"/>
  <c r="G29" i="70"/>
  <c r="S34" i="70"/>
  <c r="G24" i="70"/>
  <c r="M60" i="70"/>
  <c r="S18" i="70"/>
  <c r="S32" i="70"/>
  <c r="M13" i="73"/>
  <c r="M10" i="73"/>
  <c r="G10" i="73"/>
  <c r="G11" i="73"/>
  <c r="G26" i="70"/>
  <c r="M22" i="70"/>
  <c r="G53" i="70"/>
  <c r="M32" i="70"/>
  <c r="S13" i="70"/>
  <c r="M31" i="70"/>
  <c r="G61" i="70"/>
  <c r="G60" i="70"/>
  <c r="M13" i="70"/>
  <c r="G20" i="70"/>
  <c r="G50" i="70"/>
  <c r="G59" i="70"/>
  <c r="G14" i="70"/>
  <c r="G19" i="70"/>
  <c r="G23" i="70"/>
  <c r="G22" i="70"/>
  <c r="G15" i="70"/>
  <c r="G18" i="70"/>
  <c r="G13" i="70"/>
  <c r="G63" i="70"/>
  <c r="M17" i="70"/>
  <c r="S17" i="70"/>
  <c r="M33" i="70"/>
  <c r="S30" i="70"/>
  <c r="S36" i="70"/>
  <c r="M16" i="70"/>
  <c r="S16" i="70"/>
  <c r="M36" i="70"/>
  <c r="M30" i="70"/>
  <c r="G17" i="70"/>
  <c r="S12" i="70"/>
  <c r="M12" i="70"/>
  <c r="G16" i="70"/>
  <c r="G12" i="70"/>
  <c r="S10" i="70"/>
  <c r="S11" i="70"/>
  <c r="M10" i="70"/>
  <c r="M11" i="70"/>
  <c r="G11" i="70"/>
</calcChain>
</file>

<file path=xl/sharedStrings.xml><?xml version="1.0" encoding="utf-8"?>
<sst xmlns="http://schemas.openxmlformats.org/spreadsheetml/2006/main" count="19790" uniqueCount="2462">
  <si>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</si>
  <si>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</si>
  <si>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</si>
  <si>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</si>
  <si>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</si>
  <si>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</si>
  <si>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</si>
  <si>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</si>
  <si>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</si>
  <si>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</si>
  <si>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</si>
  <si>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</si>
  <si>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</si>
  <si>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</si>
  <si>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</si>
  <si>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</si>
  <si>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</si>
  <si>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</si>
  <si>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</si>
  <si>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</si>
  <si>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</si>
  <si>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</si>
  <si>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</si>
  <si>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</si>
  <si>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</si>
  <si>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</si>
  <si>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</si>
  <si>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</si>
  <si>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</si>
  <si>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</si>
  <si>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</si>
  <si>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</si>
  <si>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</si>
  <si>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</si>
  <si>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</si>
  <si>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</si>
  <si>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</si>
  <si>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</si>
  <si>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</si>
  <si>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</si>
  <si>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</si>
  <si>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</si>
  <si>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</si>
  <si>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</si>
  <si>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</si>
  <si>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</si>
  <si>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</si>
  <si>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</si>
  <si>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</si>
  <si>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</si>
  <si>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</si>
  <si>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</si>
  <si>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</si>
  <si>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</si>
  <si>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</si>
  <si>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</si>
  <si>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</si>
  <si>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</si>
  <si>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</si>
  <si>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</si>
  <si>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</si>
  <si>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</si>
  <si>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</si>
  <si>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</si>
  <si>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</si>
  <si>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</si>
  <si>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</si>
  <si>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</si>
  <si>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</si>
  <si>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</si>
  <si>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</si>
  <si>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</si>
  <si>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</si>
  <si>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</si>
  <si>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</si>
  <si>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</si>
  <si>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</si>
  <si>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</si>
  <si>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</si>
  <si>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</si>
  <si>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</si>
  <si>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</si>
  <si>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</si>
  <si>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</si>
  <si>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</si>
  <si>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</si>
  <si>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</si>
  <si>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</si>
  <si>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</si>
  <si>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</si>
  <si>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</si>
  <si>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</si>
  <si>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</si>
  <si>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</si>
  <si>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</si>
  <si>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</si>
  <si>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</si>
  <si>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</si>
  <si>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</si>
  <si>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</si>
  <si>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</si>
  <si>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</si>
  <si>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</si>
  <si>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</si>
  <si>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</si>
  <si>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</si>
  <si>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</si>
  <si>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</si>
  <si>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</si>
  <si>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</si>
  <si>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</si>
  <si>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</si>
  <si>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</si>
  <si>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</si>
  <si>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</si>
  <si>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</si>
  <si>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</si>
  <si>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</si>
  <si>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</si>
  <si>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</si>
  <si>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</si>
  <si>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</si>
  <si>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</si>
  <si>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</si>
  <si>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</si>
  <si>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</si>
  <si>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</si>
  <si>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</si>
  <si>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</si>
  <si>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</si>
  <si>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</si>
  <si>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</si>
  <si>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</si>
  <si>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</si>
  <si>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</si>
  <si>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</si>
  <si>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</si>
  <si>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</si>
  <si>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</si>
  <si>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</si>
  <si>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</si>
  <si>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</si>
  <si>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</si>
  <si>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</si>
  <si>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</si>
  <si>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</si>
  <si>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</si>
  <si>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</si>
  <si>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</si>
  <si>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</si>
  <si>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</si>
  <si>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</si>
  <si>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</si>
  <si>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</si>
  <si>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</si>
  <si>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</si>
  <si>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</si>
  <si>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</si>
  <si>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</si>
  <si>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</si>
  <si>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</si>
  <si>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</si>
  <si>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</si>
  <si>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</si>
  <si>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</si>
  <si>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</si>
  <si>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</si>
  <si>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</si>
  <si>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</si>
  <si>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</si>
  <si>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</si>
  <si>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</si>
  <si>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</si>
  <si>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</si>
  <si>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</si>
  <si>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</si>
  <si>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</si>
  <si>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</si>
  <si>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</si>
  <si>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</si>
  <si>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</si>
  <si>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</si>
  <si>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</si>
  <si>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</si>
  <si>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</si>
  <si>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</si>
  <si>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</si>
  <si>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</si>
  <si>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</si>
  <si>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</si>
  <si>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</si>
  <si>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</si>
  <si>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</si>
  <si>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</si>
  <si>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</si>
  <si>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</si>
  <si>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</si>
  <si>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</si>
  <si>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</si>
  <si>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</si>
  <si>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</si>
  <si>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</si>
  <si>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</si>
  <si>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</si>
  <si>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</si>
  <si>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</si>
  <si>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</si>
  <si>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</si>
  <si>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</si>
  <si>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</si>
  <si>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</si>
  <si>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</si>
  <si>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</si>
  <si>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</si>
  <si>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</si>
  <si>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</si>
  <si>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</si>
  <si>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</si>
  <si>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</si>
  <si>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</si>
  <si>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</si>
  <si>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</si>
  <si>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</si>
  <si>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</si>
  <si>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</si>
  <si>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</si>
  <si>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</si>
  <si>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</si>
  <si>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</si>
  <si>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</si>
  <si>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</si>
  <si>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</si>
  <si>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</si>
  <si>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</si>
  <si>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</si>
  <si>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</si>
  <si>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</si>
  <si>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</si>
  <si>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</si>
  <si>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</si>
  <si>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</si>
  <si>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</si>
  <si>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</si>
  <si>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</si>
  <si>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</si>
  <si>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</si>
  <si>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</si>
  <si>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</si>
  <si>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</si>
  <si>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</si>
  <si>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</si>
  <si>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</si>
  <si>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</si>
  <si>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</si>
  <si>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</si>
  <si>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</si>
  <si>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</si>
  <si>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</si>
  <si>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</si>
  <si>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</si>
  <si>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</si>
  <si>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</si>
  <si>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</si>
  <si>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</si>
  <si>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</si>
  <si>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</si>
  <si>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</si>
  <si>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</si>
  <si>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</si>
  <si>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</si>
  <si>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</si>
  <si>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</si>
  <si>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</si>
  <si>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</si>
  <si>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</si>
  <si>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</si>
  <si>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</si>
  <si>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</si>
  <si>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</si>
  <si>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</si>
  <si>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</si>
  <si>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</si>
  <si>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</si>
  <si>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</si>
  <si>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</si>
  <si>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</si>
  <si>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</si>
  <si>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</si>
  <si>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</si>
  <si>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</si>
  <si>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</si>
  <si>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</si>
  <si>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</si>
  <si>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</si>
  <si>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</si>
  <si>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</si>
  <si>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</si>
  <si>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</si>
  <si>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</si>
  <si>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</si>
  <si>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</si>
  <si>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</si>
  <si>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</si>
  <si>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</si>
  <si>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</si>
  <si>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</si>
  <si>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</si>
  <si>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</si>
  <si>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</si>
  <si>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</si>
  <si>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</si>
  <si>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</si>
  <si>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</si>
  <si>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</si>
  <si>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</si>
  <si>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</si>
  <si>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</si>
  <si>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</si>
  <si>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</si>
  <si>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</si>
  <si>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</si>
  <si>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</si>
  <si>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</si>
  <si>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</si>
  <si>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</si>
  <si>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</si>
  <si>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</si>
  <si>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</si>
  <si>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</si>
  <si>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</si>
  <si>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</si>
  <si>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</si>
  <si>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</si>
  <si>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</si>
  <si>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</si>
  <si>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</si>
  <si>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</si>
  <si>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</si>
  <si>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</si>
  <si>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</si>
  <si>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</si>
  <si>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</si>
  <si>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</si>
  <si>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</si>
  <si>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</si>
  <si>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</si>
  <si>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</si>
  <si>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</si>
  <si>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</si>
  <si>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</si>
  <si>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</si>
  <si>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</si>
  <si>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</si>
  <si>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</si>
  <si>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</si>
  <si>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</si>
  <si>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</si>
  <si>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</si>
  <si>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</si>
  <si>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</si>
  <si>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</si>
  <si>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</si>
  <si>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</si>
  <si>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</si>
  <si>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</si>
  <si>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</si>
  <si>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</si>
  <si>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</si>
  <si>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</si>
  <si>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</si>
  <si>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</si>
  <si>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</si>
  <si>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</si>
  <si>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</si>
  <si>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</si>
  <si>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</si>
  <si>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</si>
  <si>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</si>
  <si>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</si>
  <si>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</si>
  <si>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</si>
  <si>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</si>
  <si>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</si>
  <si>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</si>
  <si>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</si>
  <si>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</si>
  <si>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</si>
  <si>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</si>
  <si>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</si>
  <si>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</si>
  <si>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</si>
  <si>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</si>
  <si>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</si>
  <si>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</si>
  <si>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</si>
  <si>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</si>
  <si>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</si>
  <si>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</si>
  <si>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</si>
  <si>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</si>
  <si>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</si>
  <si>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</si>
  <si>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</si>
  <si>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</si>
  <si>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</si>
  <si>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</si>
  <si>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</si>
  <si>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</si>
  <si>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</si>
  <si>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</si>
  <si>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</si>
  <si>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</si>
  <si>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</si>
  <si>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</si>
  <si>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</si>
  <si>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</si>
  <si>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</si>
  <si>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</si>
  <si>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</si>
  <si>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</si>
  <si>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</si>
  <si>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</si>
  <si>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</si>
  <si>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</si>
  <si>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</si>
  <si>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</si>
  <si>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</si>
  <si>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</si>
  <si>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</si>
  <si>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</si>
  <si>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</si>
  <si>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</si>
  <si>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</si>
  <si>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</si>
  <si>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</si>
  <si>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</si>
  <si>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</si>
  <si>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</si>
  <si>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</si>
  <si>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</si>
  <si>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</si>
  <si>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</si>
  <si>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</si>
  <si>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</si>
  <si>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</si>
  <si>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</si>
  <si>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</si>
  <si>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</si>
  <si>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</si>
  <si>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</si>
  <si>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</si>
  <si>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</si>
  <si>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</si>
  <si>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</si>
  <si>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</si>
  <si>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</si>
  <si>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</si>
  <si>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</si>
  <si>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</si>
  <si>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</si>
  <si>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</si>
  <si>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</si>
  <si>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</si>
  <si>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</si>
  <si>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</si>
  <si>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</si>
  <si>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</si>
  <si>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</si>
  <si>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</si>
  <si>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</si>
  <si>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</si>
  <si>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</si>
  <si>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</si>
  <si>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</si>
  <si>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</si>
  <si>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</si>
  <si>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</si>
  <si>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</si>
  <si>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</si>
  <si>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</si>
  <si>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</si>
  <si>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</si>
  <si>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</si>
  <si>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</si>
  <si>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</si>
  <si>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</si>
  <si>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</si>
  <si>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</si>
  <si>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</si>
  <si>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</si>
  <si>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</si>
  <si>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</si>
  <si>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</si>
  <si>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</si>
  <si>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</si>
  <si>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</si>
  <si>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</si>
  <si>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</si>
  <si>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</si>
  <si>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</si>
  <si>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</si>
  <si>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</si>
  <si>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</si>
  <si>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</si>
  <si>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</si>
  <si>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</si>
  <si>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</si>
  <si>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</si>
  <si>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</si>
  <si>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</si>
  <si>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</si>
  <si>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</si>
  <si>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</si>
  <si>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</si>
  <si>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</si>
  <si>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</si>
  <si>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</si>
  <si>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</si>
  <si>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</si>
  <si>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</si>
  <si>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</si>
  <si>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</si>
  <si>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</si>
  <si>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</si>
  <si>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</si>
  <si>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</si>
  <si>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</si>
  <si>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</si>
  <si>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</si>
  <si>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</si>
  <si>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</si>
  <si>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</si>
  <si>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</si>
  <si>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</si>
  <si>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</si>
  <si>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</si>
  <si>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</si>
  <si>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</si>
  <si>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</si>
  <si>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</si>
  <si>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</si>
  <si>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</si>
  <si>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</si>
  <si>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</si>
  <si>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</si>
  <si>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</si>
  <si>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</si>
  <si>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</si>
  <si>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</si>
  <si>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</si>
  <si>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</si>
  <si>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</si>
  <si>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</si>
  <si>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</si>
  <si>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</si>
  <si>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</si>
  <si>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</si>
  <si>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</si>
  <si>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</si>
  <si>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</si>
  <si>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</si>
  <si>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</si>
  <si>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</si>
  <si>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</si>
  <si>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</si>
  <si>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</si>
  <si>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</si>
  <si>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</si>
  <si>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</si>
  <si>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</si>
  <si>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</si>
  <si>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</si>
  <si>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</si>
  <si>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</si>
  <si>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</si>
  <si>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</si>
  <si>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</si>
  <si>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</si>
  <si>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</si>
  <si>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</si>
  <si>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</si>
  <si>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</si>
  <si>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</si>
  <si>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</si>
  <si>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</si>
  <si>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</si>
  <si>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</si>
  <si>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</si>
  <si>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</si>
  <si>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</si>
  <si>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</si>
  <si>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</si>
  <si>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</si>
  <si>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</si>
  <si>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</si>
  <si>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</si>
  <si>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</si>
  <si>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</si>
  <si>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</si>
  <si>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</si>
  <si>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</si>
  <si>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</si>
  <si>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</si>
  <si>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</si>
  <si>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</si>
  <si>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</si>
  <si>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</si>
  <si>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</si>
  <si>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</si>
  <si>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</si>
  <si>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</si>
  <si>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</si>
  <si>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</si>
  <si>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</si>
  <si>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</si>
  <si>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</si>
  <si>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</si>
  <si>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</si>
  <si>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</si>
  <si>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</si>
  <si>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</si>
  <si>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</si>
  <si>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</si>
  <si>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</si>
  <si>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</si>
  <si>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</si>
  <si>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</si>
  <si>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</si>
  <si>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</si>
  <si>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</si>
  <si>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</si>
  <si>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</si>
  <si>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</si>
  <si>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</si>
  <si>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</si>
  <si>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</si>
  <si>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</si>
  <si>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</si>
  <si>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</si>
  <si>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</si>
  <si>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</si>
  <si>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</si>
  <si>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</si>
  <si>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</si>
  <si>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</si>
  <si>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</si>
  <si>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</si>
  <si>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</si>
  <si>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</si>
  <si>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</si>
  <si>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</si>
  <si>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</si>
  <si>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</si>
  <si>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</si>
  <si>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</si>
  <si>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</si>
  <si>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</si>
  <si>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</si>
  <si>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</si>
  <si>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</si>
  <si>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</si>
  <si>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</si>
  <si>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</si>
  <si>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</si>
  <si>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</si>
  <si>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</si>
  <si>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</si>
  <si>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</si>
  <si>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</si>
  <si>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</si>
  <si>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</si>
  <si>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</si>
  <si>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</si>
  <si>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</si>
  <si>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</si>
  <si>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</si>
  <si>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</si>
  <si>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</si>
  <si>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</si>
  <si>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</si>
  <si>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</si>
  <si>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</si>
  <si>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</si>
  <si>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</si>
  <si>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</si>
  <si>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</si>
  <si>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</si>
  <si>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</si>
  <si>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</si>
  <si>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</si>
  <si>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</si>
  <si>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</si>
  <si>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</si>
  <si>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</si>
  <si>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</si>
  <si>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</si>
  <si>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</si>
  <si>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</si>
  <si>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</si>
  <si>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</si>
  <si>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</si>
  <si>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</si>
  <si>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</si>
  <si>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</si>
  <si>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</si>
  <si>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</si>
  <si>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</si>
  <si>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</si>
  <si>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</si>
  <si>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</si>
  <si>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</si>
  <si>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</si>
  <si>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</si>
  <si>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</si>
  <si>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</si>
  <si>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</si>
  <si>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</si>
  <si>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</si>
  <si>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</si>
  <si>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</si>
  <si>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</si>
  <si>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</si>
  <si>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</si>
  <si>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</si>
  <si>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</si>
  <si>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</si>
  <si>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</si>
  <si>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</si>
  <si>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</si>
  <si>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</si>
  <si>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</si>
  <si>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</si>
  <si>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</si>
  <si>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</si>
  <si>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</si>
  <si>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</si>
  <si>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</si>
  <si>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</si>
  <si>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</si>
  <si>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</si>
  <si>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</si>
  <si>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</si>
  <si>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</si>
  <si>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</si>
  <si>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</si>
  <si>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</si>
  <si>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</si>
  <si>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</si>
  <si>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</si>
  <si>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</si>
  <si>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</si>
  <si>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</si>
  <si>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</si>
  <si>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</si>
  <si>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</si>
  <si>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</si>
  <si>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</si>
  <si>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</si>
  <si>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</si>
  <si>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</si>
  <si>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</si>
  <si>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</si>
  <si>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</si>
  <si>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</si>
  <si>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</si>
  <si>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</si>
  <si>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</si>
  <si>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</si>
  <si>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</si>
  <si>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</si>
  <si>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</si>
  <si>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</si>
  <si>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</si>
  <si>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</si>
  <si>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</si>
  <si>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</si>
  <si>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</si>
  <si>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</si>
  <si>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</si>
  <si>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</si>
  <si>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</si>
  <si>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</si>
  <si>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</si>
  <si>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</si>
  <si>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</si>
  <si>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</si>
  <si>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</si>
  <si>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</si>
  <si>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</si>
  <si>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</si>
  <si>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</si>
  <si>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</si>
  <si>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</si>
  <si>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</si>
  <si>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</si>
  <si>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</si>
  <si>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</si>
  <si>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</si>
  <si>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</si>
  <si>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</si>
  <si>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</si>
  <si>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</si>
  <si>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</si>
  <si>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</si>
  <si>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</si>
  <si>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</si>
  <si>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</si>
  <si>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</si>
  <si>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</si>
  <si>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</si>
  <si>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</si>
  <si>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</si>
  <si>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</si>
  <si>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</si>
  <si>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</si>
  <si>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</si>
  <si>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</si>
  <si>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</si>
  <si>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</si>
  <si>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</si>
  <si>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</si>
  <si>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</si>
  <si>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</si>
  <si>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</si>
  <si>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</si>
  <si>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</si>
  <si>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</si>
  <si>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</si>
  <si>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</si>
  <si>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</si>
  <si>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</si>
  <si>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</si>
  <si>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</si>
  <si>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</si>
  <si>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</si>
  <si>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</si>
  <si>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</si>
  <si>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</si>
  <si>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</si>
  <si>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</si>
  <si>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</si>
  <si>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</si>
  <si>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</si>
  <si>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</si>
  <si>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</si>
  <si>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</si>
  <si>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</si>
  <si>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</si>
  <si>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</si>
  <si>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</si>
  <si>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</si>
  <si>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</si>
  <si>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</si>
  <si>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</si>
  <si>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</si>
  <si>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</si>
  <si>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</si>
  <si>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</si>
  <si>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</si>
  <si>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</si>
  <si>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</si>
  <si>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</si>
  <si>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</si>
  <si>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</si>
  <si>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</si>
  <si>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</si>
  <si>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</si>
  <si>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</si>
  <si>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</si>
  <si>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</si>
  <si>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</si>
  <si>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</si>
  <si>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</si>
  <si>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</si>
  <si>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</si>
  <si>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</si>
  <si>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</si>
  <si>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</si>
  <si>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</si>
  <si>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</si>
  <si>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</si>
  <si>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</si>
  <si>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</si>
  <si>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</si>
  <si>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</si>
  <si>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</si>
  <si>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</si>
  <si>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</si>
  <si>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</si>
  <si>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</si>
  <si>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</si>
  <si>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</si>
  <si>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</si>
  <si>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</si>
  <si>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</si>
  <si>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</si>
  <si>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</si>
  <si>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</si>
  <si>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</si>
  <si>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</si>
  <si>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</si>
  <si>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</si>
  <si>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</si>
  <si>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</si>
  <si>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</si>
  <si>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</si>
  <si>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</si>
  <si>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</si>
  <si>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</si>
  <si>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</si>
  <si>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</si>
  <si>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</si>
  <si>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</si>
  <si>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</si>
  <si>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</si>
  <si>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</si>
  <si>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</si>
  <si>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</si>
  <si>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</si>
  <si>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</si>
  <si>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</si>
  <si>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</si>
  <si>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</si>
  <si>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</si>
  <si>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</si>
  <si>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</si>
  <si>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</si>
  <si>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</si>
  <si>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</si>
  <si>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</si>
  <si>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</si>
  <si>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</si>
  <si>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</si>
  <si>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</si>
  <si>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</si>
  <si>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</si>
  <si>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</si>
  <si>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</si>
  <si>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</si>
  <si>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</si>
  <si>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</si>
  <si>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</si>
  <si>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</si>
  <si>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</si>
  <si>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</si>
  <si>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</si>
  <si>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</si>
  <si>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</si>
  <si>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</si>
  <si>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</si>
  <si>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</si>
  <si>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</si>
  <si>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</si>
  <si>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</si>
  <si>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</si>
  <si>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</si>
  <si>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</si>
  <si>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</si>
  <si>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</si>
  <si>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</si>
  <si>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</si>
  <si>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</si>
  <si>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</si>
  <si>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</si>
  <si>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</si>
  <si>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</si>
  <si>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</si>
  <si>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</si>
  <si>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</si>
  <si>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</si>
  <si>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</si>
  <si>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</si>
  <si>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</si>
  <si>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</si>
  <si>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</si>
  <si>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</si>
  <si>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</si>
  <si>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</si>
  <si>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</si>
  <si>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</si>
  <si>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</si>
  <si>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</si>
  <si>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</si>
  <si>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</si>
  <si>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</si>
  <si>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</si>
  <si>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</si>
  <si>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</si>
  <si>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</si>
  <si>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</si>
  <si>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</si>
  <si>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</si>
  <si>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</si>
  <si>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</si>
  <si>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</si>
  <si>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</si>
  <si>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</si>
  <si>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</si>
  <si>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</si>
  <si>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</si>
  <si>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</si>
  <si>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</si>
  <si>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</si>
  <si>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</si>
  <si>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</si>
  <si>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</si>
  <si>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</si>
  <si>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</si>
  <si>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</si>
  <si>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</si>
  <si>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</si>
  <si>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</si>
  <si>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</si>
  <si>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</si>
  <si>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</si>
  <si>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</si>
  <si>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</si>
  <si>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</si>
  <si>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</si>
  <si>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</si>
  <si>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</si>
  <si>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</si>
  <si>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</si>
  <si>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</si>
  <si>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</si>
  <si>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</si>
  <si>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</si>
  <si>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</si>
  <si>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</si>
  <si>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</si>
  <si>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</si>
  <si>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</si>
  <si>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</si>
  <si>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</si>
  <si>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</si>
  <si>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</si>
  <si>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</si>
  <si>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</si>
  <si>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</si>
  <si>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</si>
  <si>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</si>
  <si>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</si>
  <si>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</si>
  <si>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</si>
  <si>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</si>
  <si>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</si>
  <si>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</si>
  <si>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</si>
  <si>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</si>
  <si>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</si>
  <si>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</si>
  <si>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</si>
  <si>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</si>
  <si>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</si>
  <si>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</si>
  <si>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</si>
  <si>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</si>
  <si>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</si>
  <si>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</si>
  <si>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</si>
  <si>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</si>
  <si>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</si>
  <si>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</si>
  <si>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</si>
  <si>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</si>
  <si>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</si>
  <si>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</si>
  <si>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</si>
  <si>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</si>
  <si>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</si>
  <si>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</si>
  <si>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</si>
  <si>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</si>
  <si>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</si>
  <si>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</si>
  <si>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</si>
  <si>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</si>
  <si>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</si>
  <si>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</si>
  <si>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</si>
  <si>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</si>
  <si>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</si>
  <si>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</si>
  <si>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</si>
  <si>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</si>
  <si>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</si>
  <si>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</si>
  <si>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</si>
  <si>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</si>
  <si>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</si>
  <si>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</si>
  <si>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</si>
  <si>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</si>
  <si>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</si>
  <si>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</si>
  <si>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</si>
  <si>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</si>
  <si>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</si>
  <si>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</si>
  <si>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</si>
  <si>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</si>
  <si>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</si>
  <si>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</si>
  <si>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</si>
  <si>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</si>
  <si>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</si>
  <si>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</si>
  <si>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</si>
  <si>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</si>
  <si>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</si>
  <si>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</si>
  <si>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</si>
  <si>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</si>
  <si>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</si>
  <si>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</si>
  <si>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</si>
  <si>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</si>
  <si>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</si>
  <si>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</si>
  <si>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</si>
  <si>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</si>
  <si>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</si>
  <si>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</si>
  <si>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</si>
  <si>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</si>
  <si>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</si>
  <si>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</si>
  <si>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</si>
  <si>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</si>
  <si>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</si>
  <si>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</si>
  <si>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</si>
  <si>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</si>
  <si>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</si>
  <si>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</si>
  <si>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</si>
  <si>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</si>
  <si>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</si>
  <si>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</si>
  <si>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</si>
  <si>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</si>
  <si>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</si>
  <si>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</si>
  <si>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</si>
  <si>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</si>
  <si>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</si>
  <si>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</si>
  <si>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</si>
  <si>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</si>
  <si>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</si>
  <si>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</si>
  <si>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</si>
  <si>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</si>
  <si>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</si>
  <si>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</si>
  <si>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</si>
  <si>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</si>
  <si>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</si>
  <si>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</si>
  <si>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</si>
  <si>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</si>
  <si>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</si>
  <si>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</si>
  <si>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</si>
  <si>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</si>
  <si>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</si>
  <si>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</si>
  <si>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</si>
  <si>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</si>
  <si>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</si>
  <si>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</si>
  <si>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</si>
  <si>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</si>
  <si>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</si>
  <si>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</si>
  <si>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</si>
  <si>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</si>
  <si>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</si>
  <si>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</si>
  <si>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</si>
  <si>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</si>
  <si>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</si>
  <si>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</si>
  <si>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</si>
  <si>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</si>
  <si>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</si>
  <si>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</si>
  <si>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</si>
  <si>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</si>
  <si>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</si>
  <si>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</si>
  <si>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</si>
  <si>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</si>
  <si>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</si>
  <si>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</si>
  <si>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</si>
  <si>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</si>
  <si>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</si>
  <si>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</si>
  <si>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</si>
  <si>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</si>
  <si>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</si>
  <si>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</si>
  <si>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</si>
  <si>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</si>
  <si>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</si>
  <si>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</si>
  <si>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</si>
  <si>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</si>
  <si>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</si>
  <si>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</si>
  <si>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</si>
  <si>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</si>
  <si>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</si>
  <si>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</si>
  <si>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</si>
  <si>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</si>
  <si>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</si>
  <si>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</si>
  <si>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</si>
  <si>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</si>
  <si>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</si>
  <si>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</si>
  <si>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</si>
  <si>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</si>
  <si>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</si>
  <si>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</si>
  <si>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</si>
  <si>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</si>
  <si>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</si>
  <si>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</si>
  <si>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</si>
  <si>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</si>
  <si>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</si>
  <si>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</si>
  <si>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</si>
  <si>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</si>
  <si>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</si>
  <si>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</si>
  <si>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</si>
  <si>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</si>
  <si>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</si>
  <si>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</si>
  <si>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</si>
  <si>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</si>
  <si>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</si>
  <si>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</si>
  <si>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</si>
  <si>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</si>
  <si>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</si>
  <si>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</si>
  <si>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</si>
  <si>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</si>
  <si>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</si>
  <si>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</si>
  <si>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</si>
  <si>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</si>
  <si>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</si>
  <si>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</si>
  <si>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</si>
  <si>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</si>
  <si>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</si>
  <si>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</si>
  <si>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</si>
  <si>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</si>
  <si>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</si>
  <si>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</si>
  <si>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</si>
  <si>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</si>
  <si>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</si>
  <si>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</si>
  <si>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</si>
  <si>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</si>
  <si>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</si>
  <si>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</si>
  <si>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</si>
  <si>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</si>
  <si>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</si>
  <si>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</si>
  <si>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</si>
  <si>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</si>
  <si>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</si>
  <si>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</si>
  <si>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</si>
  <si>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</si>
  <si>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</si>
  <si>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</si>
  <si>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</si>
  <si>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</si>
  <si>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</si>
  <si>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</si>
  <si>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</si>
  <si>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</si>
  <si>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</si>
  <si>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</si>
  <si>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</si>
  <si>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</si>
  <si>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</si>
  <si>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</si>
  <si>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</si>
  <si>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</si>
  <si>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</si>
  <si>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</si>
  <si>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</si>
  <si>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</si>
  <si>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</si>
  <si>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</si>
  <si>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</si>
  <si>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</si>
  <si>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</si>
  <si>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</si>
  <si>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</si>
  <si>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</si>
  <si>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</si>
  <si>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</si>
  <si>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</si>
  <si>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</si>
  <si>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</si>
  <si>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</si>
  <si>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</si>
  <si>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</si>
  <si>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</si>
  <si>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</si>
  <si>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</si>
  <si>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</si>
  <si>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</si>
  <si>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</si>
  <si>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</si>
  <si>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</si>
  <si>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</si>
  <si>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</si>
  <si>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</si>
  <si>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</si>
  <si>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</si>
  <si>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</si>
  <si>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</si>
  <si>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</si>
  <si>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</si>
  <si>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</si>
  <si>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</si>
  <si>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</si>
  <si>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</si>
  <si>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</si>
  <si>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</si>
  <si>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</si>
  <si>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</si>
  <si>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</si>
  <si>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</si>
  <si>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</si>
  <si>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</si>
  <si>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</si>
  <si>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</si>
  <si>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</si>
  <si>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</si>
  <si>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</si>
  <si>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</si>
  <si>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</si>
  <si>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</si>
  <si>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</si>
  <si>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</si>
  <si>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</si>
  <si>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</si>
  <si>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</si>
  <si>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</si>
  <si>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</si>
  <si>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</si>
  <si>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</si>
  <si>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</si>
  <si>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</si>
  <si>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</si>
  <si>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</si>
  <si>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</si>
  <si>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</si>
  <si>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</si>
  <si>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</si>
  <si>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</si>
  <si>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</si>
  <si>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</si>
  <si>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</si>
  <si>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</si>
  <si>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</si>
  <si>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</si>
  <si>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</si>
  <si>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</si>
  <si>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</si>
  <si>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</si>
  <si>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</si>
  <si>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</si>
  <si>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</si>
  <si>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</si>
  <si>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</si>
  <si>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</si>
  <si>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</si>
  <si>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</si>
  <si>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</si>
  <si>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</si>
  <si>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</si>
  <si>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</si>
  <si>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</si>
  <si>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</si>
  <si>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</si>
  <si>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</si>
  <si>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</si>
  <si>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</si>
  <si>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</si>
  <si>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</si>
  <si>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</si>
  <si>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</si>
  <si>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</si>
  <si>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</si>
  <si>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</si>
  <si>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</si>
  <si>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</si>
  <si>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</si>
  <si>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</si>
  <si>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</si>
  <si>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</si>
  <si>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</si>
  <si>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</si>
  <si>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</si>
  <si>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</si>
  <si>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</si>
  <si>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</si>
  <si>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</si>
  <si>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</si>
  <si>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</si>
  <si>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</si>
  <si>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</si>
  <si>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</si>
  <si>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</si>
  <si>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</si>
  <si>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</si>
  <si>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</si>
  <si>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</si>
  <si>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</si>
  <si>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</si>
  <si>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</si>
  <si>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</si>
  <si>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</si>
  <si>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</si>
  <si>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</si>
  <si>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</si>
  <si>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</si>
  <si>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</si>
  <si>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</si>
  <si>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</si>
  <si>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</si>
  <si>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</si>
  <si>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</si>
  <si>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</si>
  <si>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</si>
  <si>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</si>
  <si>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</si>
  <si>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</si>
  <si>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</si>
  <si>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</si>
  <si>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</si>
  <si>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</si>
  <si>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</si>
  <si>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</si>
  <si>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</si>
  <si>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</si>
  <si>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</si>
  <si>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</si>
  <si>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</si>
  <si>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</si>
  <si>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</si>
  <si>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</si>
  <si>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</si>
  <si>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</si>
  <si>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</si>
  <si>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</si>
  <si>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</si>
  <si>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</si>
  <si>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</si>
  <si>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</si>
  <si>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</si>
  <si>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</si>
  <si>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</si>
  <si>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</si>
  <si>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</si>
  <si>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</si>
  <si>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</si>
  <si>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</si>
  <si>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</si>
  <si>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</si>
  <si>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</si>
  <si>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</si>
  <si>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</si>
  <si>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</si>
  <si>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</si>
  <si>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</si>
  <si>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</si>
  <si>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</si>
  <si>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</si>
  <si>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</si>
  <si>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</si>
  <si>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</si>
  <si>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</si>
  <si>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</si>
  <si>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</si>
  <si>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</si>
  <si>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</si>
  <si>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</si>
  <si>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</si>
  <si>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</si>
  <si>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</si>
  <si>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</si>
  <si>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</si>
  <si>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</si>
  <si>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</si>
  <si>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</si>
  <si>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</si>
  <si>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</si>
  <si>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</si>
  <si>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</si>
  <si>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</si>
  <si>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</si>
  <si>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</si>
  <si>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</si>
  <si>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</si>
  <si>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</si>
  <si>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</si>
  <si>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</si>
  <si>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</si>
  <si>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</si>
  <si>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</si>
  <si>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</si>
  <si>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</si>
  <si>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</si>
  <si>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</si>
  <si>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</si>
  <si>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</si>
  <si>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</si>
  <si>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</si>
  <si>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</si>
  <si>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</si>
  <si>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</si>
  <si>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</si>
  <si>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</si>
  <si>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</si>
  <si>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</si>
  <si>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</si>
  <si>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</si>
  <si>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</si>
  <si>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</si>
  <si>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</si>
  <si>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</si>
  <si>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</si>
  <si>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</si>
  <si>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</si>
  <si>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</si>
  <si>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</si>
  <si>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</si>
  <si>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</si>
  <si>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</si>
  <si>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</si>
  <si>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</si>
  <si>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</si>
  <si>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</si>
  <si>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</si>
  <si>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</si>
  <si>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</si>
  <si>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</si>
  <si>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</si>
  <si>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</si>
  <si>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</si>
  <si>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</si>
  <si>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</si>
  <si>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</si>
  <si>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</si>
  <si>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</si>
  <si>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</si>
  <si>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</si>
  <si>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</si>
  <si>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</si>
  <si>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</si>
  <si>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</si>
  <si>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</si>
  <si>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</si>
  <si>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</si>
  <si>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</si>
  <si>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</si>
  <si>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</si>
  <si>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</si>
  <si>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</si>
  <si>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</si>
  <si>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</si>
  <si>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</si>
  <si>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</si>
  <si>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</si>
  <si>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</si>
  <si>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</si>
  <si>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</si>
  <si>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</si>
  <si>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</si>
  <si>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</si>
  <si>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</si>
  <si>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</si>
  <si>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</si>
  <si>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</si>
  <si>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</si>
  <si>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</si>
  <si>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</si>
  <si>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</si>
  <si>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</si>
  <si>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</si>
  <si>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</si>
  <si>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</si>
  <si>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</si>
  <si>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</si>
  <si>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</si>
  <si>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</si>
  <si>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</si>
  <si>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</si>
  <si>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</si>
  <si>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</si>
  <si>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</si>
  <si>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</si>
  <si>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</si>
  <si>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</si>
  <si>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</si>
  <si>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</si>
  <si>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</si>
  <si>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</si>
  <si>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</si>
  <si>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</si>
  <si>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</si>
  <si>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</si>
  <si>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</si>
  <si>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</si>
  <si>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</si>
  <si>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</si>
  <si>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</si>
  <si>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</si>
  <si>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</si>
  <si>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</si>
  <si>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</si>
  <si>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</si>
  <si>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</si>
  <si>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</si>
  <si>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</si>
  <si>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</si>
  <si>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</si>
  <si>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</si>
  <si>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</si>
  <si>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</si>
  <si>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</si>
  <si>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</si>
  <si>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</si>
  <si>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</si>
  <si>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</si>
  <si>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</si>
  <si>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</si>
  <si>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</si>
  <si>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</si>
  <si>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</si>
  <si>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</si>
  <si>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</si>
  <si>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</si>
  <si>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</si>
  <si>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</si>
  <si>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</si>
  <si>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</si>
  <si>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</si>
  <si>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</si>
  <si>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</si>
  <si>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</si>
  <si>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</si>
  <si>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</si>
  <si>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</si>
  <si>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</si>
  <si>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</si>
  <si>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</si>
  <si>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</si>
  <si>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</si>
  <si>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</si>
  <si>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</si>
  <si>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</si>
  <si>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</si>
  <si>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</si>
  <si>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</si>
  <si>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</si>
  <si>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</si>
  <si>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</si>
  <si>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</si>
  <si>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</si>
  <si>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</si>
  <si>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</si>
  <si>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</si>
  <si>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</si>
  <si>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</si>
  <si>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</si>
  <si>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</si>
  <si>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</si>
  <si>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</si>
  <si>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</si>
  <si>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</si>
  <si>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</si>
  <si>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</si>
  <si>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</si>
  <si>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</si>
  <si>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</si>
  <si>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</si>
  <si>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</si>
  <si>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</si>
  <si>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</si>
  <si>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</si>
  <si>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</si>
  <si>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</si>
  <si>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</si>
  <si>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</si>
  <si>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</si>
  <si>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</si>
  <si>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</si>
  <si>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</si>
  <si>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</si>
  <si>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</si>
  <si>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</si>
  <si>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</si>
  <si>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</si>
  <si>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</si>
  <si>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</si>
  <si>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</si>
  <si>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</si>
  <si>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</si>
  <si>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</si>
  <si>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</si>
  <si>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</si>
  <si>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</si>
  <si>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</si>
  <si>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</si>
  <si>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</si>
  <si>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</si>
  <si>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</si>
  <si>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</si>
  <si>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</si>
  <si>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</si>
  <si>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</si>
  <si>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</si>
  <si>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</si>
  <si>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</si>
  <si>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</si>
  <si>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</si>
  <si>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</si>
  <si>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</si>
  <si>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</si>
  <si>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</si>
  <si>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</si>
  <si>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</si>
  <si>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</si>
  <si>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</si>
  <si>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</si>
  <si>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</si>
  <si>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</si>
  <si>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</si>
  <si>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</si>
  <si>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</si>
  <si>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</si>
  <si>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</si>
  <si>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</si>
  <si>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</si>
  <si>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</si>
  <si>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</si>
  <si>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</si>
  <si>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</si>
  <si>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</si>
  <si>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</si>
  <si>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</si>
  <si>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</si>
  <si>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</si>
  <si>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</si>
  <si>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</si>
  <si>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</si>
  <si>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</si>
  <si>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</si>
  <si>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</si>
  <si>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</si>
  <si>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</si>
  <si>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</si>
  <si>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</si>
  <si>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</si>
  <si>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</si>
  <si>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</si>
  <si>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</si>
  <si>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</si>
  <si>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</si>
  <si>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</si>
  <si>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</si>
  <si>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</si>
  <si>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</si>
  <si>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</si>
  <si>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</si>
  <si>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</si>
  <si>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</si>
  <si>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</si>
  <si>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</si>
  <si>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</si>
  <si>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</si>
  <si>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</si>
  <si>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</si>
  <si>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</si>
  <si>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</si>
  <si>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</si>
  <si>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</si>
  <si>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</si>
  <si>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</si>
  <si>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</si>
  <si>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</si>
  <si>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</si>
  <si>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</si>
  <si>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</si>
  <si>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</si>
  <si>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</si>
  <si>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</si>
  <si>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</si>
  <si>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</si>
  <si>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</si>
  <si>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</si>
  <si>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</si>
  <si>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</si>
  <si>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</si>
  <si>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</si>
  <si>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</si>
  <si>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</si>
  <si>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</si>
  <si>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</si>
  <si>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</si>
  <si>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</si>
  <si>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</si>
  <si>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</si>
  <si>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</si>
  <si>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</si>
  <si>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</si>
  <si>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</si>
  <si>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</si>
  <si>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</si>
  <si>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</si>
  <si>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</si>
  <si>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</si>
  <si>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</si>
  <si>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</si>
  <si>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</si>
  <si>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</si>
  <si>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</si>
  <si>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</si>
  <si>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</si>
  <si>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</si>
  <si>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</si>
  <si>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</si>
  <si>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</si>
  <si>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</si>
  <si>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</si>
  <si>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</si>
  <si>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</si>
  <si>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</si>
  <si>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</si>
  <si>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</si>
  <si>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</si>
  <si>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</si>
  <si>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</si>
  <si>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</si>
  <si>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</si>
  <si>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</si>
  <si>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</si>
  <si>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</si>
  <si>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</si>
  <si>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</si>
  <si>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</si>
  <si>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</si>
  <si>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</si>
  <si>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</si>
  <si>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</si>
  <si>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</si>
  <si>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</si>
  <si>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</si>
  <si>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</si>
  <si>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</si>
  <si>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</si>
  <si>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</si>
  <si>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</si>
  <si>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</si>
  <si>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</si>
  <si>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</si>
  <si>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</si>
  <si>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</si>
  <si>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</si>
  <si>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</si>
  <si>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</si>
  <si>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</si>
  <si>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</si>
  <si>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</si>
  <si>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</si>
  <si>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</si>
  <si>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</si>
  <si>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</si>
  <si>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</si>
  <si>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</si>
  <si>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</si>
  <si>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</si>
  <si>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</si>
  <si>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</si>
  <si>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</si>
  <si>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</si>
  <si>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</si>
  <si>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</si>
  <si>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</si>
  <si>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</si>
  <si>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</si>
  <si>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</si>
  <si>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</si>
  <si>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</si>
  <si>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</si>
  <si>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</si>
  <si>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</si>
  <si>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</si>
  <si>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</si>
  <si>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</si>
  <si>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</si>
  <si>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</si>
  <si>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</si>
  <si>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</si>
  <si>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</si>
  <si>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</si>
  <si>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</si>
  <si>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</si>
  <si>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</si>
  <si>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</si>
  <si>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</si>
  <si>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</si>
  <si>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</si>
  <si>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</si>
  <si>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</si>
  <si>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</si>
  <si>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</si>
  <si>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</si>
  <si>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</si>
  <si>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</si>
  <si>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</si>
  <si>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</si>
  <si>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</si>
  <si>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</si>
  <si>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</si>
  <si>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</si>
  <si>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</si>
  <si>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</si>
  <si>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</si>
  <si>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</si>
  <si>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</si>
  <si>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</si>
  <si>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</si>
  <si>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</si>
  <si>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</si>
  <si>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</si>
  <si>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</si>
  <si>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</si>
  <si>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</si>
  <si>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</si>
  <si>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</si>
  <si>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</si>
  <si>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</si>
  <si>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</si>
  <si>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</si>
  <si>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</si>
  <si>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</si>
  <si>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</si>
  <si>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</si>
  <si>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</si>
  <si>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</si>
  <si>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</si>
  <si>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</si>
  <si>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</si>
  <si>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</si>
  <si>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</si>
  <si>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</si>
  <si>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</si>
  <si>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</si>
  <si>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</si>
  <si>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</si>
  <si>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</si>
  <si>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</si>
  <si>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</si>
  <si>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</si>
  <si>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</si>
  <si>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</si>
  <si>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</si>
  <si>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</si>
  <si>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</si>
  <si>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</si>
  <si>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</si>
  <si>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</si>
  <si>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</si>
  <si>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</si>
  <si>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</si>
  <si>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</si>
  <si>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</si>
  <si>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</si>
  <si>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</si>
  <si>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</si>
  <si>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</si>
  <si>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</si>
  <si>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</si>
  <si>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</si>
  <si>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</si>
  <si>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</si>
  <si>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</si>
  <si>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</si>
  <si>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</si>
  <si>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</si>
  <si>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</si>
  <si>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</si>
  <si>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</si>
  <si>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</si>
  <si>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</si>
  <si>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</si>
  <si>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</si>
  <si>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</si>
  <si>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</si>
  <si>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</si>
  <si>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</si>
  <si>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</si>
  <si>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</si>
  <si>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</si>
  <si>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</si>
  <si>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</si>
  <si>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</si>
  <si>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</si>
  <si>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</si>
  <si>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</si>
  <si>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</si>
  <si>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</si>
  <si>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</si>
  <si>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</si>
  <si>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</si>
  <si>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</si>
  <si>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</si>
  <si>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</si>
  <si>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</si>
  <si>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</si>
  <si>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</si>
  <si>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</si>
  <si>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</si>
  <si>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</si>
  <si>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</si>
  <si>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</si>
  <si>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</si>
  <si>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</si>
  <si>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</si>
  <si>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</si>
  <si>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</si>
  <si>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</si>
  <si>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</si>
  <si>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</si>
  <si>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</si>
  <si>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</si>
  <si>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</si>
  <si>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</si>
  <si>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</si>
  <si>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</si>
  <si>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</si>
  <si>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</si>
  <si>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</si>
  <si>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</si>
  <si>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</si>
  <si>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</si>
  <si>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</si>
  <si>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</si>
  <si>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</si>
  <si>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</si>
  <si>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</si>
  <si>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</si>
  <si>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</si>
  <si>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</si>
  <si>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</si>
  <si>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</si>
  <si>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</si>
  <si>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</si>
  <si>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</si>
  <si>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</si>
  <si>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</si>
  <si>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</si>
  <si>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</si>
  <si>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</si>
  <si>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</si>
  <si>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</si>
  <si>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</si>
  <si>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</si>
  <si>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</si>
  <si>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</si>
  <si>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</si>
  <si>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</si>
  <si>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</si>
  <si>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</si>
  <si>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</si>
  <si>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</si>
  <si>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</si>
  <si>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</si>
  <si>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</si>
  <si>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</si>
  <si>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</si>
  <si>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</si>
  <si>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</si>
  <si>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</si>
  <si>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</si>
  <si>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</si>
  <si>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</si>
  <si>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</si>
  <si>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</si>
  <si>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</si>
  <si>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</si>
  <si>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</si>
  <si>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</si>
  <si>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</si>
  <si>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</si>
  <si>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</si>
  <si>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</si>
  <si>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</si>
  <si>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</si>
  <si>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</si>
  <si>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</si>
  <si>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</si>
  <si>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</si>
  <si>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</si>
  <si>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</si>
  <si>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</si>
  <si>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</si>
  <si>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</si>
  <si>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</si>
  <si>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</si>
  <si>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</si>
  <si>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</si>
  <si>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</si>
  <si>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</si>
  <si>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</si>
  <si>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</si>
  <si>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</si>
  <si>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</si>
  <si>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</si>
  <si>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</si>
  <si>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</si>
  <si>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</si>
  <si>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</si>
  <si>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</si>
  <si>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</si>
  <si>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</si>
  <si>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</si>
  <si>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</si>
  <si>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</si>
  <si>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</si>
  <si>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</si>
  <si>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</si>
  <si>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</si>
  <si>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</si>
  <si>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</si>
  <si>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</si>
  <si>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</si>
  <si>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</si>
  <si>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</si>
  <si>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</si>
  <si>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</si>
  <si>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</si>
  <si>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</si>
  <si>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</si>
  <si>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</si>
  <si>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</si>
  <si>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</si>
  <si>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</si>
  <si>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</si>
  <si>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</si>
  <si>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</si>
  <si>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</si>
  <si>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</si>
  <si>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</si>
  <si>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</si>
  <si>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</si>
  <si>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</si>
  <si>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</si>
  <si>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</si>
  <si>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</si>
  <si>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</si>
  <si>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</si>
  <si>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</si>
  <si>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</si>
  <si>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</si>
  <si>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</si>
  <si>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</si>
  <si>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</si>
  <si>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</si>
  <si>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</si>
  <si>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</si>
  <si>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</si>
  <si>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</si>
  <si>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</si>
  <si>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</si>
  <si>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</si>
  <si>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</si>
  <si>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</si>
  <si>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</si>
  <si>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</si>
  <si>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</si>
  <si>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</si>
  <si>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</si>
  <si>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</si>
  <si>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</si>
  <si>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</si>
  <si>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</si>
  <si>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</si>
  <si>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</si>
  <si>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</si>
  <si>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</si>
  <si>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</si>
  <si>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</si>
  <si>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</si>
  <si>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</si>
  <si>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</si>
  <si>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</si>
  <si>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</si>
  <si>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</si>
  <si>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</si>
  <si>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</si>
  <si>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</si>
  <si>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</si>
  <si>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</si>
  <si>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</si>
  <si>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</si>
  <si>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</si>
  <si>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</si>
  <si>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</si>
  <si>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</si>
  <si>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</si>
  <si>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</si>
  <si>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</si>
  <si>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</si>
  <si>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</si>
  <si>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</si>
  <si>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</si>
  <si>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</si>
  <si>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</si>
  <si>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</si>
  <si>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</si>
  <si>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</si>
  <si>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</si>
  <si>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</si>
  <si>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</si>
  <si>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</si>
  <si>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</si>
  <si>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</si>
  <si>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</si>
  <si>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</si>
  <si>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</si>
  <si>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</si>
  <si>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</si>
  <si>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</si>
  <si>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</si>
  <si>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</si>
  <si>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</si>
  <si>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</si>
  <si>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</si>
  <si>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</si>
  <si>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</si>
  <si>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</si>
  <si>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</si>
  <si>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</si>
  <si>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</si>
  <si>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</si>
  <si>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</si>
  <si>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</si>
  <si>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</si>
  <si>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</si>
  <si>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</si>
  <si>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</si>
  <si>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</si>
  <si>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</si>
  <si>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</si>
  <si>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</si>
  <si>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</si>
  <si>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</si>
  <si>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</si>
  <si>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</si>
  <si>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</si>
  <si>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</si>
  <si>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</si>
  <si>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</si>
  <si>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</si>
  <si>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</si>
  <si>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</si>
  <si>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</si>
  <si>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</si>
  <si>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</si>
  <si>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</si>
  <si>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</si>
  <si>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</si>
  <si>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</si>
  <si>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</si>
  <si>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</si>
  <si>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</si>
  <si>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</si>
  <si>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</si>
  <si>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</si>
  <si>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</si>
  <si>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</si>
  <si>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</si>
  <si>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</si>
  <si>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</si>
  <si>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</si>
  <si>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</si>
  <si>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</si>
  <si>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</si>
  <si>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</si>
  <si>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</si>
  <si>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</si>
  <si>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</si>
  <si>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</si>
  <si>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</si>
  <si>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</si>
  <si>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</si>
  <si>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</si>
  <si>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</si>
  <si>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</si>
  <si>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</si>
  <si>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</si>
  <si>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</si>
  <si>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</si>
  <si>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</si>
  <si>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</si>
  <si>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</si>
  <si>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</si>
  <si>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</si>
  <si>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</si>
  <si>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</si>
  <si>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</si>
  <si>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</si>
  <si>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</si>
  <si>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</si>
  <si>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</si>
  <si>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</si>
  <si>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</si>
  <si>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</si>
  <si>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</si>
  <si>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</si>
  <si>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</si>
  <si>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</si>
  <si>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</si>
  <si>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</si>
  <si>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</si>
  <si>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</si>
  <si>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</si>
  <si>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</si>
  <si>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</si>
  <si>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</si>
  <si>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</si>
  <si>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</si>
  <si>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</si>
  <si>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</si>
  <si>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</si>
  <si>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</si>
  <si>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</si>
  <si>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</si>
  <si>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</si>
  <si>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</si>
  <si>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</si>
  <si>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</si>
  <si>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</si>
  <si>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</si>
  <si>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</si>
  <si>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</si>
  <si>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</si>
  <si>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</si>
  <si>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</si>
  <si>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</si>
  <si>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</si>
  <si>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</si>
  <si>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</si>
  <si>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</si>
  <si>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</si>
  <si>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</si>
  <si>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</si>
  <si>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</si>
  <si>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</si>
  <si>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</si>
  <si>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</si>
  <si>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</si>
  <si>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</si>
  <si>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</si>
  <si>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</si>
  <si>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</si>
  <si>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</si>
  <si>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</si>
  <si>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</si>
  <si>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</si>
  <si>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</si>
  <si>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</si>
  <si>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</si>
  <si>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</si>
  <si>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</si>
  <si>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</si>
  <si>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</si>
  <si>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</si>
  <si>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</si>
  <si>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</si>
  <si>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</si>
  <si>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</si>
  <si>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</si>
  <si>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</si>
  <si>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</si>
  <si>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</si>
  <si>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</si>
  <si>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</si>
  <si>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</si>
  <si>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</si>
  <si>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</si>
  <si>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</si>
  <si>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</si>
  <si>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</si>
  <si>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</si>
  <si>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</si>
  <si>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</si>
  <si>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</si>
  <si>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</si>
  <si>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</si>
  <si>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</si>
  <si>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</si>
  <si>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</si>
  <si>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</si>
  <si>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</si>
  <si>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</si>
  <si>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</si>
  <si>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</si>
  <si>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</si>
  <si>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</si>
  <si>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</si>
  <si>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</si>
  <si>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</si>
  <si>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</si>
  <si>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</si>
  <si>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</si>
  <si>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</si>
  <si>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</si>
  <si>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</si>
  <si>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</si>
  <si>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</si>
  <si>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</si>
  <si>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</si>
  <si>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</si>
  <si>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</si>
  <si>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</si>
  <si>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</si>
  <si>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</si>
  <si>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</si>
  <si>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</si>
  <si>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</si>
  <si>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</si>
  <si>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</si>
  <si>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</si>
  <si>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</si>
  <si>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</si>
  <si>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</si>
  <si>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</si>
  <si>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</si>
  <si>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</si>
  <si>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1991</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</si>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</sst>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16896.131186005568</v>
      </c>
      <c r="F22" s="3384" t="str">
        <f t="shared" si="0"/>
        <v>NA</v>
      </c>
      <c r="G22" s="3360">
        <v>260.35402145708582</v>
      </c>
      <c r="H22" s="3339">
        <f t="shared" si="1"/>
        <v>954.63141200931466</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27400</v>
      </c>
      <c r="F24" s="3384" t="str">
        <f t="shared" si="0"/>
        <v>NA</v>
      </c>
      <c r="G24" s="3360">
        <v>603.04909090909086</v>
      </c>
      <c r="H24" s="3339">
        <f t="shared" si="1"/>
        <v>2211.1799999999998</v>
      </c>
      <c r="I24" s="2599" t="s">
        <v>205</v>
      </c>
      <c r="J24" s="2600"/>
      <c r="M24" s="125"/>
    </row>
    <row r="25" spans="2:13" ht="18" customHeight="1" x14ac:dyDescent="0.2">
      <c r="B25" s="165"/>
      <c r="C25" s="1566"/>
      <c r="D25" s="1451" t="s">
        <v>458</v>
      </c>
      <c r="E25" s="3379">
        <v>18600</v>
      </c>
      <c r="F25" s="3384" t="str">
        <f t="shared" si="0"/>
        <v>NA</v>
      </c>
      <c r="G25" s="3360">
        <v>353.23936363636369</v>
      </c>
      <c r="H25" s="3339">
        <f t="shared" si="1"/>
        <v>1295.2110000000002</v>
      </c>
      <c r="I25" s="2599" t="s">
        <v>205</v>
      </c>
      <c r="J25" s="2600"/>
      <c r="M25" s="125"/>
    </row>
    <row r="26" spans="2:13" ht="18" customHeight="1" x14ac:dyDescent="0.2">
      <c r="B26" s="165"/>
      <c r="C26" s="1566"/>
      <c r="D26" s="1451" t="s">
        <v>459</v>
      </c>
      <c r="E26" s="3383">
        <v>9050.9217091091286</v>
      </c>
      <c r="F26" s="3384">
        <f t="shared" si="0"/>
        <v>25.261363636363637</v>
      </c>
      <c r="G26" s="3360">
        <v>228.63862453806354</v>
      </c>
      <c r="H26" s="3339">
        <f t="shared" si="1"/>
        <v>838.34162330623303</v>
      </c>
      <c r="I26" s="3360">
        <v>838.34162330623303</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31588.368304769338</v>
      </c>
      <c r="F28" s="3384">
        <f>IF(I28="NA","NA",I28/(44/12)*1000/E28)</f>
        <v>1.1297513815918527</v>
      </c>
      <c r="G28" s="3360">
        <v>550.51696949362599</v>
      </c>
      <c r="H28" s="3339">
        <f>IF(G28="NA","NA",IF(G28="NO","NO",G28*44/12))</f>
        <v>2018.5622214766288</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103535.42119988403</v>
      </c>
      <c r="F31" s="3324">
        <f t="shared" ref="F31" si="3">IF(I31="NA","NA",I31/(44/12)*1000/E31)</f>
        <v>2.5529970729756886</v>
      </c>
      <c r="G31" s="3388">
        <f>SUM(G11:G29)</f>
        <v>1995.7980700342298</v>
      </c>
      <c r="H31" s="3336">
        <f t="shared" ref="H31" si="4">IF(G31="NA","NA",IF(G31="NO","NO",G31*44/12))</f>
        <v>7317.926256792176</v>
      </c>
      <c r="I31" s="3388">
        <f>SUM(I11:I29)</f>
        <v>969.193966666233</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6225.2929455782305</v>
      </c>
      <c r="F35" s="3384">
        <f>IF(I35="NA","NA",I35/(44/12)*1000/E35)</f>
        <v>24.636742779593572</v>
      </c>
      <c r="G35" s="3364">
        <v>153.3709410278293</v>
      </c>
      <c r="H35" s="3361">
        <f t="shared" si="5"/>
        <v>562.36011710204082</v>
      </c>
      <c r="I35" s="3360">
        <v>562.3601171020407</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85992.165333333251</v>
      </c>
      <c r="F41" s="3384">
        <f t="shared" ref="F41" si="8">IF(I41="NA","NA",I41/(44/12)*1000/E41)</f>
        <v>28.542481098665036</v>
      </c>
      <c r="G41" s="3360">
        <v>2485.0282085060257</v>
      </c>
      <c r="H41" s="3361">
        <f t="shared" si="5"/>
        <v>9111.7700978554276</v>
      </c>
      <c r="I41" s="3360">
        <v>8999.5757634197926</v>
      </c>
      <c r="J41" s="3381" t="s">
        <v>460</v>
      </c>
      <c r="M41" s="125"/>
    </row>
    <row r="42" spans="2:13" ht="18" customHeight="1" x14ac:dyDescent="0.2">
      <c r="B42" s="1433"/>
      <c r="C42" s="1567"/>
      <c r="D42" s="1451" t="s">
        <v>467</v>
      </c>
      <c r="E42" s="3379">
        <v>3674.9699818992817</v>
      </c>
      <c r="F42" s="3384">
        <f>IF(I42="NA","NA",I42/(44/12)*1000/E42)</f>
        <v>22.309090909090909</v>
      </c>
      <c r="G42" s="3360">
        <v>81.985239414371236</v>
      </c>
      <c r="H42" s="3361">
        <f t="shared" si="5"/>
        <v>300.61254451936117</v>
      </c>
      <c r="I42" s="3360">
        <v>300.61254451936122</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95892.428260810761</v>
      </c>
      <c r="F45" s="3308">
        <f>IF(I45="NA","NA",I45/(44/12)*1000/E45)</f>
        <v>28.05003463658667</v>
      </c>
      <c r="G45" s="3388">
        <f>SUM(G33:G43)</f>
        <v>2720.3843889482264</v>
      </c>
      <c r="H45" s="3336">
        <f t="shared" ref="H45" si="9">IF(G45="NA","NA",IF(G45="NO","NO",G45*44/12))</f>
        <v>9974.7427594768305</v>
      </c>
      <c r="I45" s="3388">
        <f>SUM(I33:I43)</f>
        <v>9862.5484250411937</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20773.823075382537</v>
      </c>
      <c r="F47" s="3384">
        <f t="shared" ref="F47" si="10">IF(I47="NA","NA",I47/(44/12)*1000/E47)</f>
        <v>14.021432274344994</v>
      </c>
      <c r="G47" s="3360">
        <v>291.27875333070148</v>
      </c>
      <c r="H47" s="3339">
        <f t="shared" ref="H47" si="11">IF(G47="NA","NA",IF(G47="NO","NO",G47*44/12))</f>
        <v>1068.0220955459054</v>
      </c>
      <c r="I47" s="3360">
        <v>1068.0220955459054</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20773.823075382537</v>
      </c>
      <c r="F50" s="3308">
        <f>IF(I50="NA","NA",I50/(44/12)*1000/E50)</f>
        <v>14.021432274344994</v>
      </c>
      <c r="G50" s="3388">
        <f>SUM(G47:G48)</f>
        <v>291.27875333070148</v>
      </c>
      <c r="H50" s="3362">
        <f t="shared" ref="H50" si="13">IF(G50="NA","NA",IF(G50="NO","NO",G50*44/12))</f>
        <v>1068.0220955459054</v>
      </c>
      <c r="I50" s="3388">
        <f>SUM(I47:I48)</f>
        <v>1068.0220955459054</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220201.67253607733</v>
      </c>
      <c r="F55" s="3319">
        <f t="shared" si="14"/>
        <v>14.738263689499163</v>
      </c>
      <c r="G55" s="3388">
        <f>SUM(G31,G45,G50,G54)</f>
        <v>5007.4612123131583</v>
      </c>
      <c r="H55" s="3363">
        <f t="shared" si="15"/>
        <v>18360.691111814915</v>
      </c>
      <c r="I55" s="3388">
        <f>SUM(I31,I45,I50,I54)</f>
        <v>11899.764487253331</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253.678664</v>
      </c>
      <c r="D10" s="3105"/>
      <c r="E10" s="3105"/>
      <c r="F10" s="3057">
        <f>SUM(F11,F18)</f>
        <v>885.67165362847061</v>
      </c>
      <c r="G10" s="3057">
        <f>SUM(G11,G18)</f>
        <v>1171.7683050721826</v>
      </c>
      <c r="H10" s="3057">
        <f>H11</f>
        <v>-0.137738070644851</v>
      </c>
      <c r="I10" s="3106" t="s">
        <v>199</v>
      </c>
      <c r="L10" s="3676"/>
    </row>
    <row r="11" spans="2:12" ht="18" customHeight="1" x14ac:dyDescent="0.2">
      <c r="B11" s="1251" t="s">
        <v>486</v>
      </c>
      <c r="C11" s="3014">
        <v>59.475524</v>
      </c>
      <c r="D11" s="3057">
        <f>IFERROR(SUM(F11,-H11)/$C$11,"NA")</f>
        <v>12.11153758650924</v>
      </c>
      <c r="E11" s="3057">
        <f>IFERROR(SUM(G11)/$C$11,"NA")</f>
        <v>18.603653098766859</v>
      </c>
      <c r="F11" s="3057">
        <f>SUM(F12:F16)</f>
        <v>720.2023063326875</v>
      </c>
      <c r="G11" s="3057">
        <f>SUM(G12:G16)</f>
        <v>1106.4620163633826</v>
      </c>
      <c r="H11" s="3057">
        <f>H12</f>
        <v>-0.137738070644851</v>
      </c>
      <c r="I11" s="3106" t="s">
        <v>199</v>
      </c>
    </row>
    <row r="12" spans="2:12" ht="18" customHeight="1" x14ac:dyDescent="0.2">
      <c r="B12" s="160" t="s">
        <v>487</v>
      </c>
      <c r="C12" s="3027"/>
      <c r="D12" s="3057">
        <f>IFERROR(SUM(F12,-H12)/$C$11,"NA")</f>
        <v>11.465465178728445</v>
      </c>
      <c r="E12" s="3057">
        <f>IFERROR(SUM(G12)/$C$11,"NA")</f>
        <v>18.5971124033466</v>
      </c>
      <c r="F12" s="3104">
        <v>681.77681133798308</v>
      </c>
      <c r="G12" s="3104">
        <v>1106.0730050759385</v>
      </c>
      <c r="H12" s="3104">
        <v>-0.137738070644851</v>
      </c>
      <c r="I12" s="3015" t="s">
        <v>199</v>
      </c>
    </row>
    <row r="13" spans="2:12" ht="18" customHeight="1" x14ac:dyDescent="0.2">
      <c r="B13" s="160" t="s">
        <v>488</v>
      </c>
      <c r="C13" s="3027"/>
      <c r="D13" s="3057">
        <f>IFERROR(SUM(F13)/$C$11,"NA")</f>
        <v>0.39522984573031256</v>
      </c>
      <c r="E13" s="3057" t="s">
        <v>205</v>
      </c>
      <c r="F13" s="3104">
        <v>23.506502175249501</v>
      </c>
      <c r="G13" s="3104" t="s">
        <v>221</v>
      </c>
      <c r="H13" s="3104" t="s">
        <v>199</v>
      </c>
      <c r="I13" s="3015" t="s">
        <v>199</v>
      </c>
    </row>
    <row r="14" spans="2:12" ht="18" customHeight="1" x14ac:dyDescent="0.2">
      <c r="B14" s="160" t="s">
        <v>489</v>
      </c>
      <c r="C14" s="3442">
        <v>113</v>
      </c>
      <c r="D14" s="3057">
        <f>IFERROR(SUM(F14)/$C$11,"NA")</f>
        <v>0.25082177379371978</v>
      </c>
      <c r="E14" s="3057" t="s">
        <v>205</v>
      </c>
      <c r="F14" s="3104">
        <v>14.917756426990952</v>
      </c>
      <c r="G14" s="3104" t="s">
        <v>205</v>
      </c>
      <c r="H14" s="3104" t="s">
        <v>199</v>
      </c>
      <c r="I14" s="3015" t="s">
        <v>199</v>
      </c>
    </row>
    <row r="15" spans="2:12" ht="18" customHeight="1" x14ac:dyDescent="0.2">
      <c r="B15" s="160" t="s">
        <v>490</v>
      </c>
      <c r="C15" s="3014">
        <v>1.3773807064485099E-4</v>
      </c>
      <c r="D15" s="3057">
        <f>IFERROR(SUM(F15)/$C15,"NA")</f>
        <v>8.9764032426282316</v>
      </c>
      <c r="E15" s="3057">
        <f>IFERROR(SUM(G15)/$C15,"NA")</f>
        <v>2824.2829714610775</v>
      </c>
      <c r="F15" s="3104">
        <v>1.2363924639697968E-3</v>
      </c>
      <c r="G15" s="3104">
        <v>0.38901128744415558</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194.20313999999999</v>
      </c>
      <c r="D18" s="3057">
        <f>IFERROR(SUM(F18)/$C$18,"NA")</f>
        <v>0.85204259465517962</v>
      </c>
      <c r="E18" s="3057">
        <f>IFERROR(SUM(G18)/$C$18,"NA")</f>
        <v>0.33627823272476454</v>
      </c>
      <c r="F18" s="3057">
        <f>SUM(F19:F21)</f>
        <v>165.46934729578308</v>
      </c>
      <c r="G18" s="3109">
        <f t="shared" ref="G18" si="1">SUM(G19:G21)</f>
        <v>65.306288708800025</v>
      </c>
      <c r="H18" s="3057" t="s">
        <v>199</v>
      </c>
      <c r="I18" s="3106" t="s">
        <v>199</v>
      </c>
    </row>
    <row r="19" spans="2:9" ht="18" customHeight="1" x14ac:dyDescent="0.2">
      <c r="B19" s="160" t="s">
        <v>493</v>
      </c>
      <c r="C19" s="3027"/>
      <c r="D19" s="3057">
        <f>IFERROR(SUM(F19)/$C$18,"NA")</f>
        <v>0.85204259465517962</v>
      </c>
      <c r="E19" s="3057">
        <f>IFERROR(SUM(G19)/$C$18,"NA")</f>
        <v>0.33627823272476454</v>
      </c>
      <c r="F19" s="3104">
        <v>165.46934729578308</v>
      </c>
      <c r="G19" s="3104">
        <v>65.306288708800025</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3"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402.08005523101002</v>
      </c>
      <c r="J10" s="3123">
        <f>IF(SUM(J11:J16)=0,"NO",SUM(J11:J16))</f>
        <v>3.0825717712754521</v>
      </c>
      <c r="K10" s="4433">
        <f>IF(SUM(K11:K16)=0,"NO",SUM(K11:K16))</f>
        <v>1.2096326738209708E-2</v>
      </c>
      <c r="L10" s="3124" t="s">
        <v>199</v>
      </c>
    </row>
    <row r="11" spans="2:12" ht="18" customHeight="1" x14ac:dyDescent="0.2">
      <c r="B11" s="1251" t="s">
        <v>520</v>
      </c>
      <c r="C11" s="2190" t="s">
        <v>521</v>
      </c>
      <c r="D11" s="2190" t="s">
        <v>522</v>
      </c>
      <c r="E11" s="699">
        <v>74</v>
      </c>
      <c r="F11" s="1938">
        <f>I11*1000000/$E11</f>
        <v>3851.6292478817763</v>
      </c>
      <c r="G11" s="1938">
        <f>J11*1000000/$E11</f>
        <v>0.40121137998768502</v>
      </c>
      <c r="H11" s="1938">
        <f>K11*1000000/$E11</f>
        <v>0.27178835418520603</v>
      </c>
      <c r="I11" s="3119">
        <v>0.28502056434325146</v>
      </c>
      <c r="J11" s="4434">
        <v>2.9689642119088691E-5</v>
      </c>
      <c r="K11" s="4440">
        <v>2.0112338209705247E-5</v>
      </c>
      <c r="L11" s="3072" t="s">
        <v>199</v>
      </c>
    </row>
    <row r="12" spans="2:12" ht="18" customHeight="1" x14ac:dyDescent="0.2">
      <c r="B12" s="1251" t="s">
        <v>523</v>
      </c>
      <c r="C12" s="2190" t="s">
        <v>524</v>
      </c>
      <c r="D12" s="2190" t="s">
        <v>525</v>
      </c>
      <c r="E12" s="699">
        <v>1182.3</v>
      </c>
      <c r="F12" s="1938" t="s">
        <v>205</v>
      </c>
      <c r="G12" s="1938">
        <f>J12*1000000/$E12</f>
        <v>338.32360652964564</v>
      </c>
      <c r="H12" s="3075"/>
      <c r="I12" s="3125" t="s">
        <v>205</v>
      </c>
      <c r="J12" s="699">
        <v>0.4</v>
      </c>
      <c r="K12" s="3027"/>
      <c r="L12" s="3072" t="s">
        <v>199</v>
      </c>
    </row>
    <row r="13" spans="2:12" ht="18" customHeight="1" x14ac:dyDescent="0.2">
      <c r="B13" s="1251" t="s">
        <v>526</v>
      </c>
      <c r="C13" s="2190" t="s">
        <v>527</v>
      </c>
      <c r="D13" s="2190" t="s">
        <v>525</v>
      </c>
      <c r="E13" s="699">
        <v>822</v>
      </c>
      <c r="F13" s="1938" t="s">
        <v>205</v>
      </c>
      <c r="G13" s="1938">
        <f>J13*1000000/$E13</f>
        <v>449.17518248175185</v>
      </c>
      <c r="H13" s="3075"/>
      <c r="I13" s="3125" t="s">
        <v>205</v>
      </c>
      <c r="J13" s="699">
        <v>0.36922199999999999</v>
      </c>
      <c r="K13" s="3027"/>
      <c r="L13" s="3072" t="s">
        <v>199</v>
      </c>
    </row>
    <row r="14" spans="2:12" ht="18" customHeight="1" x14ac:dyDescent="0.2">
      <c r="B14" s="1251" t="s">
        <v>528</v>
      </c>
      <c r="C14" s="2190" t="s">
        <v>529</v>
      </c>
      <c r="D14" s="2190" t="s">
        <v>525</v>
      </c>
      <c r="E14" s="699">
        <v>1421.4</v>
      </c>
      <c r="F14" s="1938">
        <f>I14*1000000/$E14</f>
        <v>282675.55555555562</v>
      </c>
      <c r="G14" s="1938">
        <f>J14*1000000/$E14</f>
        <v>1598.2444444444443</v>
      </c>
      <c r="H14" s="1938">
        <f>K14*1000000/$E14</f>
        <v>8.4960000000000004</v>
      </c>
      <c r="I14" s="3125">
        <v>401.79503466666677</v>
      </c>
      <c r="J14" s="699">
        <v>2.2717446533333332</v>
      </c>
      <c r="K14" s="4439">
        <v>1.2076214400000002E-2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4.1575428299999995E-2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1522</v>
      </c>
      <c r="F18" s="1938" t="s">
        <v>205</v>
      </c>
      <c r="G18" s="1938">
        <f>J18*1000000/$E18</f>
        <v>27.316312943495397</v>
      </c>
      <c r="H18" s="3126"/>
      <c r="I18" s="3128" t="s">
        <v>205</v>
      </c>
      <c r="J18" s="2215">
        <v>4.1575428299999995E-2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21.164843940787183</v>
      </c>
      <c r="J21" s="4437">
        <f>IF(SUM(J22:J27)=0,"NO",SUM(J22:J27))</f>
        <v>166.84111168467214</v>
      </c>
      <c r="K21" s="4438">
        <f>IF(SUM(K22:K27)=0,"NO",SUM(K22:K27))</f>
        <v>3.1269559349611514E-4</v>
      </c>
      <c r="L21" s="3047" t="str">
        <f>IF(SUM(L22:L27)=0,"NO",SUM(L22:L27))</f>
        <v>NO</v>
      </c>
    </row>
    <row r="22" spans="2:12" ht="18" customHeight="1" x14ac:dyDescent="0.2">
      <c r="B22" s="1468" t="s">
        <v>535</v>
      </c>
      <c r="C22" s="2190" t="s">
        <v>521</v>
      </c>
      <c r="D22" s="2190" t="s">
        <v>522</v>
      </c>
      <c r="E22" s="699">
        <v>133.5</v>
      </c>
      <c r="F22" s="1938">
        <f>I22*1000000/$E22</f>
        <v>79627.36719886931</v>
      </c>
      <c r="G22" s="1938">
        <f>J22*1000000/$E22</f>
        <v>2137.6737760606215</v>
      </c>
      <c r="H22" s="1938">
        <f>K22*1000000/$E22</f>
        <v>2.3422890898585402</v>
      </c>
      <c r="I22" s="3119">
        <v>10.630253521049053</v>
      </c>
      <c r="J22" s="700">
        <v>0.28537944910409296</v>
      </c>
      <c r="K22" s="4129">
        <v>3.1269559349611514E-4</v>
      </c>
      <c r="L22" s="3133" t="s">
        <v>199</v>
      </c>
    </row>
    <row r="23" spans="2:12" ht="18" customHeight="1" x14ac:dyDescent="0.2">
      <c r="B23" s="1251" t="s">
        <v>536</v>
      </c>
      <c r="C23" s="2190" t="s">
        <v>537</v>
      </c>
      <c r="D23" s="2190" t="s">
        <v>525</v>
      </c>
      <c r="E23" s="699">
        <v>1587.5760805534726</v>
      </c>
      <c r="F23" s="1938">
        <f>I23*1000000/$E23</f>
        <v>244.7865653572085</v>
      </c>
      <c r="G23" s="1938">
        <f>J23*1000000/$E23</f>
        <v>3639.5713422436556</v>
      </c>
      <c r="H23" s="3075"/>
      <c r="I23" s="3125">
        <v>0.3886172960019435</v>
      </c>
      <c r="J23" s="699">
        <v>5.7780964064139235</v>
      </c>
      <c r="K23" s="3027"/>
      <c r="L23" s="3133" t="s">
        <v>199</v>
      </c>
    </row>
    <row r="24" spans="2:12" ht="18" customHeight="1" x14ac:dyDescent="0.2">
      <c r="B24" s="1251" t="s">
        <v>538</v>
      </c>
      <c r="C24" s="2190" t="s">
        <v>537</v>
      </c>
      <c r="D24" s="2190" t="s">
        <v>525</v>
      </c>
      <c r="E24" s="699">
        <v>1587.5760805534726</v>
      </c>
      <c r="F24" s="1938">
        <f t="shared" ref="F24:F26" si="0">I24*1000000/$E24</f>
        <v>975.13252855338055</v>
      </c>
      <c r="G24" s="1938">
        <f t="shared" ref="G24:G26" si="1">J24*1000000/$E24</f>
        <v>5511.6655085617067</v>
      </c>
      <c r="H24" s="1885"/>
      <c r="I24" s="699">
        <v>1.548097077700973</v>
      </c>
      <c r="J24" s="699">
        <v>8.7501883254041566</v>
      </c>
      <c r="K24" s="1939"/>
      <c r="L24" s="3072" t="str">
        <f>IF(Table1.C!E21="NO","NO",-Table1.C!E21)</f>
        <v>NO</v>
      </c>
    </row>
    <row r="25" spans="2:12" ht="18" customHeight="1" x14ac:dyDescent="0.2">
      <c r="B25" s="1251" t="s">
        <v>539</v>
      </c>
      <c r="C25" s="2190" t="s">
        <v>540</v>
      </c>
      <c r="D25" s="2190" t="s">
        <v>541</v>
      </c>
      <c r="E25" s="699">
        <v>9900</v>
      </c>
      <c r="F25" s="1938">
        <f t="shared" si="0"/>
        <v>20</v>
      </c>
      <c r="G25" s="1938">
        <f t="shared" si="1"/>
        <v>749.74025974025972</v>
      </c>
      <c r="H25" s="3075"/>
      <c r="I25" s="3125">
        <v>0.19800000000000001</v>
      </c>
      <c r="J25" s="699">
        <v>7.4224285714285712</v>
      </c>
      <c r="K25" s="3027"/>
      <c r="L25" s="3072" t="s">
        <v>199</v>
      </c>
    </row>
    <row r="26" spans="2:12" ht="18" customHeight="1" x14ac:dyDescent="0.2">
      <c r="B26" s="1251" t="s">
        <v>542</v>
      </c>
      <c r="C26" s="2190" t="s">
        <v>543</v>
      </c>
      <c r="D26" s="2190" t="s">
        <v>525</v>
      </c>
      <c r="E26" s="699">
        <v>278.39190026838401</v>
      </c>
      <c r="F26" s="1938">
        <f t="shared" si="0"/>
        <v>29116.563745532541</v>
      </c>
      <c r="G26" s="1938">
        <f t="shared" si="1"/>
        <v>498976.1604683465</v>
      </c>
      <c r="H26" s="3075"/>
      <c r="I26" s="3125">
        <v>8.1058155104043408</v>
      </c>
      <c r="J26" s="699">
        <v>138.91092150140508</v>
      </c>
      <c r="K26" s="3027"/>
      <c r="L26" s="3072" t="s">
        <v>199</v>
      </c>
    </row>
    <row r="27" spans="2:12" ht="18" customHeight="1" x14ac:dyDescent="0.2">
      <c r="B27" s="2436" t="s">
        <v>544</v>
      </c>
      <c r="C27" s="607"/>
      <c r="D27" s="607"/>
      <c r="E27" s="615"/>
      <c r="F27" s="615"/>
      <c r="G27" s="615"/>
      <c r="H27" s="3126"/>
      <c r="I27" s="1938">
        <f>IF(SUM(I29:I30)=0,"NO",SUM(I29:I30))</f>
        <v>0.29406053563087414</v>
      </c>
      <c r="J27" s="1938">
        <f>IF(SUM(J29:J30)=0,"NO",SUM(J29:J30))</f>
        <v>5.6940974309163206</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0.29406053563087414</v>
      </c>
      <c r="J29" s="3128">
        <v>5.5701042179163203</v>
      </c>
      <c r="K29" s="3110"/>
      <c r="L29" s="3080" t="s">
        <v>199</v>
      </c>
    </row>
    <row r="30" spans="2:12" ht="18" customHeight="1" thickBot="1" x14ac:dyDescent="0.25">
      <c r="B30" s="2437" t="s">
        <v>547</v>
      </c>
      <c r="C30" s="2190" t="s">
        <v>533</v>
      </c>
      <c r="D30" s="2190" t="s">
        <v>522</v>
      </c>
      <c r="E30" s="699">
        <v>5575</v>
      </c>
      <c r="F30" s="1938" t="s">
        <v>205</v>
      </c>
      <c r="G30" s="1938">
        <f t="shared" ref="G30" si="2">J30*1000000/$E30</f>
        <v>22.240935067264573</v>
      </c>
      <c r="H30" s="3126"/>
      <c r="I30" s="3128" t="s">
        <v>205</v>
      </c>
      <c r="J30" s="3128">
        <v>0.12399321299999999</v>
      </c>
      <c r="K30" s="3110"/>
      <c r="L30" s="3080" t="s">
        <v>199</v>
      </c>
    </row>
    <row r="31" spans="2:12" ht="18" customHeight="1" x14ac:dyDescent="0.2">
      <c r="B31" s="1254" t="s">
        <v>548</v>
      </c>
      <c r="C31" s="2192"/>
      <c r="D31" s="2192"/>
      <c r="E31" s="3183"/>
      <c r="F31" s="3183"/>
      <c r="G31" s="3183"/>
      <c r="H31" s="3183"/>
      <c r="I31" s="4437">
        <f>IF(SUM(I32,I36)=0,"NO",SUM(I32,I36))</f>
        <v>5406.4086756727665</v>
      </c>
      <c r="J31" s="3046">
        <f>IF(SUM(J32,J36)=0,"NO",SUM(J32,J36))</f>
        <v>109.6050487133609</v>
      </c>
      <c r="K31" s="3046">
        <f>IF(SUM(K32,K36)=0,"NO",SUM(K32,K36))</f>
        <v>0.11252554013725326</v>
      </c>
      <c r="L31" s="3047" t="str">
        <f>IF(SUM(L32,L36)=0,"NO",SUM(L32,L36))</f>
        <v>NO</v>
      </c>
    </row>
    <row r="32" spans="2:12" ht="18" customHeight="1" x14ac:dyDescent="0.2">
      <c r="B32" s="1467" t="s">
        <v>549</v>
      </c>
      <c r="C32" s="2195"/>
      <c r="D32" s="2195"/>
      <c r="E32" s="3007"/>
      <c r="F32" s="3007"/>
      <c r="G32" s="3007"/>
      <c r="H32" s="3007"/>
      <c r="I32" s="3134">
        <f>IF(SUM(I33:I35)=0,"NO",SUM(I33:I35))</f>
        <v>1999.4079545197812</v>
      </c>
      <c r="J32" s="1938">
        <f>IF(SUM(J33:J35)=0,"NO",SUM(J33:J35))</f>
        <v>91.105252093760953</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2769.8760805534725</v>
      </c>
      <c r="F35" s="1938">
        <f t="shared" ref="F35" si="3">SUM(I35,L35)*1000000/$E35</f>
        <v>721840.21825274674</v>
      </c>
      <c r="G35" s="1938">
        <f t="shared" ref="G35" si="4">J35*1000000/$E35</f>
        <v>32891.454146048454</v>
      </c>
      <c r="H35" s="1938" t="s">
        <v>205</v>
      </c>
      <c r="I35" s="699">
        <v>1999.4079545197812</v>
      </c>
      <c r="J35" s="699">
        <v>91.105252093760953</v>
      </c>
      <c r="K35" s="699" t="s">
        <v>199</v>
      </c>
      <c r="L35" s="3072" t="s">
        <v>199</v>
      </c>
    </row>
    <row r="36" spans="2:12" ht="18" customHeight="1" x14ac:dyDescent="0.2">
      <c r="B36" s="1467" t="s">
        <v>554</v>
      </c>
      <c r="C36" s="2195"/>
      <c r="D36" s="2195"/>
      <c r="E36" s="3007"/>
      <c r="F36" s="3007"/>
      <c r="G36" s="3007"/>
      <c r="H36" s="3007"/>
      <c r="I36" s="3134">
        <f>IF(SUM(I37:I39)=0,"NO",SUM(I37:I39))</f>
        <v>3407.0007211529855</v>
      </c>
      <c r="J36" s="3134">
        <f>IF(SUM(J37:J39)=0,"NO",SUM(J37:J39))</f>
        <v>18.499796619599941</v>
      </c>
      <c r="K36" s="1938">
        <f>IF(SUM(K37:K39)=0,"NO",SUM(K37:K39))</f>
        <v>0.11252554013725326</v>
      </c>
      <c r="L36" s="3044" t="str">
        <f>IF(SUM(L37:L39)=0,"NO",SUM(L37:L39))</f>
        <v>NO</v>
      </c>
    </row>
    <row r="37" spans="2:12" ht="18" customHeight="1" x14ac:dyDescent="0.2">
      <c r="B37" s="1469" t="s">
        <v>555</v>
      </c>
      <c r="C37" s="277" t="s">
        <v>556</v>
      </c>
      <c r="D37" s="277" t="s">
        <v>525</v>
      </c>
      <c r="E37" s="699">
        <v>19.611229390905869</v>
      </c>
      <c r="F37" s="1938">
        <f t="shared" ref="F37:F38" si="5">SUM(I37,L37)*1000000/$E37</f>
        <v>61806061.951325439</v>
      </c>
      <c r="G37" s="1938">
        <f t="shared" ref="G37:H38" si="6">J37*1000000/$E37</f>
        <v>745935.23044703121</v>
      </c>
      <c r="H37" s="1938">
        <f t="shared" si="6"/>
        <v>1726.3072476059867</v>
      </c>
      <c r="I37" s="700">
        <v>1212.0928586759824</v>
      </c>
      <c r="J37" s="700">
        <v>14.628706915054963</v>
      </c>
      <c r="K37" s="700">
        <v>3.3855007431984344E-2</v>
      </c>
      <c r="L37" s="3133" t="s">
        <v>199</v>
      </c>
    </row>
    <row r="38" spans="2:12" ht="18" customHeight="1" x14ac:dyDescent="0.2">
      <c r="B38" s="1469" t="s">
        <v>557</v>
      </c>
      <c r="C38" s="277" t="s">
        <v>556</v>
      </c>
      <c r="D38" s="277" t="s">
        <v>525</v>
      </c>
      <c r="E38" s="699">
        <v>47.316949588807049</v>
      </c>
      <c r="F38" s="1938">
        <f t="shared" si="5"/>
        <v>46387349.175108582</v>
      </c>
      <c r="G38" s="1938">
        <f t="shared" si="6"/>
        <v>81811.903307069821</v>
      </c>
      <c r="H38" s="1938">
        <f t="shared" si="6"/>
        <v>1662.6290026920635</v>
      </c>
      <c r="I38" s="699">
        <v>2194.9078624770032</v>
      </c>
      <c r="J38" s="699">
        <v>3.8710897045449792</v>
      </c>
      <c r="K38" s="699">
        <v>7.8670532705268914E-2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G26" sqref="G26"/>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41.655008401722291</v>
      </c>
      <c r="M9" s="3323">
        <f>100*C10/SUM(C10,'Table1.A(a)s3'!C16)</f>
        <v>58.344991598277709</v>
      </c>
    </row>
    <row r="10" spans="1:13" ht="18" customHeight="1" thickTop="1" thickBot="1" x14ac:dyDescent="0.25">
      <c r="B10" s="223" t="s">
        <v>603</v>
      </c>
      <c r="C10" s="3303">
        <f>IF(SUM(C11:C13)=0,"NO",SUM(C11:C13))</f>
        <v>65500</v>
      </c>
      <c r="D10" s="3304"/>
      <c r="E10" s="3305"/>
      <c r="F10" s="3305"/>
      <c r="G10" s="3303">
        <f>IF(SUM(G11:G13)=0,"NO",SUM(G11:G13))</f>
        <v>4558.7999999999993</v>
      </c>
      <c r="H10" s="3303">
        <f>IF(SUM(H11:H13)=0,"NO",SUM(H11:H13))</f>
        <v>8.1556099999999989E-3</v>
      </c>
      <c r="I10" s="1154">
        <f>IF(SUM(I11:I13)=0,"NO",SUM(I11:I13))</f>
        <v>2.3926837384210527E-2</v>
      </c>
      <c r="J10" s="4"/>
      <c r="K10" s="68" t="s">
        <v>604</v>
      </c>
      <c r="L10" s="3324">
        <f>100-M10</f>
        <v>54.313675289659415</v>
      </c>
      <c r="M10" s="3325">
        <f>100*C14/SUM(C14,'Table1.A(a)s3'!C88)</f>
        <v>45.686324710340585</v>
      </c>
    </row>
    <row r="11" spans="1:13" ht="18" customHeight="1" x14ac:dyDescent="0.2">
      <c r="B11" s="1257" t="s">
        <v>293</v>
      </c>
      <c r="C11" s="3306">
        <v>65500</v>
      </c>
      <c r="D11" s="116">
        <f>IF(G11="NO","NA",G11*1000/$C11)</f>
        <v>69.59999999999998</v>
      </c>
      <c r="E11" s="116">
        <f t="shared" ref="E11:F13" si="0">IF(H11="NO","NA",H11*1000000/$C11)</f>
        <v>0.12451312977099235</v>
      </c>
      <c r="F11" s="116">
        <f t="shared" si="0"/>
        <v>0.36529522723985541</v>
      </c>
      <c r="G11" s="3041">
        <v>4558.7999999999993</v>
      </c>
      <c r="H11" s="3041">
        <v>8.1556099999999989E-3</v>
      </c>
      <c r="I11" s="3042">
        <v>2.3926837384210527E-2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25730</v>
      </c>
      <c r="D14" s="3313"/>
      <c r="E14" s="3314"/>
      <c r="F14" s="3315"/>
      <c r="G14" s="3387">
        <f>IF(SUM(G15:G18,G20:G22)=0,"NO",SUM(G15:G18,G20:G22))</f>
        <v>1877.374</v>
      </c>
      <c r="H14" s="3387">
        <f>IF(SUM(H15:H18,H20:H22)=0,"NO",SUM(H15:H18,H20:H22))</f>
        <v>0.18010999999999999</v>
      </c>
      <c r="I14" s="4428">
        <f>IF(SUM(I15:I18,I20:I22)=0,"NO",SUM(I15:I18,I20:I22))</f>
        <v>5.1460000000000006E-2</v>
      </c>
      <c r="J14" s="4"/>
      <c r="K14" s="1045"/>
      <c r="L14" s="1045"/>
      <c r="M14" s="1045"/>
    </row>
    <row r="15" spans="1:13" ht="18" customHeight="1" x14ac:dyDescent="0.2">
      <c r="B15" s="1259" t="s">
        <v>306</v>
      </c>
      <c r="C15" s="143">
        <v>21310</v>
      </c>
      <c r="D15" s="116">
        <f>IF(G15="NO","NA",G15*1000/$C15)</f>
        <v>73.599999999999994</v>
      </c>
      <c r="E15" s="116">
        <f t="shared" ref="E15:F17" si="1">IF(H15="NO","NA",H15*1000000/$C15)</f>
        <v>7</v>
      </c>
      <c r="F15" s="116">
        <f t="shared" si="1"/>
        <v>2.0000000000000004</v>
      </c>
      <c r="G15" s="3043">
        <v>1568.4159999999999</v>
      </c>
      <c r="H15" s="3043">
        <v>0.14917</v>
      </c>
      <c r="I15" s="135">
        <v>4.2620000000000005E-2</v>
      </c>
      <c r="J15" s="4"/>
      <c r="K15" s="1045"/>
      <c r="L15" s="1045"/>
      <c r="M15" s="1045"/>
    </row>
    <row r="16" spans="1:13" ht="18" customHeight="1" x14ac:dyDescent="0.2">
      <c r="B16" s="1259" t="s">
        <v>307</v>
      </c>
      <c r="C16" s="3316">
        <v>4420</v>
      </c>
      <c r="D16" s="116">
        <f>IF(G16="NO","NA",G16*1000/$C16)</f>
        <v>69.900000000000006</v>
      </c>
      <c r="E16" s="116">
        <f t="shared" si="1"/>
        <v>6.9999999999999991</v>
      </c>
      <c r="F16" s="116">
        <f t="shared" si="1"/>
        <v>2</v>
      </c>
      <c r="G16" s="3043">
        <v>308.95800000000003</v>
      </c>
      <c r="H16" s="3043">
        <v>3.0939999999999995E-2</v>
      </c>
      <c r="I16" s="135">
        <v>8.8400000000000006E-3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17887.970274958665</v>
      </c>
      <c r="D10" s="2923">
        <f t="shared" ref="D10:N10" si="0">IF(SUM(D11,D16,D27,D35,D39,D45,D52,D57)=0,"NO",SUM(D11,D16,D27,D35,D39,D45,D52,D57))</f>
        <v>3.0036935116052974</v>
      </c>
      <c r="E10" s="2923">
        <f t="shared" si="0"/>
        <v>2.8344205744859212</v>
      </c>
      <c r="F10" s="2923">
        <f t="shared" si="0"/>
        <v>1193.6537599999999</v>
      </c>
      <c r="G10" s="2923">
        <f t="shared" si="0"/>
        <v>4146.8866252000589</v>
      </c>
      <c r="H10" s="2923" t="str">
        <f t="shared" si="0"/>
        <v>NO</v>
      </c>
      <c r="I10" s="2923">
        <f t="shared" si="0"/>
        <v>1.0497459871920091E-2</v>
      </c>
      <c r="J10" s="2923" t="str">
        <f t="shared" si="0"/>
        <v>NO</v>
      </c>
      <c r="K10" s="2923">
        <f t="shared" si="0"/>
        <v>37.115349448777216</v>
      </c>
      <c r="L10" s="2924">
        <f t="shared" si="0"/>
        <v>9.9138160894991874</v>
      </c>
      <c r="M10" s="2925">
        <f t="shared" si="0"/>
        <v>209.24375373797261</v>
      </c>
      <c r="N10" s="2926">
        <f t="shared" si="0"/>
        <v>1010.2592542221502</v>
      </c>
      <c r="O10" s="3002">
        <f t="shared" ref="O10:O58" si="1">IF(SUM(C10:J10)=0,"NO",SUM(C10,F10:H10)+28*SUM(D10)+265*SUM(E10)+23500*SUM(I10)+16100*SUM(J10))</f>
        <v>24310.425837712566</v>
      </c>
    </row>
    <row r="11" spans="1:15" ht="18" customHeight="1" x14ac:dyDescent="0.2">
      <c r="B11" s="1262" t="s">
        <v>621</v>
      </c>
      <c r="C11" s="2163">
        <f>IF(SUM(C12:C15)=0,"NO",SUM(C12:C15))</f>
        <v>5152.3958590686525</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5152.3958590686525</v>
      </c>
    </row>
    <row r="12" spans="1:15" ht="18" customHeight="1" x14ac:dyDescent="0.2">
      <c r="B12" s="1263" t="s">
        <v>622</v>
      </c>
      <c r="C12" s="2930">
        <f>'Table2(I).A-H'!H11</f>
        <v>3183.0326720000003</v>
      </c>
      <c r="D12" s="2162"/>
      <c r="E12" s="2162"/>
      <c r="F12" s="615"/>
      <c r="G12" s="615"/>
      <c r="H12" s="2161"/>
      <c r="I12" s="615"/>
      <c r="J12" s="2161"/>
      <c r="K12" s="2161"/>
      <c r="L12" s="2161"/>
      <c r="M12" s="2161"/>
      <c r="N12" s="2929" t="s">
        <v>199</v>
      </c>
      <c r="O12" s="2943">
        <f t="shared" si="1"/>
        <v>3183.0326720000003</v>
      </c>
    </row>
    <row r="13" spans="1:15" ht="18" customHeight="1" x14ac:dyDescent="0.2">
      <c r="B13" s="1263" t="s">
        <v>623</v>
      </c>
      <c r="C13" s="1884">
        <f>'Table2(I).A-H'!H12</f>
        <v>809.45999623021646</v>
      </c>
      <c r="D13" s="2135"/>
      <c r="E13" s="2135"/>
      <c r="F13" s="615"/>
      <c r="G13" s="615"/>
      <c r="H13" s="2161"/>
      <c r="I13" s="615"/>
      <c r="J13" s="2161"/>
      <c r="K13" s="615"/>
      <c r="L13" s="615"/>
      <c r="M13" s="615"/>
      <c r="N13" s="1842"/>
      <c r="O13" s="1887">
        <f t="shared" si="1"/>
        <v>809.45999623021646</v>
      </c>
    </row>
    <row r="14" spans="1:15" ht="18" customHeight="1" x14ac:dyDescent="0.2">
      <c r="B14" s="1263" t="s">
        <v>624</v>
      </c>
      <c r="C14" s="1884">
        <f>'Table2(I).A-H'!H13</f>
        <v>84.788519517897726</v>
      </c>
      <c r="D14" s="2135"/>
      <c r="E14" s="2135"/>
      <c r="F14" s="615"/>
      <c r="G14" s="615"/>
      <c r="H14" s="2161"/>
      <c r="I14" s="615"/>
      <c r="J14" s="2161"/>
      <c r="K14" s="615"/>
      <c r="L14" s="615"/>
      <c r="M14" s="615"/>
      <c r="N14" s="1842"/>
      <c r="O14" s="1887">
        <f t="shared" si="1"/>
        <v>84.788519517897726</v>
      </c>
    </row>
    <row r="15" spans="1:15" ht="18" customHeight="1" thickBot="1" x14ac:dyDescent="0.25">
      <c r="B15" s="1263" t="s">
        <v>625</v>
      </c>
      <c r="C15" s="1884">
        <f>'Table2(I).A-H'!H14</f>
        <v>1075.1146713205385</v>
      </c>
      <c r="D15" s="1885"/>
      <c r="E15" s="1885"/>
      <c r="F15" s="3003"/>
      <c r="G15" s="3003"/>
      <c r="H15" s="3003"/>
      <c r="I15" s="3003"/>
      <c r="J15" s="3003"/>
      <c r="K15" s="2622" t="s">
        <v>199</v>
      </c>
      <c r="L15" s="2622" t="s">
        <v>199</v>
      </c>
      <c r="M15" s="2622" t="s">
        <v>199</v>
      </c>
      <c r="N15" s="2623" t="s">
        <v>199</v>
      </c>
      <c r="O15" s="1887">
        <f t="shared" si="1"/>
        <v>1075.1146713205385</v>
      </c>
    </row>
    <row r="16" spans="1:15" ht="18" customHeight="1" x14ac:dyDescent="0.2">
      <c r="B16" s="1264" t="s">
        <v>626</v>
      </c>
      <c r="C16" s="2163">
        <f>IF(SUM(C17:C26)=0,"NO",SUM(C17:C26))</f>
        <v>1061.0764716256642</v>
      </c>
      <c r="D16" s="2163">
        <f t="shared" ref="D16:N16" si="3">IF(SUM(D17:D26)=0,"NO",SUM(D17:D26))</f>
        <v>0.40365533799999997</v>
      </c>
      <c r="E16" s="2163">
        <f t="shared" si="3"/>
        <v>2.7620996100000004</v>
      </c>
      <c r="F16" s="2164">
        <f t="shared" si="3"/>
        <v>1193.6537599999999</v>
      </c>
      <c r="G16" s="2164" t="str">
        <f t="shared" si="3"/>
        <v>NO</v>
      </c>
      <c r="H16" s="2164" t="str">
        <f t="shared" si="3"/>
        <v>NO</v>
      </c>
      <c r="I16" s="2164" t="str">
        <f t="shared" si="3"/>
        <v>NO</v>
      </c>
      <c r="J16" s="2164" t="str">
        <f t="shared" si="3"/>
        <v>NO</v>
      </c>
      <c r="K16" s="2930" t="str">
        <f t="shared" si="3"/>
        <v>NO</v>
      </c>
      <c r="L16" s="2163" t="str">
        <f t="shared" si="3"/>
        <v>NO</v>
      </c>
      <c r="M16" s="2163">
        <f t="shared" si="3"/>
        <v>4.3554395359999996</v>
      </c>
      <c r="N16" s="2928" t="str">
        <f t="shared" si="3"/>
        <v>NO</v>
      </c>
      <c r="O16" s="2950">
        <f t="shared" si="1"/>
        <v>2997.9889777396643</v>
      </c>
    </row>
    <row r="17" spans="2:15" ht="18" customHeight="1" x14ac:dyDescent="0.2">
      <c r="B17" s="1265" t="s">
        <v>627</v>
      </c>
      <c r="C17" s="2930">
        <f>'Table2(I).A-H'!H23</f>
        <v>559.99456913714175</v>
      </c>
      <c r="D17" s="2165" t="str">
        <f>'Table2(I).A-H'!I23</f>
        <v>NO</v>
      </c>
      <c r="E17" s="2165" t="str">
        <f>'Table2(I).A-H'!J23</f>
        <v>NO</v>
      </c>
      <c r="F17" s="2161"/>
      <c r="G17" s="2161"/>
      <c r="H17" s="2161"/>
      <c r="I17" s="2161"/>
      <c r="J17" s="2161"/>
      <c r="K17" s="700" t="s">
        <v>199</v>
      </c>
      <c r="L17" s="700" t="s">
        <v>199</v>
      </c>
      <c r="M17" s="700" t="s">
        <v>199</v>
      </c>
      <c r="N17" s="700" t="s">
        <v>199</v>
      </c>
      <c r="O17" s="2943">
        <f t="shared" si="1"/>
        <v>559.99456913714175</v>
      </c>
    </row>
    <row r="18" spans="2:15" ht="18" customHeight="1" x14ac:dyDescent="0.2">
      <c r="B18" s="1263" t="s">
        <v>628</v>
      </c>
      <c r="C18" s="1935"/>
      <c r="D18" s="2162"/>
      <c r="E18" s="2165">
        <f>'Table2(I).A-H'!J24</f>
        <v>2.7620996100000004</v>
      </c>
      <c r="F18" s="615"/>
      <c r="G18" s="615"/>
      <c r="H18" s="2161"/>
      <c r="I18" s="615"/>
      <c r="J18" s="2161"/>
      <c r="K18" s="700" t="s">
        <v>199</v>
      </c>
      <c r="L18" s="615"/>
      <c r="M18" s="615"/>
      <c r="N18" s="1842"/>
      <c r="O18" s="2943">
        <f t="shared" si="1"/>
        <v>731.9563966500001</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405.36083384653415</v>
      </c>
      <c r="D22" s="1939"/>
      <c r="E22" s="615"/>
      <c r="F22" s="615"/>
      <c r="G22" s="615"/>
      <c r="H22" s="2161"/>
      <c r="I22" s="615"/>
      <c r="J22" s="2161"/>
      <c r="K22" s="1939"/>
      <c r="L22" s="1939"/>
      <c r="M22" s="1939"/>
      <c r="N22" s="2931"/>
      <c r="O22" s="1887">
        <f t="shared" si="1"/>
        <v>405.36083384653415</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0.40365533799999997</v>
      </c>
      <c r="E24" s="615"/>
      <c r="F24" s="615"/>
      <c r="G24" s="615"/>
      <c r="H24" s="2161"/>
      <c r="I24" s="615"/>
      <c r="J24" s="2161"/>
      <c r="K24" s="700" t="s">
        <v>199</v>
      </c>
      <c r="L24" s="700" t="s">
        <v>199</v>
      </c>
      <c r="M24" s="699">
        <v>4.3554395359999996</v>
      </c>
      <c r="N24" s="700" t="s">
        <v>199</v>
      </c>
      <c r="O24" s="1887">
        <f t="shared" si="1"/>
        <v>11.302349463999999</v>
      </c>
    </row>
    <row r="25" spans="2:15" ht="18" customHeight="1" x14ac:dyDescent="0.2">
      <c r="B25" s="1263" t="s">
        <v>635</v>
      </c>
      <c r="C25" s="1939"/>
      <c r="D25" s="1939"/>
      <c r="E25" s="615"/>
      <c r="F25" s="2166">
        <f>'Table2(II)'!W40</f>
        <v>1193.6537599999999</v>
      </c>
      <c r="G25" s="2166" t="str">
        <f>'Table2(II)'!AH40</f>
        <v>NO</v>
      </c>
      <c r="H25" s="2165" t="str">
        <f>'Table2(II)'!AI40</f>
        <v>NO</v>
      </c>
      <c r="I25" s="2166" t="str">
        <f>'Table2(II)'!AJ40</f>
        <v>NO</v>
      </c>
      <c r="J25" s="2165" t="str">
        <f>'Table2(II)'!AK40</f>
        <v>NO</v>
      </c>
      <c r="K25" s="1939"/>
      <c r="L25" s="1939"/>
      <c r="M25" s="1939"/>
      <c r="N25" s="2931"/>
      <c r="O25" s="1887">
        <f t="shared" si="1"/>
        <v>1193.6537599999999</v>
      </c>
    </row>
    <row r="26" spans="2:15" ht="18" customHeight="1" thickBot="1" x14ac:dyDescent="0.25">
      <c r="B26" s="1263" t="s">
        <v>636</v>
      </c>
      <c r="C26" s="1884">
        <f>'Table2(I).A-H'!H47</f>
        <v>95.721068641988211</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95.721068641988211</v>
      </c>
    </row>
    <row r="27" spans="2:15" ht="18" customHeight="1" x14ac:dyDescent="0.2">
      <c r="B27" s="1262" t="s">
        <v>637</v>
      </c>
      <c r="C27" s="2163">
        <f>IF(SUM(C28:C34)=0,"NO",SUM(C28:C34))</f>
        <v>11331.682904243107</v>
      </c>
      <c r="D27" s="2163">
        <f t="shared" ref="D27:N27" si="4">IF(SUM(D28:D34)=0,"NO",SUM(D28:D34))</f>
        <v>2.6000381736052973</v>
      </c>
      <c r="E27" s="2163">
        <f t="shared" si="4"/>
        <v>7.2320964485920639E-2</v>
      </c>
      <c r="F27" s="2164" t="str">
        <f t="shared" si="4"/>
        <v>NO</v>
      </c>
      <c r="G27" s="2164">
        <f t="shared" si="4"/>
        <v>4146.8866252000589</v>
      </c>
      <c r="H27" s="2164" t="str">
        <f t="shared" si="4"/>
        <v>NO</v>
      </c>
      <c r="I27" s="2164" t="str">
        <f t="shared" si="4"/>
        <v>NO</v>
      </c>
      <c r="J27" s="2164" t="str">
        <f t="shared" si="4"/>
        <v>NO</v>
      </c>
      <c r="K27" s="2163">
        <f t="shared" si="4"/>
        <v>37.115349448777216</v>
      </c>
      <c r="L27" s="2163">
        <f t="shared" si="4"/>
        <v>9.9138160894991874</v>
      </c>
      <c r="M27" s="2927">
        <f t="shared" si="4"/>
        <v>8.9901956840514552E-2</v>
      </c>
      <c r="N27" s="2928">
        <f t="shared" si="4"/>
        <v>1010.2592542221502</v>
      </c>
      <c r="O27" s="2950">
        <f t="shared" si="1"/>
        <v>15570.535653892883</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2059.7692252748006</v>
      </c>
      <c r="D30" s="1885"/>
      <c r="E30" s="615"/>
      <c r="F30" s="615"/>
      <c r="G30" s="2166">
        <f>SUM('Table2(II)'!X41:Y41)</f>
        <v>4146.8866252000589</v>
      </c>
      <c r="H30" s="2162"/>
      <c r="I30" s="2168" t="s">
        <v>199</v>
      </c>
      <c r="J30" s="2161"/>
      <c r="K30" s="699" t="s">
        <v>205</v>
      </c>
      <c r="L30" s="699" t="s">
        <v>205</v>
      </c>
      <c r="M30" s="699" t="s">
        <v>205</v>
      </c>
      <c r="N30" s="2921">
        <v>31.567439999999998</v>
      </c>
      <c r="O30" s="1887">
        <f t="shared" si="1"/>
        <v>6206.6558504748591</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9271.9136789683071</v>
      </c>
      <c r="D34" s="1888">
        <f>'Table2(I).A-H'!I67</f>
        <v>2.6000381736052973</v>
      </c>
      <c r="E34" s="1888">
        <f>'Table2(I).A-H'!J67</f>
        <v>7.2320964485920639E-2</v>
      </c>
      <c r="F34" s="2172" t="s">
        <v>199</v>
      </c>
      <c r="G34" s="2172" t="s">
        <v>199</v>
      </c>
      <c r="H34" s="2172" t="s">
        <v>199</v>
      </c>
      <c r="I34" s="2172" t="s">
        <v>199</v>
      </c>
      <c r="J34" s="2172" t="s">
        <v>199</v>
      </c>
      <c r="K34" s="2622">
        <v>37.115349448777216</v>
      </c>
      <c r="L34" s="2622">
        <v>9.9138160894991874</v>
      </c>
      <c r="M34" s="2622">
        <v>8.9901956840514552E-2</v>
      </c>
      <c r="N34" s="2623">
        <v>978.69181422215013</v>
      </c>
      <c r="O34" s="1890">
        <f t="shared" si="1"/>
        <v>9363.8798034180236</v>
      </c>
    </row>
    <row r="35" spans="2:15" ht="18" customHeight="1" x14ac:dyDescent="0.2">
      <c r="B35" s="2489" t="s">
        <v>645</v>
      </c>
      <c r="C35" s="2930">
        <f>IF(SUM(C36:C38)=0,"NO",SUM(C36:C38))</f>
        <v>257.74698899999999</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167.50026624513208</v>
      </c>
      <c r="N35" s="2077" t="str">
        <f t="shared" ref="N35" si="7">IF(SUM(N36:N38)=0,"NO",SUM(N36:N38))</f>
        <v>NO</v>
      </c>
      <c r="O35" s="2943">
        <f t="shared" si="1"/>
        <v>257.74698899999999</v>
      </c>
    </row>
    <row r="36" spans="2:15" ht="18" customHeight="1" x14ac:dyDescent="0.2">
      <c r="B36" s="1269" t="s">
        <v>646</v>
      </c>
      <c r="C36" s="1884">
        <f>'Table2(I).A-H'!H73</f>
        <v>257.74698899999999</v>
      </c>
      <c r="D36" s="2166" t="str">
        <f>'Table2(I).A-H'!I73</f>
        <v>NO</v>
      </c>
      <c r="E36" s="2166" t="str">
        <f>'Table2(I).A-H'!J73</f>
        <v>NO</v>
      </c>
      <c r="F36" s="615"/>
      <c r="G36" s="615"/>
      <c r="H36" s="2161"/>
      <c r="I36" s="615"/>
      <c r="J36" s="2161"/>
      <c r="K36" s="2173" t="s">
        <v>205</v>
      </c>
      <c r="L36" s="2173" t="s">
        <v>205</v>
      </c>
      <c r="M36" s="699" t="s">
        <v>205</v>
      </c>
      <c r="N36" s="2167" t="s">
        <v>205</v>
      </c>
      <c r="O36" s="1887">
        <f t="shared" si="1"/>
        <v>257.74698899999999</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167.50026624513208</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t="str">
        <f>IF(SUM(F46:F51)=0,"NO",SUM(F46:F51))</f>
        <v>NO</v>
      </c>
      <c r="G45" s="2163" t="str">
        <f t="shared" ref="G45:J45" si="9">IF(SUM(G46:G51)=0,"NO",SUM(G46:G51))</f>
        <v>NO</v>
      </c>
      <c r="H45" s="2930" t="str">
        <f t="shared" si="9"/>
        <v>NO</v>
      </c>
      <c r="I45" s="2930" t="str">
        <f t="shared" si="9"/>
        <v>NO</v>
      </c>
      <c r="J45" s="2165" t="str">
        <f t="shared" si="9"/>
        <v>NO</v>
      </c>
      <c r="K45" s="1955"/>
      <c r="L45" s="1955"/>
      <c r="M45" s="1955"/>
      <c r="N45" s="2178"/>
      <c r="O45" s="2950" t="str">
        <f t="shared" si="1"/>
        <v>NO</v>
      </c>
    </row>
    <row r="46" spans="2:15" ht="18" customHeight="1" x14ac:dyDescent="0.2">
      <c r="B46" s="1269" t="s">
        <v>656</v>
      </c>
      <c r="C46" s="615"/>
      <c r="D46" s="615"/>
      <c r="E46" s="615"/>
      <c r="F46" s="1884" t="str">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NO</v>
      </c>
      <c r="G46" s="1884" t="s">
        <v>199</v>
      </c>
      <c r="H46" s="1884" t="s">
        <v>199</v>
      </c>
      <c r="I46" s="1884" t="s">
        <v>199</v>
      </c>
      <c r="J46" s="2165" t="str">
        <f t="shared" ref="J46" si="10">IF(SUM(J47:J52)=0,"NO",SUM(J47:J52))</f>
        <v>NO</v>
      </c>
      <c r="K46" s="615"/>
      <c r="L46" s="615"/>
      <c r="M46" s="615"/>
      <c r="N46" s="1842"/>
      <c r="O46" s="1887" t="str">
        <f t="shared" si="1"/>
        <v>NO</v>
      </c>
    </row>
    <row r="47" spans="2:15" ht="18" customHeight="1" x14ac:dyDescent="0.2">
      <c r="B47" s="1269" t="s">
        <v>657</v>
      </c>
      <c r="C47" s="615"/>
      <c r="D47" s="615"/>
      <c r="E47" s="615"/>
      <c r="F47" s="1884"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84" t="s">
        <v>199</v>
      </c>
      <c r="H47" s="1884" t="s">
        <v>199</v>
      </c>
      <c r="I47" s="1884" t="s">
        <v>199</v>
      </c>
      <c r="J47" s="2165" t="str">
        <f t="shared" ref="J47" si="11">IF(SUM(J48:J53)=0,"NO",SUM(J48:J53))</f>
        <v>NO</v>
      </c>
      <c r="K47" s="615"/>
      <c r="L47" s="615"/>
      <c r="M47" s="615"/>
      <c r="N47" s="1842"/>
      <c r="O47" s="1887" t="str">
        <f t="shared" si="1"/>
        <v>NO</v>
      </c>
    </row>
    <row r="48" spans="2:15" ht="18" customHeight="1" x14ac:dyDescent="0.2">
      <c r="B48" s="1269" t="s">
        <v>658</v>
      </c>
      <c r="C48" s="615"/>
      <c r="D48" s="615"/>
      <c r="E48" s="615"/>
      <c r="F48" s="1884"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84" t="s">
        <v>199</v>
      </c>
      <c r="H48" s="1884" t="s">
        <v>199</v>
      </c>
      <c r="I48" s="1884" t="s">
        <v>199</v>
      </c>
      <c r="J48" s="2165" t="str">
        <f t="shared" ref="J48" si="12">IF(SUM(J49:J54)=0,"NO",SUM(J49:J54))</f>
        <v>NO</v>
      </c>
      <c r="K48" s="615"/>
      <c r="L48" s="615"/>
      <c r="M48" s="615"/>
      <c r="N48" s="1842"/>
      <c r="O48" s="1887" t="str">
        <f t="shared" si="1"/>
        <v>NO</v>
      </c>
    </row>
    <row r="49" spans="2:15" ht="18" customHeight="1" x14ac:dyDescent="0.2">
      <c r="B49" s="1269" t="s">
        <v>659</v>
      </c>
      <c r="C49" s="615"/>
      <c r="D49" s="615"/>
      <c r="E49" s="615"/>
      <c r="F49" s="1884"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84" t="s">
        <v>199</v>
      </c>
      <c r="H49" s="1884" t="s">
        <v>199</v>
      </c>
      <c r="I49" s="1884" t="s">
        <v>199</v>
      </c>
      <c r="J49" s="2165" t="str">
        <f t="shared" ref="J49" si="13">IF(SUM(J50:J55)=0,"NO",SUM(J50:J55))</f>
        <v>NO</v>
      </c>
      <c r="K49" s="615"/>
      <c r="L49" s="615"/>
      <c r="M49" s="615"/>
      <c r="N49" s="1842"/>
      <c r="O49" s="1887" t="str">
        <f t="shared" si="1"/>
        <v>NO</v>
      </c>
    </row>
    <row r="50" spans="2:15" ht="18" customHeight="1" x14ac:dyDescent="0.2">
      <c r="B50" s="1269" t="s">
        <v>660</v>
      </c>
      <c r="C50" s="615"/>
      <c r="D50" s="615"/>
      <c r="E50" s="615"/>
      <c r="F50" s="1884"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84" t="s">
        <v>199</v>
      </c>
      <c r="H50" s="1884" t="s">
        <v>199</v>
      </c>
      <c r="I50" s="1884" t="s">
        <v>199</v>
      </c>
      <c r="J50" s="2165" t="str">
        <f t="shared" ref="J50" si="14">IF(SUM(J51:J56)=0,"NO",SUM(J51:J56))</f>
        <v>NO</v>
      </c>
      <c r="K50" s="615"/>
      <c r="L50" s="615"/>
      <c r="M50" s="615"/>
      <c r="N50" s="1842"/>
      <c r="O50" s="1887" t="str">
        <f t="shared" si="1"/>
        <v>NO</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1.0497459871920091E-2</v>
      </c>
      <c r="J52" s="2165" t="str">
        <f t="shared" si="16"/>
        <v>NO</v>
      </c>
      <c r="K52" s="2165" t="str">
        <f t="shared" si="16"/>
        <v>NO</v>
      </c>
      <c r="L52" s="2165" t="str">
        <f t="shared" si="16"/>
        <v>NO</v>
      </c>
      <c r="M52" s="2165" t="str">
        <f t="shared" si="16"/>
        <v>NO</v>
      </c>
      <c r="N52" s="2077" t="str">
        <f t="shared" si="16"/>
        <v>NO</v>
      </c>
      <c r="O52" s="2943">
        <f t="shared" si="1"/>
        <v>246.69030699012214</v>
      </c>
    </row>
    <row r="53" spans="2:15" ht="18" customHeight="1" x14ac:dyDescent="0.2">
      <c r="B53" s="1269" t="s">
        <v>663</v>
      </c>
      <c r="C53" s="2161"/>
      <c r="D53" s="2161"/>
      <c r="E53" s="2161"/>
      <c r="F53" s="2930" t="s">
        <v>199</v>
      </c>
      <c r="G53" s="2930" t="s">
        <v>199</v>
      </c>
      <c r="H53" s="2930" t="s">
        <v>199</v>
      </c>
      <c r="I53" s="2930">
        <f>SUM('Table2(II).B-Hs2'!J163:M163)/1000</f>
        <v>9.9080666040314829E-3</v>
      </c>
      <c r="J53" s="2930" t="s">
        <v>199</v>
      </c>
      <c r="K53" s="2161"/>
      <c r="L53" s="2161"/>
      <c r="M53" s="2161"/>
      <c r="N53" s="2174"/>
      <c r="O53" s="2943">
        <f t="shared" si="1"/>
        <v>232.83956519473986</v>
      </c>
    </row>
    <row r="54" spans="2:15" ht="18" customHeight="1" x14ac:dyDescent="0.2">
      <c r="B54" s="1269" t="s">
        <v>664</v>
      </c>
      <c r="C54" s="2161"/>
      <c r="D54" s="2161"/>
      <c r="E54" s="2161"/>
      <c r="F54" s="2161"/>
      <c r="G54" s="2930" t="s">
        <v>199</v>
      </c>
      <c r="H54" s="3007"/>
      <c r="I54" s="2930">
        <f>SUM('Table2(II).B-Hs2'!J165:M165)/1000</f>
        <v>5.8939326788860844E-4</v>
      </c>
      <c r="J54" s="2161"/>
      <c r="K54" s="2161"/>
      <c r="L54" s="2161"/>
      <c r="M54" s="2161"/>
      <c r="N54" s="2174"/>
      <c r="O54" s="2943">
        <f t="shared" si="1"/>
        <v>13.850741795382298</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85.06805102123964</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37.29814600000001</v>
      </c>
      <c r="N57" s="2100" t="str">
        <f>N58</f>
        <v>NA</v>
      </c>
      <c r="O57" s="2950">
        <f t="shared" si="1"/>
        <v>85.06805102123964</v>
      </c>
    </row>
    <row r="58" spans="2:15" ht="18" customHeight="1" thickBot="1" x14ac:dyDescent="0.25">
      <c r="B58" s="2613" t="s">
        <v>668</v>
      </c>
      <c r="C58" s="2517">
        <f>'Table2(I).A-H'!H98</f>
        <v>85.06805102123964</v>
      </c>
      <c r="D58" s="2517" t="str">
        <f>'Table2(I).A-H'!I98</f>
        <v>NO</v>
      </c>
      <c r="E58" s="2517" t="str">
        <f>'Table2(I).A-H'!J98</f>
        <v>NO</v>
      </c>
      <c r="F58" s="2517" t="s">
        <v>199</v>
      </c>
      <c r="G58" s="2517" t="s">
        <v>199</v>
      </c>
      <c r="H58" s="2517" t="s">
        <v>199</v>
      </c>
      <c r="I58" s="2517" t="s">
        <v>199</v>
      </c>
      <c r="J58" s="2517" t="s">
        <v>199</v>
      </c>
      <c r="K58" s="2922" t="s">
        <v>205</v>
      </c>
      <c r="L58" s="2922" t="s">
        <v>205</v>
      </c>
      <c r="M58" s="2922">
        <v>37.29814600000001</v>
      </c>
      <c r="N58" s="2932" t="s">
        <v>205</v>
      </c>
      <c r="O58" s="2935">
        <f t="shared" si="1"/>
        <v>85.06805102123964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30" workbookViewId="0">
      <selection activeCell="Q32" sqref="Q32"/>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8.8554687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96.2624</v>
      </c>
      <c r="D10" s="4431" t="str">
        <f t="shared" ref="D10:X10" si="0">IF(SUM(D11,D16,D20,D26,D33,D37)=0,"NO",SUM(D11,D16,D20,D26,D33,D37))</f>
        <v>NO</v>
      </c>
      <c r="E10" s="4431" t="str">
        <f t="shared" si="0"/>
        <v>NO</v>
      </c>
      <c r="F10" s="4431" t="str">
        <f t="shared" si="0"/>
        <v>NO</v>
      </c>
      <c r="G10" s="4431" t="str">
        <f t="shared" si="0"/>
        <v>NO</v>
      </c>
      <c r="H10" s="4431" t="str">
        <f t="shared" si="0"/>
        <v>NO</v>
      </c>
      <c r="I10" s="4431" t="str">
        <f t="shared" si="0"/>
        <v>NO</v>
      </c>
      <c r="J10" s="4431" t="str">
        <f t="shared" si="0"/>
        <v>NO</v>
      </c>
      <c r="K10" s="4431" t="str">
        <f t="shared" si="0"/>
        <v>NO</v>
      </c>
      <c r="L10" s="2073" t="str">
        <f t="shared" si="0"/>
        <v>NO</v>
      </c>
      <c r="M10" s="2073" t="str">
        <f t="shared" si="0"/>
        <v>NO</v>
      </c>
      <c r="N10" s="2073" t="str">
        <f t="shared" si="0"/>
        <v>NO</v>
      </c>
      <c r="O10" s="4431" t="str">
        <f t="shared" si="0"/>
        <v>NO</v>
      </c>
      <c r="P10" s="2073" t="str">
        <f t="shared" si="0"/>
        <v>NO</v>
      </c>
      <c r="Q10" s="2073" t="str">
        <f t="shared" si="0"/>
        <v>NO</v>
      </c>
      <c r="R10" s="2073" t="str">
        <f t="shared" si="0"/>
        <v>NO</v>
      </c>
      <c r="S10" s="2073" t="str">
        <f t="shared" si="0"/>
        <v>NO</v>
      </c>
      <c r="T10" s="2073" t="str">
        <f t="shared" si="0"/>
        <v>NO</v>
      </c>
      <c r="U10" s="2073" t="str">
        <f t="shared" si="0"/>
        <v>NO</v>
      </c>
      <c r="V10" s="2074" t="str">
        <f t="shared" si="0"/>
        <v>NO</v>
      </c>
      <c r="W10" s="2075"/>
      <c r="X10" s="2073">
        <f t="shared" si="0"/>
        <v>513.76529764714792</v>
      </c>
      <c r="Y10" s="4431">
        <f t="shared" ref="Y10" si="1">IF(SUM(Y11,Y16,Y20,Y26,Y33,Y37)=0,"NO",SUM(Y11,Y16,Y20,Y26,Y33,Y37))</f>
        <v>66.72276592787999</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10.497459871920091</v>
      </c>
      <c r="AK10" s="2077" t="str">
        <f t="shared" si="9"/>
        <v>NO</v>
      </c>
    </row>
    <row r="11" spans="2:37" ht="18" customHeight="1" x14ac:dyDescent="0.2">
      <c r="B11" s="1287" t="s">
        <v>708</v>
      </c>
      <c r="C11" s="2078">
        <f>IF(SUM(C12,C15)=0,"NO",SUM(C12,C15))</f>
        <v>96.2624</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f>IF(SUM(C13:C14)=0,"NO",SUM(C13:C14))</f>
        <v>96.2624</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f>'Table2(II).B-Hs1'!G13</f>
        <v>96.2624</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513.76529764714792</v>
      </c>
      <c r="Y16" s="4432">
        <f t="shared" ref="Y16" si="35">IF(SUM(Y17:Y19)=0,"NO",SUM(Y17:Y19))</f>
        <v>66.72276592787999</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513.76529764714792</v>
      </c>
      <c r="Y17" s="4432">
        <f>'Table2(II).B-Hs1'!G26</f>
        <v>66.72276592787999</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t="str">
        <f>IF(SUM(C27:C32)=0,"NO",SUM(C27:C32))</f>
        <v>NO</v>
      </c>
      <c r="D26" s="4430" t="str">
        <f t="shared" ref="D26:AK26" si="58">IF(SUM(D27:D32)=0,"NO",SUM(D27:D32))</f>
        <v>NO</v>
      </c>
      <c r="E26" s="2097" t="str">
        <f t="shared" si="58"/>
        <v>NO</v>
      </c>
      <c r="F26" s="2097" t="str">
        <f t="shared" si="58"/>
        <v>NO</v>
      </c>
      <c r="G26" s="4430" t="str">
        <f t="shared" si="58"/>
        <v>NO</v>
      </c>
      <c r="H26" s="4430" t="str">
        <f t="shared" si="58"/>
        <v>NO</v>
      </c>
      <c r="I26" s="4430" t="str">
        <f t="shared" si="58"/>
        <v>NO</v>
      </c>
      <c r="J26" s="4430" t="str">
        <f t="shared" si="58"/>
        <v>NO</v>
      </c>
      <c r="K26" s="4430" t="str">
        <f t="shared" si="58"/>
        <v>NO</v>
      </c>
      <c r="L26" s="2097" t="str">
        <f t="shared" si="58"/>
        <v>NO</v>
      </c>
      <c r="M26" s="2097" t="str">
        <f t="shared" si="58"/>
        <v>NO</v>
      </c>
      <c r="N26" s="2097" t="str">
        <f t="shared" si="58"/>
        <v>NO</v>
      </c>
      <c r="O26" s="4430" t="str">
        <f t="shared" si="58"/>
        <v>NO</v>
      </c>
      <c r="P26" s="2097" t="str">
        <f t="shared" si="58"/>
        <v>NO</v>
      </c>
      <c r="Q26" s="2097" t="str">
        <f t="shared" si="58"/>
        <v>NO</v>
      </c>
      <c r="R26" s="2097" t="str">
        <f t="shared" si="58"/>
        <v>NO</v>
      </c>
      <c r="S26" s="2097" t="str">
        <f t="shared" si="58"/>
        <v>NO</v>
      </c>
      <c r="T26" s="2097" t="str">
        <f t="shared" si="58"/>
        <v>NO</v>
      </c>
      <c r="U26" s="2097" t="str">
        <f t="shared" si="58"/>
        <v>NO</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t="str">
        <f>IF(SUM('Table2(II).B-Hs2'!J13:M13,'Table2(II).B-Hs2'!J26:M26,'Table2(II).B-Hs2'!J39:M39,'Table2(II).B-Hs2'!J52:M52,'Table2(II).B-Hs2'!J65:M65,'Table2(II).B-Hs2'!J78:M78)=0,"NO",SUM('Table2(II).B-Hs2'!J13:M13,'Table2(II).B-Hs2'!J26:M26,'Table2(II).B-Hs2'!J39:M39,'Table2(II).B-Hs2'!J52:M52,'Table2(II).B-Hs2'!J65:M65,'Table2(II).B-Hs2'!J78:M78))</f>
        <v>NO</v>
      </c>
      <c r="D27" s="4431" t="str">
        <f>IF(SUM('Table2(II).B-Hs2'!J14:M14,'Table2(II).B-Hs2'!J27:M27,'Table2(II).B-Hs2'!J40:M40,'Table2(II).B-Hs2'!J53:M53,'Table2(II).B-Hs2'!J66:M66,'Table2(II).B-Hs2'!J79:M79)=0,"NO",SUM('Table2(II).B-Hs2'!J14:M14,'Table2(II).B-Hs2'!J27:M27,'Table2(II).B-Hs2'!J40:M40,'Table2(II).B-Hs2'!J53:M53,'Table2(II).B-Hs2'!J66:M66,'Table2(II).B-Hs2'!J79:M79))</f>
        <v>NO</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t="str">
        <f>IF(SUM('Table2(II).B-Hs2'!J16:M16,'Table2(II).B-Hs2'!J29:M29,'Table2(II).B-Hs2'!J42:M42,'Table2(II).B-Hs2'!J55:M55,'Table2(II).B-Hs2'!J68:M68,'Table2(II).B-Hs2'!J81:M81)=0,"NO",SUM('Table2(II).B-Hs2'!J16:M16,'Table2(II).B-Hs2'!J29:M29,'Table2(II).B-Hs2'!J42:M42,'Table2(II).B-Hs2'!J55:M55,'Table2(II).B-Hs2'!J68:M68,'Table2(II).B-Hs2'!J81:M81))</f>
        <v>NO</v>
      </c>
      <c r="H27" s="4431" t="str">
        <f>IF(SUM('Table2(II).B-Hs2'!J17:M17,'Table2(II).B-Hs2'!J30:M30,'Table2(II).B-Hs2'!J43:M43,'Table2(II).B-Hs2'!J56:M56,'Table2(II).B-Hs2'!J69:M69,'Table2(II).B-Hs2'!J82:M82)=0,"NO",SUM('Table2(II).B-Hs2'!J17:M17,'Table2(II).B-Hs2'!J30:M30,'Table2(II).B-Hs2'!J43:M43,'Table2(II).B-Hs2'!J56:M56,'Table2(II).B-Hs2'!J69:M69,'Table2(II).B-Hs2'!J82:M82))</f>
        <v>NO</v>
      </c>
      <c r="I27" s="4431" t="str">
        <f>IF(SUM('Table2(II).B-Hs2'!J18:M18,'Table2(II).B-Hs2'!J31:M31,'Table2(II).B-Hs2'!J44:M44,'Table2(II).B-Hs2'!J57:M57,'Table2(II).B-Hs2'!J70:M70,'Table2(II).B-Hs2'!J83:M83)=0,"NO",SUM('Table2(II).B-Hs2'!J18:M18,'Table2(II).B-Hs2'!J31:M31,'Table2(II).B-Hs2'!J44:M44,'Table2(II).B-Hs2'!J57:M57,'Table2(II).B-Hs2'!J70:M70,'Table2(II).B-Hs2'!J83:M83))</f>
        <v>NO</v>
      </c>
      <c r="J27" s="4431" t="s">
        <v>199</v>
      </c>
      <c r="K27" s="4431" t="str">
        <f>IF(SUM('Table2(II).B-Hs2'!J19:M19,'Table2(II).B-Hs2'!J32:M32,'Table2(II).B-Hs2'!J45:M45,'Table2(II).B-Hs2'!J58:M58,'Table2(II).B-Hs2'!J71:M71,'Table2(II).B-Hs2'!J84:M84)=0,"NO",SUM('Table2(II).B-Hs2'!J19:M19,'Table2(II).B-Hs2'!J32:M32,'Table2(II).B-Hs2'!J45:M45,'Table2(II).B-Hs2'!J58:M58,'Table2(II).B-Hs2'!J71:M71,'Table2(II).B-Hs2'!J84:M84))</f>
        <v>NO</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1" t="str">
        <f>IF(SUM('Table2(II).B-Hs2'!J21:M21,'Table2(II).B-Hs2'!J34:M34,'Table2(II).B-Hs2'!J47:M47,'Table2(II).B-Hs2'!J60:M60,'Table2(II).B-Hs2'!J73:M73,'Table2(II).B-Hs2'!J86:M86)=0,"NO",SUM('Table2(II).B-Hs2'!J21:M21,'Table2(II).B-Hs2'!J34:M34,'Table2(II).B-Hs2'!J47:M47,'Table2(II).B-Hs2'!J60:M60,'Table2(II).B-Hs2'!J73:M73,'Table2(II).B-Hs2'!J86:M86))</f>
        <v>NO</v>
      </c>
      <c r="P27" s="2073" t="s">
        <v>199</v>
      </c>
      <c r="Q27" s="2073" t="s">
        <v>199</v>
      </c>
      <c r="R27" s="2073" t="str">
        <f>IF(SUM('Table2(II).B-Hs2'!J22:M22,'Table2(II).B-Hs2'!J35:M35,'Table2(II).B-Hs2'!J48:M48,'Table2(II).B-Hs2'!J61:M61,'Table2(II).B-Hs2'!J74:M74,'Table2(II).B-Hs2'!J87:M87)=0,"NO",SUM('Table2(II).B-Hs2'!J22:M22,'Table2(II).B-Hs2'!J35:M35,'Table2(II).B-Hs2'!J48:M48,'Table2(II).B-Hs2'!J61:M61,'Table2(II).B-Hs2'!J74:M74,'Table2(II).B-Hs2'!J87:M87))</f>
        <v>NO</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t="str">
        <f>IF(SUM('Table2(II).B-Hs2'!J92:M92,'Table2(II).B-Hs2'!J105:M105)=0,"NO",SUM('Table2(II).B-Hs2'!J92:M92,'Table2(II).B-Hs2'!J105:M105))</f>
        <v>NO</v>
      </c>
      <c r="D28" s="4431" t="str">
        <f>IF(SUM('Table2(II).B-Hs2'!J93:M93,'Table2(II).B-Hs2'!J106:M106)=0,"NO",SUM('Table2(II).B-Hs2'!J93:M93,'Table2(II).B-Hs2'!J106:M106))</f>
        <v>NO</v>
      </c>
      <c r="E28" s="2073" t="s">
        <v>199</v>
      </c>
      <c r="F28" s="2073" t="str">
        <f>IF(SUM('Table2(II).B-Hs2'!J94:M94,'Table2(II).B-Hs2'!J107:M107)=0,"NO",SUM('Table2(II).B-Hs2'!J94:M94,'Table2(II).B-Hs2'!J107:M107))</f>
        <v>NO</v>
      </c>
      <c r="G28" s="4431" t="str">
        <f>IF(SUM('Table2(II).B-Hs2'!J95:M95,'Table2(II).B-Hs2'!J108:M108)=0,"NO",SUM('Table2(II).B-Hs2'!J95:M95,'Table2(II).B-Hs2'!J108:M108))</f>
        <v>NO</v>
      </c>
      <c r="H28" s="4431" t="str">
        <f>IF(SUM('Table2(II).B-Hs2'!J96:M96,'Table2(II).B-Hs2'!J109:M109)=0,"NO",SUM('Table2(II).B-Hs2'!J96:M96,'Table2(II).B-Hs2'!J109:M109))</f>
        <v>NO</v>
      </c>
      <c r="I28" s="4431" t="str">
        <f>IF(SUM('Table2(II).B-Hs2'!J97:M97,'Table2(II).B-Hs2'!J110:M110)=0,"NO",SUM('Table2(II).B-Hs2'!J97:M97,'Table2(II).B-Hs2'!J110:M110))</f>
        <v>NO</v>
      </c>
      <c r="J28" s="4431" t="s">
        <v>199</v>
      </c>
      <c r="K28" s="4431" t="str">
        <f>IF(SUM('Table2(II).B-Hs2'!J98:M98,'Table2(II).B-Hs2'!J111:M111)=0,"NO",SUM('Table2(II).B-Hs2'!J98:M98,'Table2(II).B-Hs2'!J111:M111))</f>
        <v>NO</v>
      </c>
      <c r="L28" s="2073" t="s">
        <v>199</v>
      </c>
      <c r="M28" s="2073" t="str">
        <f>IF(SUM('Table2(II).B-Hs2'!J99:M99,'Table2(II).B-Hs2'!J112:M112)=0,"NO",SUM('Table2(II).B-Hs2'!J99:M99,'Table2(II).B-Hs2'!J112:M112))</f>
        <v>NO</v>
      </c>
      <c r="N28" s="2073" t="s">
        <v>199</v>
      </c>
      <c r="O28" s="4431" t="str">
        <f>IF(SUM('Table2(II).B-Hs2'!J100:M100,'Table2(II).B-Hs2'!J113:M113)=0,"NO",SUM('Table2(II).B-Hs2'!J100:M100,'Table2(II).B-Hs2'!J113:M113))</f>
        <v>NO</v>
      </c>
      <c r="P28" s="2073" t="s">
        <v>199</v>
      </c>
      <c r="Q28" s="2073" t="s">
        <v>199</v>
      </c>
      <c r="R28" s="2073" t="str">
        <f>IF(SUM('Table2(II).B-Hs2'!J101:M101,'Table2(II).B-Hs2'!J114:M114)=0,"NO",SUM('Table2(II).B-Hs2'!J101:M101,'Table2(II).B-Hs2'!J114:M114))</f>
        <v>NO</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t="str">
        <f>IF(SUM('Table2(II).B-Hs2'!J118:M118)=0,"NO",SUM('Table2(II).B-Hs2'!J118:M118))</f>
        <v>NO</v>
      </c>
      <c r="D29" s="4431" t="str">
        <f>IF(SUM('Table2(II).B-Hs2'!J119:M119)=0,"NO",SUM('Table2(II).B-Hs2'!J119:M119))</f>
        <v>NO</v>
      </c>
      <c r="E29" s="2073" t="s">
        <v>199</v>
      </c>
      <c r="F29" s="2073" t="str">
        <f>IF(SUM('Table2(II).B-Hs2'!J120:M120)=0,"NO",SUM('Table2(II).B-Hs2'!J120:M120))</f>
        <v>NO</v>
      </c>
      <c r="G29" s="4431" t="str">
        <f>IF(SUM('Table2(II).B-Hs2'!J121:M121)=0,"NO",SUM('Table2(II).B-Hs2'!J121:M121))</f>
        <v>NO</v>
      </c>
      <c r="H29" s="4431" t="str">
        <f>IF(SUM('Table2(II).B-Hs2'!J122:M122)=0,"NO",SUM('Table2(II).B-Hs2'!J122:M122))</f>
        <v>NO</v>
      </c>
      <c r="I29" s="4431" t="str">
        <f>IF(SUM('Table2(II).B-Hs2'!J123:M123)=0,"NO",SUM('Table2(II).B-Hs2'!J123:M123))</f>
        <v>NO</v>
      </c>
      <c r="J29" s="4431" t="s">
        <v>199</v>
      </c>
      <c r="K29" s="4431" t="str">
        <f>IF(SUM('Table2(II).B-Hs2'!J124:M124)=0,"NO",SUM('Table2(II).B-Hs2'!J124:M124))</f>
        <v>NO</v>
      </c>
      <c r="L29" s="2073" t="s">
        <v>199</v>
      </c>
      <c r="M29" s="2073" t="str">
        <f>IF(SUM('Table2(II).B-Hs2'!J125:M125)=0,"NO",SUM('Table2(II).B-Hs2'!J125:M125))</f>
        <v>NO</v>
      </c>
      <c r="N29" s="2073" t="s">
        <v>199</v>
      </c>
      <c r="O29" s="4431" t="str">
        <f>IF(SUM('Table2(II).B-Hs2'!J126:M126)=0,"NO",SUM('Table2(II).B-Hs2'!J126:M126))</f>
        <v>NO</v>
      </c>
      <c r="P29" s="2073" t="s">
        <v>199</v>
      </c>
      <c r="Q29" s="2073" t="s">
        <v>199</v>
      </c>
      <c r="R29" s="2073" t="str">
        <f>IF(SUM('Table2(II).B-Hs2'!J127:M127)=0,"NO",SUM('Table2(II).B-Hs2'!J127:M127))</f>
        <v>NO</v>
      </c>
      <c r="S29" s="2073" t="s">
        <v>199</v>
      </c>
      <c r="T29" s="2073" t="str">
        <f>IF(SUM('Table2(II).B-Hs2'!J128:M128)=0,"NO",SUM('Table2(II).B-Hs2'!J128:M128))</f>
        <v>NO</v>
      </c>
      <c r="U29" s="2073" t="str">
        <f>IF(SUM('Table2(II).B-Hs2'!J129:M129)=0,"NO",SUM('Table2(II).B-Hs2'!J129:M129))</f>
        <v>NO</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t="str">
        <f>IF(SUM('Table2(II).B-Hs2'!J132:M132)=0,"NO",SUM('Table2(II).B-Hs2'!J132:M132))</f>
        <v>NO</v>
      </c>
      <c r="D30" s="4431" t="str">
        <f>IF(SUM('Table2(II).B-Hs2'!J133:M133)=0,"NO",SUM('Table2(II).B-Hs2'!J133:M133))</f>
        <v>NO</v>
      </c>
      <c r="E30" s="2073" t="s">
        <v>199</v>
      </c>
      <c r="F30" s="2073" t="str">
        <f>IF(SUM('Table2(II).B-Hs2'!J134:M134)=0,"NO",SUM('Table2(II).B-Hs2'!J134:M134))</f>
        <v>NO</v>
      </c>
      <c r="G30" s="4431" t="str">
        <f>IF(SUM('Table2(II).B-Hs2'!J135:M135)=0,"NO",SUM('Table2(II).B-Hs2'!J135:M135))</f>
        <v>NO</v>
      </c>
      <c r="H30" s="4431" t="str">
        <f>IF(SUM('Table2(II).B-Hs2'!J136:M136)=0,"NO",SUM('Table2(II).B-Hs2'!J136:M136))</f>
        <v>NO</v>
      </c>
      <c r="I30" s="4431" t="str">
        <f>IF(SUM('Table2(II).B-Hs2'!J137:M137)=0,"NO",SUM('Table2(II).B-Hs2'!J137:M137))</f>
        <v>NO</v>
      </c>
      <c r="J30" s="4431" t="s">
        <v>199</v>
      </c>
      <c r="K30" s="4431" t="str">
        <f>IF(SUM('Table2(II).B-Hs2'!J138:M138)=0,"NO",SUM('Table2(II).B-Hs2'!J138:M138))</f>
        <v>NO</v>
      </c>
      <c r="L30" s="2073" t="s">
        <v>199</v>
      </c>
      <c r="M30" s="2073" t="str">
        <f>IF(SUM('Table2(II).B-Hs2'!J139:M139)=0,"NO",SUM('Table2(II).B-Hs2'!J139:M139))</f>
        <v>NO</v>
      </c>
      <c r="N30" s="2073" t="s">
        <v>199</v>
      </c>
      <c r="O30" s="4431" t="str">
        <f>IF(SUM('Table2(II).B-Hs2'!J140:M140)=0,"NO",SUM('Table2(II).B-Hs2'!J140:M140))</f>
        <v>NO</v>
      </c>
      <c r="P30" s="2073" t="s">
        <v>199</v>
      </c>
      <c r="Q30" s="2073" t="s">
        <v>199</v>
      </c>
      <c r="R30" s="2073" t="str">
        <f>IF(SUM('Table2(II).B-Hs2'!J141:M141)=0,"NO",SUM('Table2(II).B-Hs2'!J141:M141))</f>
        <v>NO</v>
      </c>
      <c r="S30" s="2073" t="s">
        <v>199</v>
      </c>
      <c r="T30" s="2073" t="str">
        <f>IF(SUM('Table2(II).B-Hs2'!J142:M142)=0,"NO",SUM('Table2(II).B-Hs2'!J142:M142))</f>
        <v>NO</v>
      </c>
      <c r="U30" s="2073" t="str">
        <f>IF(SUM('Table2(II).B-Hs2'!J143:M143)=0,"NO",SUM('Table2(II).B-Hs2'!J143:M143))</f>
        <v>NO</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t="str">
        <f>IF(SUM('Table2(II).B-Hs2'!J147:M147)=0,"NO",SUM('Table2(II).B-Hs2'!J147:M147))</f>
        <v>NO</v>
      </c>
      <c r="D31" s="4431" t="str">
        <f>IF(SUM('Table2(II).B-Hs2'!J148:M148)=0,"NO",SUM('Table2(II).B-Hs2'!J148:M148))</f>
        <v>NO</v>
      </c>
      <c r="E31" s="2073" t="s">
        <v>199</v>
      </c>
      <c r="F31" s="2073" t="str">
        <f>IF(SUM('Table2(II).B-Hs2'!J149:M149)=0,"NO",SUM('Table2(II).B-Hs2'!J149:M149))</f>
        <v>NO</v>
      </c>
      <c r="G31" s="4431" t="str">
        <f>IF(SUM('Table2(II).B-Hs2'!J150:M150)=0,"NO",SUM('Table2(II).B-Hs2'!J150:M150))</f>
        <v>NO</v>
      </c>
      <c r="H31" s="4431" t="str">
        <f>IF(SUM('Table2(II).B-Hs2'!J151:M151)=0,"NO",SUM('Table2(II).B-Hs2'!J151:M151))</f>
        <v>NO</v>
      </c>
      <c r="I31" s="4431" t="str">
        <f>IF(SUM('Table2(II).B-Hs2'!J152:M152)=0,"NO",SUM('Table2(II).B-Hs2'!J152:M152))</f>
        <v>NO</v>
      </c>
      <c r="J31" s="4431" t="s">
        <v>199</v>
      </c>
      <c r="K31" s="4431" t="str">
        <f>IF(SUM('Table2(II).B-Hs2'!J153:M153)=0,"NO",SUM('Table2(II).B-Hs2'!J153:M153))</f>
        <v>NO</v>
      </c>
      <c r="L31" s="2073" t="s">
        <v>199</v>
      </c>
      <c r="M31" s="2073" t="str">
        <f>IF(SUM('Table2(II).B-Hs2'!J154:M154)=0,"NO",SUM('Table2(II).B-Hs2'!J154:M154))</f>
        <v>NO</v>
      </c>
      <c r="N31" s="2073" t="s">
        <v>199</v>
      </c>
      <c r="O31" s="4431" t="str">
        <f>IF(SUM('Table2(II).B-Hs2'!J155:M155)=0,"NO",SUM('Table2(II).B-Hs2'!J155:M155))</f>
        <v>NO</v>
      </c>
      <c r="P31" s="2073" t="s">
        <v>199</v>
      </c>
      <c r="Q31" s="2073" t="s">
        <v>199</v>
      </c>
      <c r="R31" s="2073" t="str">
        <f>IF(SUM('Table2(II).B-Hs2'!J156:M156)=0,"NO",SUM('Table2(II).B-Hs2'!J156:M156))</f>
        <v>NO</v>
      </c>
      <c r="S31" s="2073" t="s">
        <v>199</v>
      </c>
      <c r="T31" s="2073" t="str">
        <f>IF(SUM('Table2(II).B-Hs2'!J157:M157)=0,"NO",SUM('Table2(II).B-Hs2'!J157:M157))</f>
        <v>NO</v>
      </c>
      <c r="U31" s="2073" t="str">
        <f>IF(SUM('Table2(II).B-Hs2'!J158:M158)=0,"NO",SUM('Table2(II).B-Hs2'!J158:M158))</f>
        <v>NO</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10.497459871920091</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9.9080666040314824</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0.58939326788860846</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1193.6537599999999</v>
      </c>
      <c r="D39" s="4183" t="str">
        <f t="shared" ref="D39:AK39" si="72">IF(SUM(D40:D45)=0,"NO",SUM(D40:D45))</f>
        <v>NO</v>
      </c>
      <c r="E39" s="4183" t="str">
        <f t="shared" si="72"/>
        <v>NO</v>
      </c>
      <c r="F39" s="4183" t="str">
        <f t="shared" si="72"/>
        <v>NO</v>
      </c>
      <c r="G39" s="4183" t="str">
        <f t="shared" si="72"/>
        <v>NO</v>
      </c>
      <c r="H39" s="4183" t="str">
        <f t="shared" si="72"/>
        <v>NO</v>
      </c>
      <c r="I39" s="4183" t="str">
        <f t="shared" si="72"/>
        <v>NO</v>
      </c>
      <c r="J39" s="4183" t="str">
        <f t="shared" si="72"/>
        <v>NO</v>
      </c>
      <c r="K39" s="4183" t="str">
        <f t="shared" si="72"/>
        <v>NO</v>
      </c>
      <c r="L39" s="4183" t="str">
        <f t="shared" si="72"/>
        <v>NO</v>
      </c>
      <c r="M39" s="4183" t="str">
        <f t="shared" si="72"/>
        <v>NO</v>
      </c>
      <c r="N39" s="4183" t="str">
        <f t="shared" si="72"/>
        <v>NO</v>
      </c>
      <c r="O39" s="4183" t="str">
        <f t="shared" si="72"/>
        <v>NO</v>
      </c>
      <c r="P39" s="4183" t="str">
        <f t="shared" si="72"/>
        <v>NO</v>
      </c>
      <c r="Q39" s="4183" t="str">
        <f t="shared" si="72"/>
        <v>NO</v>
      </c>
      <c r="R39" s="4183" t="str">
        <f t="shared" si="72"/>
        <v>NO</v>
      </c>
      <c r="S39" s="4183" t="str">
        <f t="shared" si="72"/>
        <v>NO</v>
      </c>
      <c r="T39" s="4183" t="str">
        <f t="shared" si="72"/>
        <v>NO</v>
      </c>
      <c r="U39" s="4183" t="str">
        <f t="shared" si="72"/>
        <v>NO</v>
      </c>
      <c r="V39" s="4183" t="str">
        <f t="shared" si="72"/>
        <v>NO</v>
      </c>
      <c r="W39" s="4183">
        <f t="shared" si="72"/>
        <v>1193.6537599999999</v>
      </c>
      <c r="X39" s="4183">
        <f t="shared" si="72"/>
        <v>3406.2639234005906</v>
      </c>
      <c r="Y39" s="4183">
        <f t="shared" si="72"/>
        <v>740.6227017994679</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4146.8866252000589</v>
      </c>
      <c r="AI39" s="4184" t="str">
        <f t="shared" si="72"/>
        <v>NO</v>
      </c>
      <c r="AJ39" s="4184">
        <f t="shared" si="72"/>
        <v>246.69030699012214</v>
      </c>
      <c r="AK39" s="2928" t="str">
        <f t="shared" si="72"/>
        <v>NO</v>
      </c>
    </row>
    <row r="40" spans="2:37" ht="18" customHeight="1" x14ac:dyDescent="0.2">
      <c r="B40" s="1291" t="s">
        <v>708</v>
      </c>
      <c r="C40" s="4185">
        <f>IF(SUM(C11)=0,"NO",C11*12400/1000)</f>
        <v>1193.6537599999999</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f>IF(SUM(C40:V40)=0,"NO",SUM(C40:V40))</f>
        <v>1193.6537599999999</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3406.2639234005906</v>
      </c>
      <c r="Y41" s="4186">
        <f>IF(SUM(Y16)=0,"NO",Y16*11100/1000)</f>
        <v>740.6227017994679</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4146.8866252000589</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t="str">
        <f>IF(SUM(C26)=0,"NO",C26*12400/1000)</f>
        <v>NO</v>
      </c>
      <c r="D43" s="4186" t="str">
        <f>IF(SUM(D26)=0,"NO",D26*677/1000)</f>
        <v>NO</v>
      </c>
      <c r="E43" s="4186" t="str">
        <f>IF(SUM(E26)=0,"NO",E26*116/1000)</f>
        <v>NO</v>
      </c>
      <c r="F43" s="4186" t="str">
        <f>IF(SUM(F26)=0,"NO",F26*1650/1000)</f>
        <v>NO</v>
      </c>
      <c r="G43" s="4186" t="str">
        <f>IF(SUM(G26)=0,"NO",G26*3170/1000)</f>
        <v>NO</v>
      </c>
      <c r="H43" s="4186" t="str">
        <f>IF(SUM(H26)=0,"NO",H26*1120/1000)</f>
        <v>NO</v>
      </c>
      <c r="I43" s="4186" t="str">
        <f>IF(SUM(I26)=0,"NO",I26*1300/1000)</f>
        <v>NO</v>
      </c>
      <c r="J43" s="4186" t="str">
        <f>IF(SUM(J26)=0,"NO",J26*328/1000)</f>
        <v>NO</v>
      </c>
      <c r="K43" s="4186" t="str">
        <f>IF(SUM(K26)=0,"NO",K26*4800/1000)</f>
        <v>NO</v>
      </c>
      <c r="L43" s="4186" t="str">
        <f>IF(SUM(L26)=0,"NO",L26*16/1000)</f>
        <v>NO</v>
      </c>
      <c r="M43" s="4186" t="str">
        <f>IF(SUM(M26)=0,"NO",M26*138/1000)</f>
        <v>NO</v>
      </c>
      <c r="N43" s="4186" t="str">
        <f>IF(SUM(N26)=0,"NO",N26*4/1000)</f>
        <v>NO</v>
      </c>
      <c r="O43" s="4186" t="str">
        <f>IF(SUM(O26)=0,"NO",O26*3350/1000)</f>
        <v>NO</v>
      </c>
      <c r="P43" s="4186" t="str">
        <f>IF(SUM(P26)=0,"NO",P26*1210/1000)</f>
        <v>NO</v>
      </c>
      <c r="Q43" s="4186" t="str">
        <f>IF(SUM(Q26)=0,"NO",Q26*1330/1000)</f>
        <v>NO</v>
      </c>
      <c r="R43" s="4186" t="str">
        <f>IF(SUM(R26)=0,"NO",R26*8060/1000)</f>
        <v>NO</v>
      </c>
      <c r="S43" s="4186" t="str">
        <f>IF(SUM(S26)=0,"NO",S26*716/1000)</f>
        <v>NO</v>
      </c>
      <c r="T43" s="4186" t="str">
        <f>IF(SUM(T26)=0,"NO",T26*858/1000)</f>
        <v>NO</v>
      </c>
      <c r="U43" s="4186" t="str">
        <f>IF(SUM(U26)=0,"NO",U26*804/1000)</f>
        <v>NO</v>
      </c>
      <c r="V43" s="4186" t="str">
        <f>IF(SUM(V26)=0,"NO",V26*1/1000)</f>
        <v>NO</v>
      </c>
      <c r="W43" s="4186" t="str">
        <f t="shared" si="73"/>
        <v>NO</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246.69030699012214</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5152.3958590686525</v>
      </c>
      <c r="I10" s="615"/>
      <c r="J10" s="615"/>
      <c r="K10" s="3161" t="str">
        <f>IF(SUM(K11:K14)=0,"NO",SUM(K11:K14))</f>
        <v>NO</v>
      </c>
      <c r="L10" s="3161" t="str">
        <f>IF(SUM(L11:L14)=0,"NO",SUM(L11:L14))</f>
        <v>NO</v>
      </c>
      <c r="M10" s="615"/>
      <c r="N10" s="1842"/>
    </row>
    <row r="11" spans="2:14" ht="18" customHeight="1" x14ac:dyDescent="0.2">
      <c r="B11" s="286" t="s">
        <v>748</v>
      </c>
      <c r="C11" s="2126" t="s">
        <v>749</v>
      </c>
      <c r="D11" s="699">
        <v>5712.0559999999996</v>
      </c>
      <c r="E11" s="1938">
        <f>IF(SUM($D11)=0,"NA",H11/$D11)</f>
        <v>0.5572481558304051</v>
      </c>
      <c r="F11" s="615"/>
      <c r="G11" s="615"/>
      <c r="H11" s="3149">
        <v>3183.0326720000003</v>
      </c>
      <c r="I11" s="615"/>
      <c r="J11" s="615"/>
      <c r="K11" s="3149" t="s">
        <v>199</v>
      </c>
      <c r="L11" s="699" t="s">
        <v>199</v>
      </c>
      <c r="M11" s="615"/>
      <c r="N11" s="1842"/>
    </row>
    <row r="12" spans="2:14" ht="18" customHeight="1" x14ac:dyDescent="0.2">
      <c r="B12" s="286" t="s">
        <v>750</v>
      </c>
      <c r="C12" s="2127" t="s">
        <v>751</v>
      </c>
      <c r="D12" s="699">
        <v>970.29999999999984</v>
      </c>
      <c r="E12" s="1938">
        <f>IF(SUM($D12)=0,"NA",H12/$D12)</f>
        <v>0.83423683008370253</v>
      </c>
      <c r="F12" s="615"/>
      <c r="G12" s="615"/>
      <c r="H12" s="3149">
        <v>809.45999623021646</v>
      </c>
      <c r="I12" s="615"/>
      <c r="J12" s="615"/>
      <c r="K12" s="3149" t="s">
        <v>199</v>
      </c>
      <c r="L12" s="699" t="s">
        <v>199</v>
      </c>
      <c r="M12" s="615"/>
      <c r="N12" s="1842"/>
    </row>
    <row r="13" spans="2:14" ht="18" customHeight="1" x14ac:dyDescent="0.2">
      <c r="B13" s="286" t="s">
        <v>752</v>
      </c>
      <c r="C13" s="2127" t="s">
        <v>753</v>
      </c>
      <c r="D13" s="699">
        <v>214.25363564848988</v>
      </c>
      <c r="E13" s="1938">
        <f>IF(SUM($D13)=0,"NA",H13/$D13)</f>
        <v>0.39573899999999995</v>
      </c>
      <c r="F13" s="615"/>
      <c r="G13" s="615"/>
      <c r="H13" s="3149">
        <v>84.788519517897726</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1075.1146713205385</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37.45094678433334</v>
      </c>
      <c r="I15" s="615"/>
      <c r="J15" s="615"/>
      <c r="K15" s="3149" t="s">
        <v>199</v>
      </c>
      <c r="L15" s="699" t="s">
        <v>199</v>
      </c>
      <c r="M15" s="615"/>
      <c r="N15" s="1842"/>
    </row>
    <row r="16" spans="2:14" ht="18" customHeight="1" x14ac:dyDescent="0.2">
      <c r="B16" s="160" t="s">
        <v>756</v>
      </c>
      <c r="C16" s="474" t="s">
        <v>757</v>
      </c>
      <c r="D16" s="2917">
        <v>400</v>
      </c>
      <c r="E16" s="1938">
        <f>IF(SUM($D16)=0,"NA",H16/$D16)</f>
        <v>0.41492000000000007</v>
      </c>
      <c r="F16" s="615"/>
      <c r="G16" s="615"/>
      <c r="H16" s="3149">
        <v>165.96800000000002</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871.69572453620503</v>
      </c>
      <c r="I18" s="615"/>
      <c r="J18" s="615"/>
      <c r="K18" s="3150" t="str">
        <f>K19</f>
        <v>NO</v>
      </c>
      <c r="L18" s="3162" t="str">
        <f>L19</f>
        <v>NO</v>
      </c>
      <c r="M18" s="615"/>
      <c r="N18" s="1842"/>
    </row>
    <row r="19" spans="2:14" ht="18" customHeight="1" x14ac:dyDescent="0.2">
      <c r="B19" s="3151" t="s">
        <v>761</v>
      </c>
      <c r="C19" s="474" t="s">
        <v>753</v>
      </c>
      <c r="D19" s="2917">
        <v>1914.3229391265099</v>
      </c>
      <c r="E19" s="1938">
        <f>IF(SUM($D19)=0,"NA",H19/$D19)</f>
        <v>0.41376698873003254</v>
      </c>
      <c r="F19" s="615"/>
      <c r="G19" s="615"/>
      <c r="H19" s="3149">
        <v>792.0836379792014</v>
      </c>
      <c r="I19" s="615"/>
      <c r="J19" s="615"/>
      <c r="K19" s="3149" t="s">
        <v>199</v>
      </c>
      <c r="L19" s="3149" t="s">
        <v>199</v>
      </c>
      <c r="M19" s="615"/>
      <c r="N19" s="1842"/>
    </row>
    <row r="20" spans="2:14" ht="18" customHeight="1" x14ac:dyDescent="0.2">
      <c r="B20" s="3152" t="s">
        <v>762</v>
      </c>
      <c r="C20" s="474" t="s">
        <v>753</v>
      </c>
      <c r="D20" s="2917">
        <v>72.33874944537061</v>
      </c>
      <c r="E20" s="1938">
        <f>IF(SUM($D20)=0,"NA",H20/$D20)</f>
        <v>0.47362580471306032</v>
      </c>
      <c r="F20" s="615"/>
      <c r="G20" s="615"/>
      <c r="H20" s="3149">
        <v>34.261498418000102</v>
      </c>
      <c r="I20" s="615"/>
      <c r="J20" s="615"/>
      <c r="K20" s="3149" t="s">
        <v>199</v>
      </c>
      <c r="L20" s="3149" t="s">
        <v>199</v>
      </c>
      <c r="M20" s="2161"/>
      <c r="N20" s="2174"/>
    </row>
    <row r="21" spans="2:14" ht="18" customHeight="1" thickBot="1" x14ac:dyDescent="0.25">
      <c r="B21" s="3152" t="s">
        <v>763</v>
      </c>
      <c r="C21" s="474" t="s">
        <v>753</v>
      </c>
      <c r="D21" s="2917">
        <v>108.38608149999999</v>
      </c>
      <c r="E21" s="1938">
        <f>IF(SUM($D21)=0,"NA",H21/$D21)</f>
        <v>0.4184170837378553</v>
      </c>
      <c r="F21" s="615"/>
      <c r="G21" s="615"/>
      <c r="H21" s="3149">
        <v>45.350588139003506</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1061.0764716256642</v>
      </c>
      <c r="I22" s="3046">
        <f>IF(SUM(I23:I26,I30,I33:I35,I47)=0,"IE",SUM(I23:I26,I30,I33:I35,I47))</f>
        <v>0.40365533799999997</v>
      </c>
      <c r="J22" s="3046">
        <f>IF(SUM(J23:J26,J30,J33:J35,J47)=0,"IE",SUM(J23:J26,J30,J33:J35,J47))</f>
        <v>2.7620996100000004</v>
      </c>
      <c r="K22" s="3046">
        <f>IF(SUM(K23:K26,K30,K33:K35,K47)=0,"NO",SUM(K23:K26,K30,K33:K35,K47))</f>
        <v>-96.469457147222741</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470.12740178600001</v>
      </c>
      <c r="E23" s="1938">
        <f>IF(SUM($D23)=0,"NA",(H23-K23)/$D23)</f>
        <v>1.3963534645938043</v>
      </c>
      <c r="F23" s="1938" t="str">
        <f>IFERROR(IF(SUM($D23)=0,"NA",I23/$D23),"NA")</f>
        <v>NA</v>
      </c>
      <c r="G23" s="1938" t="str">
        <f>IFERROR(IF(SUM($D23)=0,"NA",J23/$D23),"NA")</f>
        <v>NA</v>
      </c>
      <c r="H23" s="699">
        <v>559.99456913714175</v>
      </c>
      <c r="I23" s="699" t="s">
        <v>199</v>
      </c>
      <c r="J23" s="699" t="s">
        <v>199</v>
      </c>
      <c r="K23" s="3149">
        <v>-96.469457147222741</v>
      </c>
      <c r="L23" s="699" t="s">
        <v>199</v>
      </c>
      <c r="M23" s="699" t="s">
        <v>199</v>
      </c>
      <c r="N23" s="2921" t="s">
        <v>199</v>
      </c>
    </row>
    <row r="24" spans="2:14" ht="18" customHeight="1" x14ac:dyDescent="0.2">
      <c r="B24" s="286" t="s">
        <v>766</v>
      </c>
      <c r="C24" s="474" t="s">
        <v>349</v>
      </c>
      <c r="D24" s="699">
        <v>242.61199999999999</v>
      </c>
      <c r="E24" s="2135"/>
      <c r="F24" s="2135"/>
      <c r="G24" s="1938">
        <f>IF(SUM($D24)=0,"NA",J24/$D24)</f>
        <v>1.1384843330090846E-2</v>
      </c>
      <c r="H24" s="2135"/>
      <c r="I24" s="2135"/>
      <c r="J24" s="699">
        <v>2.7620996100000004</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405.36083384653415</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0.40365533799999997</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0.40365533799999997</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0.40365533799999997</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0.40365533799999997</v>
      </c>
      <c r="J46" s="615"/>
      <c r="K46" s="699" t="s">
        <v>199</v>
      </c>
      <c r="L46" s="699" t="s">
        <v>199</v>
      </c>
      <c r="M46" s="699" t="s">
        <v>199</v>
      </c>
      <c r="N46" s="1842"/>
    </row>
    <row r="47" spans="2:16" ht="18" customHeight="1" x14ac:dyDescent="0.2">
      <c r="B47" s="286" t="s">
        <v>787</v>
      </c>
      <c r="C47" s="2131"/>
      <c r="D47" s="615"/>
      <c r="E47" s="615"/>
      <c r="F47" s="615"/>
      <c r="G47" s="615"/>
      <c r="H47" s="3167">
        <f>H50</f>
        <v>95.721068641988211</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95.721068641988211</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95.721068641988211</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11331.682904243107</v>
      </c>
      <c r="I52" s="3161">
        <f>IF(SUM(I53,I62:I67)=0,"IE",SUM(I53,I62:I67))</f>
        <v>2.6000381736052973</v>
      </c>
      <c r="J52" s="1934">
        <f>J67</f>
        <v>7.2320964485920639E-2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1236</v>
      </c>
      <c r="E63" s="4121">
        <f>IF(SUM($D63)=0,"NA",H63/$D63)</f>
        <v>1.6664799557239487</v>
      </c>
      <c r="F63" s="1917"/>
      <c r="G63" s="2134"/>
      <c r="H63" s="699">
        <v>2059.7692252748006</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9271.9136789683071</v>
      </c>
      <c r="I67" s="3168">
        <f t="shared" ref="I67:N67" si="8">IF(SUM(I69:I70)=0,I70,SUM(I69:I70))</f>
        <v>2.6000381736052973</v>
      </c>
      <c r="J67" s="3168">
        <f t="shared" si="8"/>
        <v>7.2320964485920639E-2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9271.9136789683071</v>
      </c>
      <c r="I70" s="3074">
        <f t="shared" si="9"/>
        <v>2.6000381736052973</v>
      </c>
      <c r="J70" s="3074">
        <f t="shared" si="9"/>
        <v>7.2320964485920639E-2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9271.9136789683071</v>
      </c>
      <c r="I71" s="3101">
        <v>2.6000381736052973</v>
      </c>
      <c r="J71" s="3101">
        <v>7.2320964485920639E-2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257.74698899999999</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479.38144329896915</v>
      </c>
      <c r="E73" s="4121">
        <f t="shared" ref="E73:G74" si="11">IF(SUM($D73)=0,"NA",H73/$D73)</f>
        <v>0.53766576199999994</v>
      </c>
      <c r="F73" s="276" t="s">
        <v>205</v>
      </c>
      <c r="G73" s="276" t="s">
        <v>205</v>
      </c>
      <c r="H73" s="3100">
        <v>257.74698899999999</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269.391818181818</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85.06805102123964</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85.06805102123964</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f t="shared" ref="G10:H12" si="0">G11</f>
        <v>96.2624</v>
      </c>
      <c r="H10" s="2629" t="str">
        <f t="shared" si="0"/>
        <v>NO</v>
      </c>
    </row>
    <row r="11" spans="2:8" ht="18" customHeight="1" x14ac:dyDescent="0.2">
      <c r="B11" s="169" t="s">
        <v>709</v>
      </c>
      <c r="C11" s="2523"/>
      <c r="D11" s="1828"/>
      <c r="E11" s="1829"/>
      <c r="F11" s="1829"/>
      <c r="G11" s="1938">
        <f t="shared" si="0"/>
        <v>96.2624</v>
      </c>
      <c r="H11" s="2628" t="str">
        <f t="shared" si="0"/>
        <v>NO</v>
      </c>
    </row>
    <row r="12" spans="2:8" ht="18" customHeight="1" x14ac:dyDescent="0.2">
      <c r="B12" s="1168" t="s">
        <v>710</v>
      </c>
      <c r="C12" s="2523"/>
      <c r="D12" s="1828"/>
      <c r="E12" s="1829"/>
      <c r="F12" s="1829"/>
      <c r="G12" s="1938">
        <f t="shared" si="0"/>
        <v>96.2624</v>
      </c>
      <c r="H12" s="2628" t="str">
        <f t="shared" si="0"/>
        <v>NO</v>
      </c>
    </row>
    <row r="13" spans="2:8" ht="18" customHeight="1" x14ac:dyDescent="0.2">
      <c r="B13" s="1169" t="s">
        <v>847</v>
      </c>
      <c r="C13" s="2638" t="s">
        <v>671</v>
      </c>
      <c r="D13" s="73" t="s">
        <v>848</v>
      </c>
      <c r="E13" s="2624">
        <v>2406.56</v>
      </c>
      <c r="F13" s="2625">
        <f>IF(SUM(E13)=0,"NA",G13*1000/E13)</f>
        <v>40</v>
      </c>
      <c r="G13" s="699">
        <v>96.2624</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580.48806357502792</v>
      </c>
      <c r="H22" s="2628" t="str">
        <f>H23</f>
        <v>NO</v>
      </c>
    </row>
    <row r="23" spans="2:8" ht="18" customHeight="1" x14ac:dyDescent="0.2">
      <c r="B23" s="169" t="s">
        <v>857</v>
      </c>
      <c r="C23" s="2523"/>
      <c r="D23" s="76"/>
      <c r="E23" s="76"/>
      <c r="F23" s="1829"/>
      <c r="G23" s="3157">
        <f>IF(SUM(G24,G27)=0,"NO",SUM(G24,G27))</f>
        <v>580.48806357502792</v>
      </c>
      <c r="H23" s="2628" t="str">
        <f>H24</f>
        <v>NO</v>
      </c>
    </row>
    <row r="24" spans="2:8" ht="18" customHeight="1" x14ac:dyDescent="0.2">
      <c r="B24" s="171" t="s">
        <v>858</v>
      </c>
      <c r="C24" s="2523"/>
      <c r="D24" s="76"/>
      <c r="E24" s="76"/>
      <c r="F24" s="1829"/>
      <c r="G24" s="3157">
        <f>IF(SUM(G25:G26)=0,"NO",SUM(G25:G26))</f>
        <v>580.48806357502792</v>
      </c>
      <c r="H24" s="2628" t="str">
        <f>H25</f>
        <v>NO</v>
      </c>
    </row>
    <row r="25" spans="2:8" ht="18" customHeight="1" x14ac:dyDescent="0.25">
      <c r="B25" s="2626" t="s">
        <v>859</v>
      </c>
      <c r="C25" s="2638" t="s">
        <v>859</v>
      </c>
      <c r="D25" s="73" t="s">
        <v>860</v>
      </c>
      <c r="E25" s="699">
        <v>1236000</v>
      </c>
      <c r="F25" s="4135">
        <f>IF(SUM(E25)=0,"NA",G25*1000/E25)</f>
        <v>0.41566771654299994</v>
      </c>
      <c r="G25" s="699">
        <v>513.76529764714792</v>
      </c>
      <c r="H25" s="2627" t="s">
        <v>199</v>
      </c>
    </row>
    <row r="26" spans="2:8" ht="18" customHeight="1" x14ac:dyDescent="0.25">
      <c r="B26" s="2626" t="s">
        <v>861</v>
      </c>
      <c r="C26" s="2638" t="s">
        <v>861</v>
      </c>
      <c r="D26" s="73" t="s">
        <v>860</v>
      </c>
      <c r="E26" s="699">
        <v>1236000</v>
      </c>
      <c r="F26" s="4135">
        <f>IF(SUM(E26)=0,"NA",G26*1000/E26)</f>
        <v>5.3982820329999986E-2</v>
      </c>
      <c r="G26" s="699">
        <v>66.72276592787999</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t="str">
        <f>IF(SUM(J11,J90,J117,J130,J146,J159)=0,"NO",SUM(J11,J90,J117,J130,J146,J159))</f>
        <v>NO</v>
      </c>
      <c r="K10" s="3191" t="str">
        <f>IF(SUM(K11,K90,K117,K130,K146,K159)=0,"NO",SUM(K11,K90,K117,K130,K146,K159))</f>
        <v>NO</v>
      </c>
      <c r="L10" s="3192" t="str">
        <f>IF(SUM(L11,L90,L117,L130,L146,L159)=0,"NO",SUM(L11,L90,L117,L130,L146,L159))</f>
        <v>NO</v>
      </c>
      <c r="M10" s="3462" t="str">
        <f>IF(SUM(M11,M90,M117,M130,M146,M159)=0,"NO",SUM(M11,M90,M117,M130,M146,M159))</f>
        <v>NO</v>
      </c>
    </row>
    <row r="11" spans="1:13" ht="18" customHeight="1" x14ac:dyDescent="0.2">
      <c r="B11" s="147" t="s">
        <v>888</v>
      </c>
      <c r="C11" s="2524"/>
      <c r="D11" s="150"/>
      <c r="E11" s="150"/>
      <c r="F11" s="150"/>
      <c r="G11" s="150"/>
      <c r="H11" s="150"/>
      <c r="I11" s="150"/>
      <c r="J11" s="3081" t="str">
        <f>IF(SUM(J12,J25,J38,J51,J64,J77)=0,"NO",SUM(J12,J25,J38,J51,J64,J77))</f>
        <v>NO</v>
      </c>
      <c r="K11" s="3081" t="str">
        <f t="shared" ref="K11:M11" si="0">IF(SUM(K12,K25,K38,K51,K64,K77)=0,"NO",SUM(K12,K25,K38,K51,K64,K77))</f>
        <v>NO</v>
      </c>
      <c r="L11" s="3081" t="str">
        <f t="shared" si="0"/>
        <v>NO</v>
      </c>
      <c r="M11" s="3193" t="str">
        <f t="shared" si="0"/>
        <v>NO</v>
      </c>
    </row>
    <row r="12" spans="1:13" ht="18" customHeight="1" x14ac:dyDescent="0.2">
      <c r="B12" s="104" t="s">
        <v>889</v>
      </c>
      <c r="C12" s="2524"/>
      <c r="D12" s="150"/>
      <c r="E12" s="150"/>
      <c r="F12" s="150"/>
      <c r="G12" s="150"/>
      <c r="H12" s="150"/>
      <c r="I12" s="150"/>
      <c r="J12" s="3081" t="str">
        <f>IF(SUM(J13:J24)=0,"NO",SUM(J13:J24))</f>
        <v>NO</v>
      </c>
      <c r="K12" s="3081" t="str">
        <f>IF(SUM(K13:K24)=0,"NO",SUM(K13:K24))</f>
        <v>NO</v>
      </c>
      <c r="L12" s="3081" t="str">
        <f>IF(SUM(L13:L24)=0,"NO",SUM(L13:L24))</f>
        <v>NO</v>
      </c>
      <c r="M12" s="3193" t="str">
        <f>IF(SUM(M13:M24)=0,"NO",SUM(M13:M24))</f>
        <v>NO</v>
      </c>
    </row>
    <row r="13" spans="1:13" ht="18" customHeight="1" x14ac:dyDescent="0.2">
      <c r="B13" s="2634" t="s">
        <v>671</v>
      </c>
      <c r="C13" s="2636" t="s">
        <v>671</v>
      </c>
      <c r="D13" s="3160" t="s">
        <v>199</v>
      </c>
      <c r="E13" s="3160" t="s">
        <v>199</v>
      </c>
      <c r="F13" s="3160" t="s">
        <v>199</v>
      </c>
      <c r="G13" s="3668" t="str">
        <f>IF(SUM(D13)=0,"NA",J13/D13)</f>
        <v>NA</v>
      </c>
      <c r="H13" s="3081" t="str">
        <f>IF(SUM(E13)=0,"NA",K13/E13)</f>
        <v>NA</v>
      </c>
      <c r="I13" s="3081" t="str">
        <f>IF(SUM(F13)=0,"NA",L13/F13)</f>
        <v>NA</v>
      </c>
      <c r="J13" s="3194" t="s">
        <v>199</v>
      </c>
      <c r="K13" s="3194" t="s">
        <v>199</v>
      </c>
      <c r="L13" s="3194" t="s">
        <v>199</v>
      </c>
      <c r="M13" s="3460" t="s">
        <v>199</v>
      </c>
    </row>
    <row r="14" spans="1:13" ht="18" customHeight="1" x14ac:dyDescent="0.2">
      <c r="B14" s="2634" t="s">
        <v>672</v>
      </c>
      <c r="C14" s="2636" t="s">
        <v>672</v>
      </c>
      <c r="D14" s="3160" t="s">
        <v>199</v>
      </c>
      <c r="E14" s="3160" t="s">
        <v>199</v>
      </c>
      <c r="F14" s="3160" t="s">
        <v>199</v>
      </c>
      <c r="G14" s="3668" t="str">
        <f t="shared" ref="G14:G24" si="1">IF(SUM(D14)=0,"NA",J14/D14)</f>
        <v>NA</v>
      </c>
      <c r="H14" s="3081" t="str">
        <f t="shared" ref="H14:H24" si="2">IF(SUM(E14)=0,"NA",K14/E14)</f>
        <v>NA</v>
      </c>
      <c r="I14" s="3081" t="str">
        <f t="shared" ref="I14:I24" si="3">IF(SUM(F14)=0,"NA",L14/F14)</f>
        <v>NA</v>
      </c>
      <c r="J14" s="3194" t="s">
        <v>199</v>
      </c>
      <c r="K14" s="3194" t="s">
        <v>199</v>
      </c>
      <c r="L14" s="3194" t="s">
        <v>199</v>
      </c>
      <c r="M14" s="3460" t="s">
        <v>199</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t="s">
        <v>199</v>
      </c>
      <c r="E16" s="3160" t="s">
        <v>199</v>
      </c>
      <c r="F16" s="3160" t="s">
        <v>199</v>
      </c>
      <c r="G16" s="3668" t="str">
        <f t="shared" si="1"/>
        <v>NA</v>
      </c>
      <c r="H16" s="3081" t="str">
        <f t="shared" si="2"/>
        <v>NA</v>
      </c>
      <c r="I16" s="3081" t="str">
        <f t="shared" si="3"/>
        <v>NA</v>
      </c>
      <c r="J16" s="3194" t="s">
        <v>199</v>
      </c>
      <c r="K16" s="3194" t="s">
        <v>199</v>
      </c>
      <c r="L16" s="3194" t="s">
        <v>199</v>
      </c>
      <c r="M16" s="3460" t="s">
        <v>199</v>
      </c>
    </row>
    <row r="17" spans="2:13" ht="18" customHeight="1" x14ac:dyDescent="0.2">
      <c r="B17" s="2634" t="s">
        <v>676</v>
      </c>
      <c r="C17" s="2636" t="s">
        <v>676</v>
      </c>
      <c r="D17" s="3160" t="s">
        <v>199</v>
      </c>
      <c r="E17" s="3160" t="s">
        <v>199</v>
      </c>
      <c r="F17" s="3160" t="s">
        <v>199</v>
      </c>
      <c r="G17" s="3668" t="str">
        <f t="shared" si="1"/>
        <v>NA</v>
      </c>
      <c r="H17" s="3081" t="str">
        <f t="shared" si="2"/>
        <v>NA</v>
      </c>
      <c r="I17" s="3081" t="str">
        <f t="shared" si="3"/>
        <v>NA</v>
      </c>
      <c r="J17" s="3194" t="s">
        <v>199</v>
      </c>
      <c r="K17" s="3194" t="s">
        <v>199</v>
      </c>
      <c r="L17" s="3194" t="s">
        <v>199</v>
      </c>
      <c r="M17" s="3460" t="s">
        <v>199</v>
      </c>
    </row>
    <row r="18" spans="2:13" ht="18" customHeight="1" x14ac:dyDescent="0.2">
      <c r="B18" s="2634" t="s">
        <v>677</v>
      </c>
      <c r="C18" s="2636" t="s">
        <v>677</v>
      </c>
      <c r="D18" s="3160" t="s">
        <v>199</v>
      </c>
      <c r="E18" s="3160" t="s">
        <v>199</v>
      </c>
      <c r="F18" s="3160" t="s">
        <v>199</v>
      </c>
      <c r="G18" s="3668" t="str">
        <f t="shared" si="1"/>
        <v>NA</v>
      </c>
      <c r="H18" s="3081" t="str">
        <f t="shared" si="2"/>
        <v>NA</v>
      </c>
      <c r="I18" s="3081" t="str">
        <f t="shared" si="3"/>
        <v>NA</v>
      </c>
      <c r="J18" s="3194" t="s">
        <v>199</v>
      </c>
      <c r="K18" s="3194" t="s">
        <v>199</v>
      </c>
      <c r="L18" s="3194" t="s">
        <v>199</v>
      </c>
      <c r="M18" s="3460" t="s">
        <v>199</v>
      </c>
    </row>
    <row r="19" spans="2:13" ht="18" customHeight="1" x14ac:dyDescent="0.2">
      <c r="B19" s="2634" t="s">
        <v>679</v>
      </c>
      <c r="C19" s="2636" t="s">
        <v>679</v>
      </c>
      <c r="D19" s="3160" t="s">
        <v>199</v>
      </c>
      <c r="E19" s="3160" t="s">
        <v>199</v>
      </c>
      <c r="F19" s="3160" t="s">
        <v>199</v>
      </c>
      <c r="G19" s="3668" t="str">
        <f t="shared" si="1"/>
        <v>NA</v>
      </c>
      <c r="H19" s="3081" t="str">
        <f t="shared" si="2"/>
        <v>NA</v>
      </c>
      <c r="I19" s="3081" t="str">
        <f t="shared" si="3"/>
        <v>NA</v>
      </c>
      <c r="J19" s="3194" t="s">
        <v>199</v>
      </c>
      <c r="K19" s="3194" t="s">
        <v>199</v>
      </c>
      <c r="L19" s="3194" t="s">
        <v>199</v>
      </c>
      <c r="M19" s="3460" t="s">
        <v>199</v>
      </c>
    </row>
    <row r="20" spans="2:13" ht="18" customHeight="1" x14ac:dyDescent="0.2">
      <c r="B20" s="2634" t="s">
        <v>681</v>
      </c>
      <c r="C20" s="2636" t="s">
        <v>681</v>
      </c>
      <c r="D20" s="3160" t="s">
        <v>199</v>
      </c>
      <c r="E20" s="3160" t="s">
        <v>199</v>
      </c>
      <c r="F20" s="3160" t="s">
        <v>199</v>
      </c>
      <c r="G20" s="3668" t="str">
        <f t="shared" si="1"/>
        <v>NA</v>
      </c>
      <c r="H20" s="3081" t="str">
        <f t="shared" si="2"/>
        <v>NA</v>
      </c>
      <c r="I20" s="3081" t="str">
        <f t="shared" si="3"/>
        <v>NA</v>
      </c>
      <c r="J20" s="3194" t="s">
        <v>199</v>
      </c>
      <c r="K20" s="3194" t="s">
        <v>199</v>
      </c>
      <c r="L20" s="3194" t="s">
        <v>199</v>
      </c>
      <c r="M20" s="3460" t="s">
        <v>199</v>
      </c>
    </row>
    <row r="21" spans="2:13" ht="18" customHeight="1" x14ac:dyDescent="0.2">
      <c r="B21" s="2634" t="s">
        <v>683</v>
      </c>
      <c r="C21" s="2636" t="s">
        <v>683</v>
      </c>
      <c r="D21" s="3160" t="s">
        <v>199</v>
      </c>
      <c r="E21" s="3160" t="s">
        <v>199</v>
      </c>
      <c r="F21" s="3160" t="s">
        <v>199</v>
      </c>
      <c r="G21" s="3668" t="str">
        <f t="shared" si="1"/>
        <v>NA</v>
      </c>
      <c r="H21" s="3081" t="str">
        <f t="shared" si="2"/>
        <v>NA</v>
      </c>
      <c r="I21" s="3081" t="str">
        <f t="shared" si="3"/>
        <v>NA</v>
      </c>
      <c r="J21" s="3194" t="s">
        <v>199</v>
      </c>
      <c r="K21" s="3194" t="s">
        <v>199</v>
      </c>
      <c r="L21" s="3194" t="s">
        <v>199</v>
      </c>
      <c r="M21" s="3460" t="s">
        <v>199</v>
      </c>
    </row>
    <row r="22" spans="2:13" ht="18" customHeight="1" x14ac:dyDescent="0.2">
      <c r="B22" s="2634" t="s">
        <v>686</v>
      </c>
      <c r="C22" s="2636" t="s">
        <v>686</v>
      </c>
      <c r="D22" s="3160" t="s">
        <v>199</v>
      </c>
      <c r="E22" s="3160" t="s">
        <v>199</v>
      </c>
      <c r="F22" s="3160" t="s">
        <v>199</v>
      </c>
      <c r="G22" s="3668" t="str">
        <f t="shared" si="1"/>
        <v>NA</v>
      </c>
      <c r="H22" s="3081" t="str">
        <f t="shared" si="2"/>
        <v>NA</v>
      </c>
      <c r="I22" s="3081" t="str">
        <f t="shared" si="3"/>
        <v>NA</v>
      </c>
      <c r="J22" s="3194" t="s">
        <v>199</v>
      </c>
      <c r="K22" s="3194" t="s">
        <v>199</v>
      </c>
      <c r="L22" s="3194" t="s">
        <v>199</v>
      </c>
      <c r="M22" s="3460" t="s">
        <v>199</v>
      </c>
    </row>
    <row r="23" spans="2:13" ht="18" customHeight="1" x14ac:dyDescent="0.2">
      <c r="B23" s="2634" t="s">
        <v>688</v>
      </c>
      <c r="C23" s="2636" t="s">
        <v>688</v>
      </c>
      <c r="D23" s="3160" t="s">
        <v>199</v>
      </c>
      <c r="E23" s="3160" t="s">
        <v>199</v>
      </c>
      <c r="F23" s="3160" t="s">
        <v>199</v>
      </c>
      <c r="G23" s="3668" t="str">
        <f t="shared" si="1"/>
        <v>NA</v>
      </c>
      <c r="H23" s="3081" t="str">
        <f t="shared" si="2"/>
        <v>NA</v>
      </c>
      <c r="I23" s="3081" t="str">
        <f t="shared" si="3"/>
        <v>NA</v>
      </c>
      <c r="J23" s="3194" t="s">
        <v>199</v>
      </c>
      <c r="K23" s="3194" t="s">
        <v>199</v>
      </c>
      <c r="L23" s="3194" t="s">
        <v>199</v>
      </c>
      <c r="M23" s="3460" t="s">
        <v>199</v>
      </c>
    </row>
    <row r="24" spans="2:13" ht="18" customHeight="1" x14ac:dyDescent="0.2">
      <c r="B24" s="2634" t="s">
        <v>689</v>
      </c>
      <c r="C24" s="2636" t="s">
        <v>689</v>
      </c>
      <c r="D24" s="3160" t="s">
        <v>199</v>
      </c>
      <c r="E24" s="3160" t="s">
        <v>199</v>
      </c>
      <c r="F24" s="3160" t="s">
        <v>199</v>
      </c>
      <c r="G24" s="3668" t="str">
        <f t="shared" si="1"/>
        <v>NA</v>
      </c>
      <c r="H24" s="3081" t="str">
        <f t="shared" si="2"/>
        <v>NA</v>
      </c>
      <c r="I24" s="3081" t="str">
        <f t="shared" si="3"/>
        <v>NA</v>
      </c>
      <c r="J24" s="3194" t="s">
        <v>199</v>
      </c>
      <c r="K24" s="3194" t="s">
        <v>199</v>
      </c>
      <c r="L24" s="3194" t="s">
        <v>199</v>
      </c>
      <c r="M24" s="3460" t="s">
        <v>199</v>
      </c>
    </row>
    <row r="25" spans="2:13" ht="18" customHeight="1" x14ac:dyDescent="0.2">
      <c r="B25" s="105" t="s">
        <v>890</v>
      </c>
      <c r="C25" s="2524"/>
      <c r="D25" s="150"/>
      <c r="E25" s="150"/>
      <c r="F25" s="150"/>
      <c r="G25" s="3669"/>
      <c r="H25" s="2135"/>
      <c r="I25" s="2135"/>
      <c r="J25" s="3081" t="str">
        <f>IF(SUM(J26:J37)=0,"NO",SUM(J26:J37))</f>
        <v>NO</v>
      </c>
      <c r="K25" s="3081" t="str">
        <f>IF(SUM(K26:K37)=0,"NO",SUM(K26:K37))</f>
        <v>NO</v>
      </c>
      <c r="L25" s="3081" t="str">
        <f>IF(SUM(L26:L37)=0,"NO",SUM(L26:L37))</f>
        <v>NO</v>
      </c>
      <c r="M25" s="3193" t="str">
        <f>IF(SUM(M26:M37)=0,"NO",SUM(M26:M37))</f>
        <v>NO</v>
      </c>
    </row>
    <row r="26" spans="2:13" ht="18" customHeight="1" x14ac:dyDescent="0.2">
      <c r="B26" s="2634" t="s">
        <v>671</v>
      </c>
      <c r="C26" s="2636" t="s">
        <v>671</v>
      </c>
      <c r="D26" s="3461" t="s">
        <v>199</v>
      </c>
      <c r="E26" s="3461" t="s">
        <v>199</v>
      </c>
      <c r="F26" s="3461" t="s">
        <v>199</v>
      </c>
      <c r="G26" s="3668" t="str">
        <f>IF(SUM(D26)=0,"NA",J26/D26)</f>
        <v>NA</v>
      </c>
      <c r="H26" s="3081" t="str">
        <f>IF(SUM(E26)=0,"NA",K26/E26)</f>
        <v>NA</v>
      </c>
      <c r="I26" s="3081" t="str">
        <f>IF(SUM(F26)=0,"NA",L26/F26)</f>
        <v>NA</v>
      </c>
      <c r="J26" s="3194" t="s">
        <v>199</v>
      </c>
      <c r="K26" s="3194" t="s">
        <v>199</v>
      </c>
      <c r="L26" s="3194" t="s">
        <v>199</v>
      </c>
      <c r="M26" s="3460" t="s">
        <v>199</v>
      </c>
    </row>
    <row r="27" spans="2:13" ht="18" customHeight="1" x14ac:dyDescent="0.2">
      <c r="B27" s="2634" t="s">
        <v>672</v>
      </c>
      <c r="C27" s="2636" t="s">
        <v>672</v>
      </c>
      <c r="D27" s="3461" t="s">
        <v>199</v>
      </c>
      <c r="E27" s="3461" t="s">
        <v>199</v>
      </c>
      <c r="F27" s="3461" t="s">
        <v>199</v>
      </c>
      <c r="G27" s="3668" t="str">
        <f t="shared" ref="G27:G37" si="7">IF(SUM(D27)=0,"NA",J27/D27)</f>
        <v>NA</v>
      </c>
      <c r="H27" s="3081" t="str">
        <f t="shared" ref="H27:H37" si="8">IF(SUM(E27)=0,"NA",K27/E27)</f>
        <v>NA</v>
      </c>
      <c r="I27" s="3081" t="str">
        <f t="shared" ref="I27:I37" si="9">IF(SUM(F27)=0,"NA",L27/F27)</f>
        <v>NA</v>
      </c>
      <c r="J27" s="3194" t="s">
        <v>199</v>
      </c>
      <c r="K27" s="3194" t="s">
        <v>199</v>
      </c>
      <c r="L27" s="3194" t="s">
        <v>199</v>
      </c>
      <c r="M27" s="3460" t="s">
        <v>199</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t="s">
        <v>199</v>
      </c>
      <c r="E29" s="3461" t="s">
        <v>199</v>
      </c>
      <c r="F29" s="3461" t="s">
        <v>199</v>
      </c>
      <c r="G29" s="3668" t="str">
        <f t="shared" si="7"/>
        <v>NA</v>
      </c>
      <c r="H29" s="3081" t="str">
        <f t="shared" si="8"/>
        <v>NA</v>
      </c>
      <c r="I29" s="3081" t="str">
        <f t="shared" si="9"/>
        <v>NA</v>
      </c>
      <c r="J29" s="3194" t="s">
        <v>199</v>
      </c>
      <c r="K29" s="3194" t="s">
        <v>199</v>
      </c>
      <c r="L29" s="3194" t="s">
        <v>199</v>
      </c>
      <c r="M29" s="3460" t="s">
        <v>199</v>
      </c>
    </row>
    <row r="30" spans="2:13" ht="18" customHeight="1" x14ac:dyDescent="0.2">
      <c r="B30" s="2634" t="s">
        <v>676</v>
      </c>
      <c r="C30" s="2636" t="s">
        <v>676</v>
      </c>
      <c r="D30" s="3461" t="s">
        <v>199</v>
      </c>
      <c r="E30" s="3461" t="s">
        <v>199</v>
      </c>
      <c r="F30" s="3461" t="s">
        <v>199</v>
      </c>
      <c r="G30" s="3668" t="str">
        <f t="shared" si="7"/>
        <v>NA</v>
      </c>
      <c r="H30" s="3081" t="str">
        <f t="shared" si="8"/>
        <v>NA</v>
      </c>
      <c r="I30" s="3081" t="str">
        <f t="shared" si="9"/>
        <v>NA</v>
      </c>
      <c r="J30" s="3194" t="s">
        <v>199</v>
      </c>
      <c r="K30" s="3194" t="s">
        <v>199</v>
      </c>
      <c r="L30" s="3194" t="s">
        <v>199</v>
      </c>
      <c r="M30" s="3460" t="s">
        <v>199</v>
      </c>
    </row>
    <row r="31" spans="2:13" ht="18" customHeight="1" x14ac:dyDescent="0.2">
      <c r="B31" s="2634" t="s">
        <v>677</v>
      </c>
      <c r="C31" s="2636" t="s">
        <v>677</v>
      </c>
      <c r="D31" s="3461" t="s">
        <v>199</v>
      </c>
      <c r="E31" s="3461" t="s">
        <v>199</v>
      </c>
      <c r="F31" s="3461" t="s">
        <v>199</v>
      </c>
      <c r="G31" s="3668" t="str">
        <f t="shared" si="7"/>
        <v>NA</v>
      </c>
      <c r="H31" s="3081" t="str">
        <f t="shared" si="8"/>
        <v>NA</v>
      </c>
      <c r="I31" s="3081" t="str">
        <f t="shared" si="9"/>
        <v>NA</v>
      </c>
      <c r="J31" s="3194" t="s">
        <v>199</v>
      </c>
      <c r="K31" s="3194" t="s">
        <v>199</v>
      </c>
      <c r="L31" s="3194" t="s">
        <v>199</v>
      </c>
      <c r="M31" s="3460" t="s">
        <v>199</v>
      </c>
    </row>
    <row r="32" spans="2:13" ht="18" customHeight="1" x14ac:dyDescent="0.2">
      <c r="B32" s="2634" t="s">
        <v>679</v>
      </c>
      <c r="C32" s="2636" t="s">
        <v>679</v>
      </c>
      <c r="D32" s="3461" t="s">
        <v>199</v>
      </c>
      <c r="E32" s="3461" t="s">
        <v>199</v>
      </c>
      <c r="F32" s="3461" t="s">
        <v>199</v>
      </c>
      <c r="G32" s="3668" t="str">
        <f t="shared" si="7"/>
        <v>NA</v>
      </c>
      <c r="H32" s="3081" t="str">
        <f t="shared" si="8"/>
        <v>NA</v>
      </c>
      <c r="I32" s="3081" t="str">
        <f t="shared" si="9"/>
        <v>NA</v>
      </c>
      <c r="J32" s="3194" t="s">
        <v>199</v>
      </c>
      <c r="K32" s="3194" t="s">
        <v>199</v>
      </c>
      <c r="L32" s="3194" t="s">
        <v>199</v>
      </c>
      <c r="M32" s="3460" t="s">
        <v>199</v>
      </c>
    </row>
    <row r="33" spans="2:13" ht="18" customHeight="1" x14ac:dyDescent="0.2">
      <c r="B33" s="2634" t="s">
        <v>681</v>
      </c>
      <c r="C33" s="2636" t="s">
        <v>681</v>
      </c>
      <c r="D33" s="3461" t="s">
        <v>199</v>
      </c>
      <c r="E33" s="3461" t="s">
        <v>199</v>
      </c>
      <c r="F33" s="3461" t="s">
        <v>199</v>
      </c>
      <c r="G33" s="3668" t="str">
        <f t="shared" si="7"/>
        <v>NA</v>
      </c>
      <c r="H33" s="3081" t="str">
        <f t="shared" si="8"/>
        <v>NA</v>
      </c>
      <c r="I33" s="3081" t="str">
        <f t="shared" si="9"/>
        <v>NA</v>
      </c>
      <c r="J33" s="3194" t="s">
        <v>199</v>
      </c>
      <c r="K33" s="3194" t="s">
        <v>199</v>
      </c>
      <c r="L33" s="3194" t="s">
        <v>199</v>
      </c>
      <c r="M33" s="3460" t="s">
        <v>199</v>
      </c>
    </row>
    <row r="34" spans="2:13" ht="18" customHeight="1" x14ac:dyDescent="0.2">
      <c r="B34" s="2634" t="s">
        <v>683</v>
      </c>
      <c r="C34" s="2636" t="s">
        <v>683</v>
      </c>
      <c r="D34" s="3461" t="s">
        <v>199</v>
      </c>
      <c r="E34" s="3461" t="s">
        <v>199</v>
      </c>
      <c r="F34" s="3461" t="s">
        <v>199</v>
      </c>
      <c r="G34" s="3668" t="str">
        <f t="shared" si="7"/>
        <v>NA</v>
      </c>
      <c r="H34" s="3081" t="str">
        <f t="shared" si="8"/>
        <v>NA</v>
      </c>
      <c r="I34" s="3081" t="str">
        <f t="shared" si="9"/>
        <v>NA</v>
      </c>
      <c r="J34" s="3194" t="s">
        <v>199</v>
      </c>
      <c r="K34" s="3194" t="s">
        <v>199</v>
      </c>
      <c r="L34" s="3194" t="s">
        <v>199</v>
      </c>
      <c r="M34" s="3460" t="s">
        <v>199</v>
      </c>
    </row>
    <row r="35" spans="2:13" ht="18" customHeight="1" x14ac:dyDescent="0.2">
      <c r="B35" s="2634" t="s">
        <v>686</v>
      </c>
      <c r="C35" s="2636" t="s">
        <v>686</v>
      </c>
      <c r="D35" s="3461" t="s">
        <v>199</v>
      </c>
      <c r="E35" s="3461" t="s">
        <v>199</v>
      </c>
      <c r="F35" s="3461" t="s">
        <v>199</v>
      </c>
      <c r="G35" s="3668" t="str">
        <f t="shared" si="7"/>
        <v>NA</v>
      </c>
      <c r="H35" s="3081" t="str">
        <f t="shared" si="8"/>
        <v>NA</v>
      </c>
      <c r="I35" s="3081" t="str">
        <f t="shared" si="9"/>
        <v>NA</v>
      </c>
      <c r="J35" s="3194" t="s">
        <v>199</v>
      </c>
      <c r="K35" s="3194" t="s">
        <v>199</v>
      </c>
      <c r="L35" s="3194" t="s">
        <v>199</v>
      </c>
      <c r="M35" s="3460" t="s">
        <v>199</v>
      </c>
    </row>
    <row r="36" spans="2:13" ht="18" customHeight="1" x14ac:dyDescent="0.2">
      <c r="B36" s="2634" t="s">
        <v>688</v>
      </c>
      <c r="C36" s="2636" t="s">
        <v>688</v>
      </c>
      <c r="D36" s="3461" t="s">
        <v>199</v>
      </c>
      <c r="E36" s="3461" t="s">
        <v>199</v>
      </c>
      <c r="F36" s="3461" t="s">
        <v>199</v>
      </c>
      <c r="G36" s="3668" t="str">
        <f t="shared" si="7"/>
        <v>NA</v>
      </c>
      <c r="H36" s="3081" t="str">
        <f t="shared" si="8"/>
        <v>NA</v>
      </c>
      <c r="I36" s="3081" t="str">
        <f t="shared" si="9"/>
        <v>NA</v>
      </c>
      <c r="J36" s="3194" t="s">
        <v>199</v>
      </c>
      <c r="K36" s="3194" t="s">
        <v>199</v>
      </c>
      <c r="L36" s="3194" t="s">
        <v>199</v>
      </c>
      <c r="M36" s="3460" t="s">
        <v>199</v>
      </c>
    </row>
    <row r="37" spans="2:13" ht="18" customHeight="1" x14ac:dyDescent="0.2">
      <c r="B37" s="2634" t="s">
        <v>689</v>
      </c>
      <c r="C37" s="2636" t="s">
        <v>689</v>
      </c>
      <c r="D37" s="3461" t="s">
        <v>199</v>
      </c>
      <c r="E37" s="3461" t="s">
        <v>199</v>
      </c>
      <c r="F37" s="3461" t="s">
        <v>199</v>
      </c>
      <c r="G37" s="3668" t="str">
        <f t="shared" si="7"/>
        <v>NA</v>
      </c>
      <c r="H37" s="3081" t="str">
        <f t="shared" si="8"/>
        <v>NA</v>
      </c>
      <c r="I37" s="3081" t="str">
        <f t="shared" si="9"/>
        <v>NA</v>
      </c>
      <c r="J37" s="3194" t="s">
        <v>199</v>
      </c>
      <c r="K37" s="3194" t="s">
        <v>199</v>
      </c>
      <c r="L37" s="3194" t="s">
        <v>199</v>
      </c>
      <c r="M37" s="3460" t="s">
        <v>199</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NO</v>
      </c>
      <c r="E39" s="3461" t="str">
        <f t="shared" ref="E39:F39" si="10">IF(E13="NO","NO","IE")</f>
        <v>NO</v>
      </c>
      <c r="F39" s="3461" t="str">
        <f t="shared" si="10"/>
        <v>NO</v>
      </c>
      <c r="G39" s="3668" t="str">
        <f>IF(SUM(D39)=0,"NA",J39/D39)</f>
        <v>NA</v>
      </c>
      <c r="H39" s="3668" t="str">
        <f>IF(SUM(E39)=0,"NA",K39/E39)</f>
        <v>NA</v>
      </c>
      <c r="I39" s="3668" t="str">
        <f>IF(SUM(F39)=0,"NA",L39/F39)</f>
        <v>NA</v>
      </c>
      <c r="J39" s="3461" t="str">
        <f>IF(J13="NO","NO","IE")</f>
        <v>NO</v>
      </c>
      <c r="K39" s="3461" t="str">
        <f t="shared" ref="K39:L39" si="11">IF(K13="NO","NO","IE")</f>
        <v>NO</v>
      </c>
      <c r="L39" s="3461" t="str">
        <f t="shared" si="11"/>
        <v>NO</v>
      </c>
      <c r="M39" s="3460" t="str">
        <f t="shared" ref="M39" si="12">IF(M13="NO","NO","IE")</f>
        <v>NO</v>
      </c>
    </row>
    <row r="40" spans="2:13" ht="18" customHeight="1" x14ac:dyDescent="0.2">
      <c r="B40" s="2634" t="s">
        <v>672</v>
      </c>
      <c r="C40" s="2636" t="s">
        <v>672</v>
      </c>
      <c r="D40" s="3461" t="str">
        <f t="shared" ref="D40:F50" si="13">IF(D14="NO","NO","IE")</f>
        <v>NO</v>
      </c>
      <c r="E40" s="3461" t="str">
        <f t="shared" si="13"/>
        <v>NO</v>
      </c>
      <c r="F40" s="3461" t="str">
        <f t="shared" si="13"/>
        <v>NO</v>
      </c>
      <c r="G40" s="3668" t="str">
        <f t="shared" ref="G40:G50" si="14">IF(SUM(D40)=0,"NA",J40/D40)</f>
        <v>NA</v>
      </c>
      <c r="H40" s="3668" t="str">
        <f t="shared" ref="H40:H50" si="15">IF(SUM(E40)=0,"NA",K40/E40)</f>
        <v>NA</v>
      </c>
      <c r="I40" s="3668" t="str">
        <f t="shared" ref="I40:I50" si="16">IF(SUM(F40)=0,"NA",L40/F40)</f>
        <v>NA</v>
      </c>
      <c r="J40" s="3461" t="str">
        <f t="shared" ref="J40:L40" si="17">IF(J14="NO","NO","IE")</f>
        <v>NO</v>
      </c>
      <c r="K40" s="3461" t="str">
        <f t="shared" si="17"/>
        <v>NO</v>
      </c>
      <c r="L40" s="3461" t="str">
        <f t="shared" si="17"/>
        <v>NO</v>
      </c>
      <c r="M40" s="3460" t="str">
        <f t="shared" ref="M40" si="18">IF(M14="NO","NO","IE")</f>
        <v>NO</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NO</v>
      </c>
      <c r="E42" s="3461" t="str">
        <f t="shared" si="13"/>
        <v>NO</v>
      </c>
      <c r="F42" s="3461" t="str">
        <f t="shared" si="13"/>
        <v>NO</v>
      </c>
      <c r="G42" s="3668" t="str">
        <f t="shared" si="14"/>
        <v>NA</v>
      </c>
      <c r="H42" s="3668" t="str">
        <f t="shared" si="15"/>
        <v>NA</v>
      </c>
      <c r="I42" s="3668" t="str">
        <f t="shared" si="16"/>
        <v>NA</v>
      </c>
      <c r="J42" s="3461" t="str">
        <f t="shared" ref="J42:L42" si="21">IF(J16="NO","NO","IE")</f>
        <v>NO</v>
      </c>
      <c r="K42" s="3461" t="str">
        <f t="shared" si="21"/>
        <v>NO</v>
      </c>
      <c r="L42" s="3461" t="str">
        <f t="shared" si="21"/>
        <v>NO</v>
      </c>
      <c r="M42" s="3460" t="str">
        <f t="shared" ref="M42" si="22">IF(M16="NO","NO","IE")</f>
        <v>NO</v>
      </c>
    </row>
    <row r="43" spans="2:13" ht="18" customHeight="1" x14ac:dyDescent="0.2">
      <c r="B43" s="2634" t="s">
        <v>676</v>
      </c>
      <c r="C43" s="2636" t="s">
        <v>676</v>
      </c>
      <c r="D43" s="3461" t="str">
        <f t="shared" si="13"/>
        <v>NO</v>
      </c>
      <c r="E43" s="3461" t="str">
        <f t="shared" si="13"/>
        <v>NO</v>
      </c>
      <c r="F43" s="3461" t="str">
        <f t="shared" si="13"/>
        <v>NO</v>
      </c>
      <c r="G43" s="3668" t="str">
        <f t="shared" si="14"/>
        <v>NA</v>
      </c>
      <c r="H43" s="3668" t="str">
        <f t="shared" si="15"/>
        <v>NA</v>
      </c>
      <c r="I43" s="3668" t="str">
        <f t="shared" si="16"/>
        <v>NA</v>
      </c>
      <c r="J43" s="3461" t="str">
        <f t="shared" ref="J43:L43" si="23">IF(J17="NO","NO","IE")</f>
        <v>NO</v>
      </c>
      <c r="K43" s="3461" t="str">
        <f t="shared" si="23"/>
        <v>NO</v>
      </c>
      <c r="L43" s="3461" t="str">
        <f t="shared" si="23"/>
        <v>NO</v>
      </c>
      <c r="M43" s="3460" t="str">
        <f t="shared" ref="M43" si="24">IF(M17="NO","NO","IE")</f>
        <v>NO</v>
      </c>
    </row>
    <row r="44" spans="2:13" ht="18" customHeight="1" x14ac:dyDescent="0.2">
      <c r="B44" s="2634" t="s">
        <v>677</v>
      </c>
      <c r="C44" s="2636" t="s">
        <v>677</v>
      </c>
      <c r="D44" s="3461" t="str">
        <f t="shared" si="13"/>
        <v>NO</v>
      </c>
      <c r="E44" s="3461" t="str">
        <f t="shared" si="13"/>
        <v>NO</v>
      </c>
      <c r="F44" s="3461" t="str">
        <f t="shared" si="13"/>
        <v>NO</v>
      </c>
      <c r="G44" s="3668" t="str">
        <f t="shared" si="14"/>
        <v>NA</v>
      </c>
      <c r="H44" s="3668" t="str">
        <f t="shared" si="15"/>
        <v>NA</v>
      </c>
      <c r="I44" s="3668" t="str">
        <f t="shared" si="16"/>
        <v>NA</v>
      </c>
      <c r="J44" s="3461" t="str">
        <f t="shared" ref="J44:L44" si="25">IF(J18="NO","NO","IE")</f>
        <v>NO</v>
      </c>
      <c r="K44" s="3461" t="str">
        <f t="shared" si="25"/>
        <v>NO</v>
      </c>
      <c r="L44" s="3461" t="str">
        <f t="shared" si="25"/>
        <v>NO</v>
      </c>
      <c r="M44" s="3460" t="str">
        <f t="shared" ref="M44" si="26">IF(M18="NO","NO","IE")</f>
        <v>NO</v>
      </c>
    </row>
    <row r="45" spans="2:13" ht="18" customHeight="1" x14ac:dyDescent="0.2">
      <c r="B45" s="2634" t="s">
        <v>679</v>
      </c>
      <c r="C45" s="2636" t="s">
        <v>679</v>
      </c>
      <c r="D45" s="3461" t="str">
        <f t="shared" si="13"/>
        <v>NO</v>
      </c>
      <c r="E45" s="3461" t="str">
        <f t="shared" si="13"/>
        <v>NO</v>
      </c>
      <c r="F45" s="3461" t="str">
        <f t="shared" si="13"/>
        <v>NO</v>
      </c>
      <c r="G45" s="3668" t="str">
        <f t="shared" si="14"/>
        <v>NA</v>
      </c>
      <c r="H45" s="3668" t="str">
        <f t="shared" si="15"/>
        <v>NA</v>
      </c>
      <c r="I45" s="3668" t="str">
        <f t="shared" si="16"/>
        <v>NA</v>
      </c>
      <c r="J45" s="3461" t="str">
        <f t="shared" ref="J45:L45" si="27">IF(J19="NO","NO","IE")</f>
        <v>NO</v>
      </c>
      <c r="K45" s="3461" t="str">
        <f t="shared" si="27"/>
        <v>NO</v>
      </c>
      <c r="L45" s="3461" t="str">
        <f t="shared" si="27"/>
        <v>NO</v>
      </c>
      <c r="M45" s="3460" t="str">
        <f t="shared" ref="M45" si="28">IF(M19="NO","NO","IE")</f>
        <v>NO</v>
      </c>
    </row>
    <row r="46" spans="2:13" ht="18" customHeight="1" x14ac:dyDescent="0.2">
      <c r="B46" s="2634" t="s">
        <v>681</v>
      </c>
      <c r="C46" s="2636" t="s">
        <v>681</v>
      </c>
      <c r="D46" s="3461" t="str">
        <f t="shared" si="13"/>
        <v>NO</v>
      </c>
      <c r="E46" s="3461" t="str">
        <f t="shared" si="13"/>
        <v>NO</v>
      </c>
      <c r="F46" s="3461" t="str">
        <f t="shared" si="13"/>
        <v>NO</v>
      </c>
      <c r="G46" s="3668" t="str">
        <f t="shared" si="14"/>
        <v>NA</v>
      </c>
      <c r="H46" s="3668" t="str">
        <f t="shared" si="15"/>
        <v>NA</v>
      </c>
      <c r="I46" s="3668" t="str">
        <f t="shared" si="16"/>
        <v>NA</v>
      </c>
      <c r="J46" s="3461" t="str">
        <f t="shared" ref="J46:L46" si="29">IF(J20="NO","NO","IE")</f>
        <v>NO</v>
      </c>
      <c r="K46" s="3461" t="str">
        <f t="shared" si="29"/>
        <v>NO</v>
      </c>
      <c r="L46" s="3461" t="str">
        <f t="shared" si="29"/>
        <v>NO</v>
      </c>
      <c r="M46" s="3460" t="str">
        <f t="shared" ref="M46" si="30">IF(M20="NO","NO","IE")</f>
        <v>NO</v>
      </c>
    </row>
    <row r="47" spans="2:13" ht="18" customHeight="1" x14ac:dyDescent="0.2">
      <c r="B47" s="2634" t="s">
        <v>683</v>
      </c>
      <c r="C47" s="2636" t="s">
        <v>683</v>
      </c>
      <c r="D47" s="3461" t="str">
        <f t="shared" si="13"/>
        <v>NO</v>
      </c>
      <c r="E47" s="3461" t="str">
        <f t="shared" si="13"/>
        <v>NO</v>
      </c>
      <c r="F47" s="3461" t="str">
        <f t="shared" si="13"/>
        <v>NO</v>
      </c>
      <c r="G47" s="3668" t="str">
        <f t="shared" si="14"/>
        <v>NA</v>
      </c>
      <c r="H47" s="3668" t="str">
        <f t="shared" si="15"/>
        <v>NA</v>
      </c>
      <c r="I47" s="3668" t="str">
        <f t="shared" si="16"/>
        <v>NA</v>
      </c>
      <c r="J47" s="3461" t="str">
        <f t="shared" ref="J47:L47" si="31">IF(J21="NO","NO","IE")</f>
        <v>NO</v>
      </c>
      <c r="K47" s="3461" t="str">
        <f t="shared" si="31"/>
        <v>NO</v>
      </c>
      <c r="L47" s="3461" t="str">
        <f t="shared" si="31"/>
        <v>NO</v>
      </c>
      <c r="M47" s="3460" t="str">
        <f t="shared" ref="M47" si="32">IF(M21="NO","NO","IE")</f>
        <v>NO</v>
      </c>
    </row>
    <row r="48" spans="2:13" ht="18" customHeight="1" x14ac:dyDescent="0.2">
      <c r="B48" s="2634" t="s">
        <v>686</v>
      </c>
      <c r="C48" s="2636" t="s">
        <v>686</v>
      </c>
      <c r="D48" s="3461" t="str">
        <f t="shared" si="13"/>
        <v>NO</v>
      </c>
      <c r="E48" s="3461" t="str">
        <f t="shared" si="13"/>
        <v>NO</v>
      </c>
      <c r="F48" s="3461" t="str">
        <f t="shared" si="13"/>
        <v>NO</v>
      </c>
      <c r="G48" s="3668" t="str">
        <f t="shared" si="14"/>
        <v>NA</v>
      </c>
      <c r="H48" s="3668" t="str">
        <f t="shared" si="15"/>
        <v>NA</v>
      </c>
      <c r="I48" s="3668" t="str">
        <f t="shared" si="16"/>
        <v>NA</v>
      </c>
      <c r="J48" s="3461" t="str">
        <f t="shared" ref="J48:L48" si="33">IF(J22="NO","NO","IE")</f>
        <v>NO</v>
      </c>
      <c r="K48" s="3461" t="str">
        <f t="shared" si="33"/>
        <v>NO</v>
      </c>
      <c r="L48" s="3461" t="str">
        <f t="shared" si="33"/>
        <v>NO</v>
      </c>
      <c r="M48" s="3460" t="str">
        <f t="shared" ref="M48" si="34">IF(M22="NO","NO","IE")</f>
        <v>NO</v>
      </c>
    </row>
    <row r="49" spans="2:13" ht="18" customHeight="1" x14ac:dyDescent="0.2">
      <c r="B49" s="2634" t="s">
        <v>688</v>
      </c>
      <c r="C49" s="2636" t="s">
        <v>688</v>
      </c>
      <c r="D49" s="3461" t="str">
        <f t="shared" si="13"/>
        <v>NO</v>
      </c>
      <c r="E49" s="3461" t="str">
        <f t="shared" si="13"/>
        <v>NO</v>
      </c>
      <c r="F49" s="3461" t="str">
        <f t="shared" si="13"/>
        <v>NO</v>
      </c>
      <c r="G49" s="3668" t="str">
        <f t="shared" si="14"/>
        <v>NA</v>
      </c>
      <c r="H49" s="3668" t="str">
        <f t="shared" si="15"/>
        <v>NA</v>
      </c>
      <c r="I49" s="3668" t="str">
        <f t="shared" si="16"/>
        <v>NA</v>
      </c>
      <c r="J49" s="3461" t="str">
        <f t="shared" ref="J49:L49" si="35">IF(J23="NO","NO","IE")</f>
        <v>NO</v>
      </c>
      <c r="K49" s="3461" t="str">
        <f t="shared" si="35"/>
        <v>NO</v>
      </c>
      <c r="L49" s="3461" t="str">
        <f t="shared" si="35"/>
        <v>NO</v>
      </c>
      <c r="M49" s="3460" t="str">
        <f t="shared" ref="M49" si="36">IF(M23="NO","NO","IE")</f>
        <v>NO</v>
      </c>
    </row>
    <row r="50" spans="2:13" ht="18" customHeight="1" x14ac:dyDescent="0.2">
      <c r="B50" s="2634" t="s">
        <v>689</v>
      </c>
      <c r="C50" s="2636" t="s">
        <v>689</v>
      </c>
      <c r="D50" s="3461" t="str">
        <f t="shared" si="13"/>
        <v>NO</v>
      </c>
      <c r="E50" s="3461" t="str">
        <f t="shared" si="13"/>
        <v>NO</v>
      </c>
      <c r="F50" s="3461" t="str">
        <f t="shared" si="13"/>
        <v>NO</v>
      </c>
      <c r="G50" s="3668" t="str">
        <f t="shared" si="14"/>
        <v>NA</v>
      </c>
      <c r="H50" s="3668" t="str">
        <f t="shared" si="15"/>
        <v>NA</v>
      </c>
      <c r="I50" s="3668" t="str">
        <f t="shared" si="16"/>
        <v>NA</v>
      </c>
      <c r="J50" s="3461" t="str">
        <f t="shared" ref="J50:L50" si="37">IF(J24="NO","NO","IE")</f>
        <v>NO</v>
      </c>
      <c r="K50" s="3461" t="str">
        <f t="shared" si="37"/>
        <v>NO</v>
      </c>
      <c r="L50" s="3461" t="str">
        <f t="shared" si="37"/>
        <v>NO</v>
      </c>
      <c r="M50" s="3460" t="str">
        <f t="shared" ref="M50" si="38">IF(M24="NO","NO","IE")</f>
        <v>NO</v>
      </c>
    </row>
    <row r="51" spans="2:13" ht="18" customHeight="1" x14ac:dyDescent="0.2">
      <c r="B51" s="104" t="s">
        <v>892</v>
      </c>
      <c r="C51" s="2524"/>
      <c r="D51" s="150"/>
      <c r="E51" s="150"/>
      <c r="F51" s="150"/>
      <c r="G51" s="3669"/>
      <c r="H51" s="3669"/>
      <c r="I51" s="3669"/>
      <c r="J51" s="3081" t="str">
        <f>IF(SUM(J52:J63)=0,"NO",SUM(J52:J63))</f>
        <v>NO</v>
      </c>
      <c r="K51" s="3081" t="str">
        <f>IF(SUM(K52:K63)=0,"NO",SUM(K52:K63))</f>
        <v>NO</v>
      </c>
      <c r="L51" s="3081" t="str">
        <f>IF(SUM(L52:L63)=0,"NO",SUM(L52:L63))</f>
        <v>NO</v>
      </c>
      <c r="M51" s="3193" t="str">
        <f>IF(SUM(M52:M63)=0,"NO",SUM(M52:M63))</f>
        <v>NO</v>
      </c>
    </row>
    <row r="52" spans="2:13" ht="18" customHeight="1" x14ac:dyDescent="0.2">
      <c r="B52" s="2634" t="s">
        <v>671</v>
      </c>
      <c r="C52" s="2636" t="s">
        <v>671</v>
      </c>
      <c r="D52" s="3461" t="s">
        <v>199</v>
      </c>
      <c r="E52" s="3461" t="s">
        <v>199</v>
      </c>
      <c r="F52" s="3461" t="s">
        <v>199</v>
      </c>
      <c r="G52" s="3081" t="str">
        <f>IF(SUM(D52)=0,"NA",J52/D52)</f>
        <v>NA</v>
      </c>
      <c r="H52" s="3081" t="str">
        <f>IF(SUM(E52)=0,"NA",K52/E52)</f>
        <v>NA</v>
      </c>
      <c r="I52" s="3081" t="str">
        <f>IF(SUM(F52)=0,"NA",L52/F52)</f>
        <v>NA</v>
      </c>
      <c r="J52" s="3194" t="s">
        <v>199</v>
      </c>
      <c r="K52" s="3194" t="s">
        <v>199</v>
      </c>
      <c r="L52" s="3194" t="s">
        <v>199</v>
      </c>
      <c r="M52" s="3460" t="s">
        <v>199</v>
      </c>
    </row>
    <row r="53" spans="2:13" ht="18" customHeight="1" x14ac:dyDescent="0.2">
      <c r="B53" s="2634" t="s">
        <v>672</v>
      </c>
      <c r="C53" s="2636" t="s">
        <v>672</v>
      </c>
      <c r="D53" s="3461" t="s">
        <v>199</v>
      </c>
      <c r="E53" s="3461" t="s">
        <v>199</v>
      </c>
      <c r="F53" s="3461" t="s">
        <v>199</v>
      </c>
      <c r="G53" s="3081" t="str">
        <f t="shared" ref="G53:G63" si="39">IF(SUM(D53)=0,"NA",J53/D53)</f>
        <v>NA</v>
      </c>
      <c r="H53" s="3081" t="str">
        <f t="shared" ref="H53:H63" si="40">IF(SUM(E53)=0,"NA",K53/E53)</f>
        <v>NA</v>
      </c>
      <c r="I53" s="3081" t="str">
        <f t="shared" ref="I53:I63" si="41">IF(SUM(F53)=0,"NA",L53/F53)</f>
        <v>NA</v>
      </c>
      <c r="J53" s="3194" t="s">
        <v>199</v>
      </c>
      <c r="K53" s="3194" t="s">
        <v>199</v>
      </c>
      <c r="L53" s="3194" t="s">
        <v>199</v>
      </c>
      <c r="M53" s="3460" t="s">
        <v>199</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t="s">
        <v>199</v>
      </c>
      <c r="E55" s="3461" t="s">
        <v>199</v>
      </c>
      <c r="F55" s="3461" t="s">
        <v>199</v>
      </c>
      <c r="G55" s="3081" t="str">
        <f t="shared" si="39"/>
        <v>NA</v>
      </c>
      <c r="H55" s="3081" t="str">
        <f t="shared" si="40"/>
        <v>NA</v>
      </c>
      <c r="I55" s="3081" t="str">
        <f t="shared" si="41"/>
        <v>NA</v>
      </c>
      <c r="J55" s="3194" t="s">
        <v>199</v>
      </c>
      <c r="K55" s="3194" t="s">
        <v>199</v>
      </c>
      <c r="L55" s="3194" t="s">
        <v>199</v>
      </c>
      <c r="M55" s="3460" t="s">
        <v>199</v>
      </c>
    </row>
    <row r="56" spans="2:13" ht="18" customHeight="1" x14ac:dyDescent="0.2">
      <c r="B56" s="2634" t="s">
        <v>676</v>
      </c>
      <c r="C56" s="2636" t="s">
        <v>676</v>
      </c>
      <c r="D56" s="3461" t="s">
        <v>199</v>
      </c>
      <c r="E56" s="3461" t="s">
        <v>199</v>
      </c>
      <c r="F56" s="3461" t="s">
        <v>199</v>
      </c>
      <c r="G56" s="3081" t="str">
        <f t="shared" si="39"/>
        <v>NA</v>
      </c>
      <c r="H56" s="3081" t="str">
        <f t="shared" si="40"/>
        <v>NA</v>
      </c>
      <c r="I56" s="3081" t="str">
        <f t="shared" si="41"/>
        <v>NA</v>
      </c>
      <c r="J56" s="3194" t="s">
        <v>199</v>
      </c>
      <c r="K56" s="3194" t="s">
        <v>199</v>
      </c>
      <c r="L56" s="3194" t="s">
        <v>199</v>
      </c>
      <c r="M56" s="3460" t="s">
        <v>199</v>
      </c>
    </row>
    <row r="57" spans="2:13" ht="18" customHeight="1" x14ac:dyDescent="0.2">
      <c r="B57" s="2634" t="s">
        <v>677</v>
      </c>
      <c r="C57" s="2636" t="s">
        <v>677</v>
      </c>
      <c r="D57" s="3461" t="s">
        <v>199</v>
      </c>
      <c r="E57" s="3461" t="s">
        <v>199</v>
      </c>
      <c r="F57" s="3461" t="s">
        <v>199</v>
      </c>
      <c r="G57" s="3081" t="str">
        <f t="shared" si="39"/>
        <v>NA</v>
      </c>
      <c r="H57" s="3081" t="str">
        <f t="shared" si="40"/>
        <v>NA</v>
      </c>
      <c r="I57" s="3081" t="str">
        <f t="shared" si="41"/>
        <v>NA</v>
      </c>
      <c r="J57" s="3194" t="s">
        <v>199</v>
      </c>
      <c r="K57" s="3194" t="s">
        <v>199</v>
      </c>
      <c r="L57" s="3194" t="s">
        <v>199</v>
      </c>
      <c r="M57" s="3460" t="s">
        <v>199</v>
      </c>
    </row>
    <row r="58" spans="2:13" ht="18" customHeight="1" x14ac:dyDescent="0.2">
      <c r="B58" s="2634" t="s">
        <v>679</v>
      </c>
      <c r="C58" s="2636" t="s">
        <v>679</v>
      </c>
      <c r="D58" s="3461" t="s">
        <v>199</v>
      </c>
      <c r="E58" s="3461" t="s">
        <v>199</v>
      </c>
      <c r="F58" s="3461" t="s">
        <v>199</v>
      </c>
      <c r="G58" s="3081" t="str">
        <f t="shared" si="39"/>
        <v>NA</v>
      </c>
      <c r="H58" s="3081" t="str">
        <f t="shared" si="40"/>
        <v>NA</v>
      </c>
      <c r="I58" s="3081" t="str">
        <f t="shared" si="41"/>
        <v>NA</v>
      </c>
      <c r="J58" s="3194" t="s">
        <v>199</v>
      </c>
      <c r="K58" s="3194" t="s">
        <v>199</v>
      </c>
      <c r="L58" s="3194" t="s">
        <v>199</v>
      </c>
      <c r="M58" s="3460" t="s">
        <v>199</v>
      </c>
    </row>
    <row r="59" spans="2:13" ht="18" customHeight="1" x14ac:dyDescent="0.2">
      <c r="B59" s="2634" t="s">
        <v>681</v>
      </c>
      <c r="C59" s="2636" t="s">
        <v>681</v>
      </c>
      <c r="D59" s="3461" t="s">
        <v>199</v>
      </c>
      <c r="E59" s="3461" t="s">
        <v>199</v>
      </c>
      <c r="F59" s="3461" t="s">
        <v>199</v>
      </c>
      <c r="G59" s="3081" t="str">
        <f t="shared" si="39"/>
        <v>NA</v>
      </c>
      <c r="H59" s="3081" t="str">
        <f t="shared" si="40"/>
        <v>NA</v>
      </c>
      <c r="I59" s="3081" t="str">
        <f t="shared" si="41"/>
        <v>NA</v>
      </c>
      <c r="J59" s="3194" t="s">
        <v>199</v>
      </c>
      <c r="K59" s="3194" t="s">
        <v>199</v>
      </c>
      <c r="L59" s="3194" t="s">
        <v>199</v>
      </c>
      <c r="M59" s="3460" t="s">
        <v>199</v>
      </c>
    </row>
    <row r="60" spans="2:13" ht="18" customHeight="1" x14ac:dyDescent="0.2">
      <c r="B60" s="2634" t="s">
        <v>683</v>
      </c>
      <c r="C60" s="2636" t="s">
        <v>683</v>
      </c>
      <c r="D60" s="3461" t="s">
        <v>199</v>
      </c>
      <c r="E60" s="3461" t="s">
        <v>199</v>
      </c>
      <c r="F60" s="3461" t="s">
        <v>199</v>
      </c>
      <c r="G60" s="3081" t="str">
        <f t="shared" si="39"/>
        <v>NA</v>
      </c>
      <c r="H60" s="3081" t="str">
        <f t="shared" si="40"/>
        <v>NA</v>
      </c>
      <c r="I60" s="3081" t="str">
        <f t="shared" si="41"/>
        <v>NA</v>
      </c>
      <c r="J60" s="3194" t="s">
        <v>199</v>
      </c>
      <c r="K60" s="3194" t="s">
        <v>199</v>
      </c>
      <c r="L60" s="3194" t="s">
        <v>199</v>
      </c>
      <c r="M60" s="3460" t="s">
        <v>199</v>
      </c>
    </row>
    <row r="61" spans="2:13" ht="18" customHeight="1" x14ac:dyDescent="0.2">
      <c r="B61" s="2634" t="s">
        <v>686</v>
      </c>
      <c r="C61" s="2636" t="s">
        <v>686</v>
      </c>
      <c r="D61" s="3461" t="s">
        <v>199</v>
      </c>
      <c r="E61" s="3461" t="s">
        <v>199</v>
      </c>
      <c r="F61" s="3461" t="s">
        <v>199</v>
      </c>
      <c r="G61" s="3081" t="str">
        <f t="shared" si="39"/>
        <v>NA</v>
      </c>
      <c r="H61" s="3081" t="str">
        <f t="shared" si="40"/>
        <v>NA</v>
      </c>
      <c r="I61" s="3081" t="str">
        <f t="shared" si="41"/>
        <v>NA</v>
      </c>
      <c r="J61" s="3194" t="s">
        <v>199</v>
      </c>
      <c r="K61" s="3194" t="s">
        <v>199</v>
      </c>
      <c r="L61" s="3194" t="s">
        <v>199</v>
      </c>
      <c r="M61" s="3460" t="s">
        <v>199</v>
      </c>
    </row>
    <row r="62" spans="2:13" ht="18" customHeight="1" x14ac:dyDescent="0.2">
      <c r="B62" s="2634" t="s">
        <v>688</v>
      </c>
      <c r="C62" s="2636" t="s">
        <v>688</v>
      </c>
      <c r="D62" s="3461" t="s">
        <v>199</v>
      </c>
      <c r="E62" s="3461" t="s">
        <v>199</v>
      </c>
      <c r="F62" s="3461" t="s">
        <v>199</v>
      </c>
      <c r="G62" s="3081" t="str">
        <f t="shared" si="39"/>
        <v>NA</v>
      </c>
      <c r="H62" s="3081" t="str">
        <f t="shared" si="40"/>
        <v>NA</v>
      </c>
      <c r="I62" s="3081" t="str">
        <f t="shared" si="41"/>
        <v>NA</v>
      </c>
      <c r="J62" s="3194" t="s">
        <v>199</v>
      </c>
      <c r="K62" s="3194" t="s">
        <v>199</v>
      </c>
      <c r="L62" s="3194" t="s">
        <v>199</v>
      </c>
      <c r="M62" s="3460" t="s">
        <v>199</v>
      </c>
    </row>
    <row r="63" spans="2:13" ht="18" customHeight="1" x14ac:dyDescent="0.2">
      <c r="B63" s="2634" t="s">
        <v>689</v>
      </c>
      <c r="C63" s="2636" t="s">
        <v>689</v>
      </c>
      <c r="D63" s="3461" t="s">
        <v>199</v>
      </c>
      <c r="E63" s="3461" t="s">
        <v>199</v>
      </c>
      <c r="F63" s="3461" t="s">
        <v>199</v>
      </c>
      <c r="G63" s="3081" t="str">
        <f t="shared" si="39"/>
        <v>NA</v>
      </c>
      <c r="H63" s="3081" t="str">
        <f t="shared" si="40"/>
        <v>NA</v>
      </c>
      <c r="I63" s="3081" t="str">
        <f t="shared" si="41"/>
        <v>NA</v>
      </c>
      <c r="J63" s="3194" t="s">
        <v>199</v>
      </c>
      <c r="K63" s="3194" t="s">
        <v>199</v>
      </c>
      <c r="L63" s="3194" t="s">
        <v>199</v>
      </c>
      <c r="M63" s="3460" t="s">
        <v>199</v>
      </c>
    </row>
    <row r="64" spans="2:13" ht="18" customHeight="1" x14ac:dyDescent="0.2">
      <c r="B64" s="104" t="s">
        <v>893</v>
      </c>
      <c r="C64" s="2524"/>
      <c r="D64" s="150"/>
      <c r="E64" s="150"/>
      <c r="F64" s="150"/>
      <c r="G64" s="2135"/>
      <c r="H64" s="2135"/>
      <c r="I64" s="2135"/>
      <c r="J64" s="3081" t="str">
        <f>IF(SUM(J65:J76)=0,"NO",SUM(J65:J76))</f>
        <v>NO</v>
      </c>
      <c r="K64" s="3081" t="str">
        <f>IF(SUM(K65:K76)=0,"NO",SUM(K65:K76))</f>
        <v>NO</v>
      </c>
      <c r="L64" s="3081" t="str">
        <f>IF(SUM(L65:L76)=0,"NO",SUM(L65:L76))</f>
        <v>NO</v>
      </c>
      <c r="M64" s="3193" t="str">
        <f>IF(SUM(M65:M76)=0,"NO",SUM(M65:M76))</f>
        <v>NO</v>
      </c>
    </row>
    <row r="65" spans="2:13" ht="18" customHeight="1" x14ac:dyDescent="0.2">
      <c r="B65" s="2634" t="s">
        <v>671</v>
      </c>
      <c r="C65" s="2636" t="s">
        <v>671</v>
      </c>
      <c r="D65" s="3461" t="s">
        <v>199</v>
      </c>
      <c r="E65" s="3461" t="s">
        <v>199</v>
      </c>
      <c r="F65" s="3461" t="s">
        <v>199</v>
      </c>
      <c r="G65" s="3081" t="str">
        <f>IF(SUM(D65)=0,"NA",J65/D65)</f>
        <v>NA</v>
      </c>
      <c r="H65" s="3081" t="str">
        <f>IF(SUM(E65)=0,"NA",K65/E65)</f>
        <v>NA</v>
      </c>
      <c r="I65" s="3081" t="str">
        <f>IF(SUM(F65)=0,"NA",L65/F65)</f>
        <v>NA</v>
      </c>
      <c r="J65" s="3194" t="s">
        <v>199</v>
      </c>
      <c r="K65" s="3194" t="s">
        <v>199</v>
      </c>
      <c r="L65" s="3194" t="s">
        <v>199</v>
      </c>
      <c r="M65" s="3460" t="s">
        <v>199</v>
      </c>
    </row>
    <row r="66" spans="2:13" ht="18" customHeight="1" x14ac:dyDescent="0.2">
      <c r="B66" s="2634" t="s">
        <v>672</v>
      </c>
      <c r="C66" s="2636" t="s">
        <v>672</v>
      </c>
      <c r="D66" s="3461" t="s">
        <v>199</v>
      </c>
      <c r="E66" s="3461" t="s">
        <v>199</v>
      </c>
      <c r="F66" s="3461" t="s">
        <v>199</v>
      </c>
      <c r="G66" s="3081" t="str">
        <f t="shared" ref="G66:G76" si="42">IF(SUM(D66)=0,"NA",J66/D66)</f>
        <v>NA</v>
      </c>
      <c r="H66" s="3081" t="str">
        <f t="shared" ref="H66:H76" si="43">IF(SUM(E66)=0,"NA",K66/E66)</f>
        <v>NA</v>
      </c>
      <c r="I66" s="3081" t="str">
        <f t="shared" ref="I66:I76" si="44">IF(SUM(F66)=0,"NA",L66/F66)</f>
        <v>NA</v>
      </c>
      <c r="J66" s="3194" t="s">
        <v>199</v>
      </c>
      <c r="K66" s="3194" t="s">
        <v>199</v>
      </c>
      <c r="L66" s="3194" t="s">
        <v>199</v>
      </c>
      <c r="M66" s="3460" t="s">
        <v>199</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t="s">
        <v>199</v>
      </c>
      <c r="E68" s="3461" t="s">
        <v>199</v>
      </c>
      <c r="F68" s="3461" t="s">
        <v>199</v>
      </c>
      <c r="G68" s="3081" t="str">
        <f t="shared" si="42"/>
        <v>NA</v>
      </c>
      <c r="H68" s="3081" t="str">
        <f t="shared" si="43"/>
        <v>NA</v>
      </c>
      <c r="I68" s="3081" t="str">
        <f t="shared" si="44"/>
        <v>NA</v>
      </c>
      <c r="J68" s="3194" t="s">
        <v>199</v>
      </c>
      <c r="K68" s="3194" t="s">
        <v>199</v>
      </c>
      <c r="L68" s="3194" t="s">
        <v>199</v>
      </c>
      <c r="M68" s="3460" t="s">
        <v>199</v>
      </c>
    </row>
    <row r="69" spans="2:13" ht="18" customHeight="1" x14ac:dyDescent="0.2">
      <c r="B69" s="2634" t="s">
        <v>676</v>
      </c>
      <c r="C69" s="2636" t="s">
        <v>676</v>
      </c>
      <c r="D69" s="3461" t="s">
        <v>199</v>
      </c>
      <c r="E69" s="3461" t="s">
        <v>199</v>
      </c>
      <c r="F69" s="3461" t="s">
        <v>199</v>
      </c>
      <c r="G69" s="3081" t="str">
        <f t="shared" si="42"/>
        <v>NA</v>
      </c>
      <c r="H69" s="3081" t="str">
        <f t="shared" si="43"/>
        <v>NA</v>
      </c>
      <c r="I69" s="3081" t="str">
        <f t="shared" si="44"/>
        <v>NA</v>
      </c>
      <c r="J69" s="3194" t="s">
        <v>199</v>
      </c>
      <c r="K69" s="3194" t="s">
        <v>199</v>
      </c>
      <c r="L69" s="3194" t="s">
        <v>199</v>
      </c>
      <c r="M69" s="3460" t="s">
        <v>199</v>
      </c>
    </row>
    <row r="70" spans="2:13" ht="18" customHeight="1" x14ac:dyDescent="0.2">
      <c r="B70" s="2634" t="s">
        <v>677</v>
      </c>
      <c r="C70" s="2636" t="s">
        <v>677</v>
      </c>
      <c r="D70" s="3461" t="s">
        <v>199</v>
      </c>
      <c r="E70" s="3461" t="s">
        <v>199</v>
      </c>
      <c r="F70" s="3461" t="s">
        <v>199</v>
      </c>
      <c r="G70" s="3081" t="str">
        <f t="shared" si="42"/>
        <v>NA</v>
      </c>
      <c r="H70" s="3081" t="str">
        <f t="shared" si="43"/>
        <v>NA</v>
      </c>
      <c r="I70" s="3081" t="str">
        <f t="shared" si="44"/>
        <v>NA</v>
      </c>
      <c r="J70" s="3194" t="s">
        <v>199</v>
      </c>
      <c r="K70" s="3194" t="s">
        <v>199</v>
      </c>
      <c r="L70" s="3194" t="s">
        <v>199</v>
      </c>
      <c r="M70" s="3460" t="s">
        <v>199</v>
      </c>
    </row>
    <row r="71" spans="2:13" ht="18" customHeight="1" x14ac:dyDescent="0.2">
      <c r="B71" s="2634" t="s">
        <v>679</v>
      </c>
      <c r="C71" s="2636" t="s">
        <v>679</v>
      </c>
      <c r="D71" s="3461" t="s">
        <v>199</v>
      </c>
      <c r="E71" s="3461" t="s">
        <v>199</v>
      </c>
      <c r="F71" s="3461" t="s">
        <v>199</v>
      </c>
      <c r="G71" s="3081" t="str">
        <f t="shared" si="42"/>
        <v>NA</v>
      </c>
      <c r="H71" s="3081" t="str">
        <f t="shared" si="43"/>
        <v>NA</v>
      </c>
      <c r="I71" s="3081" t="str">
        <f t="shared" si="44"/>
        <v>NA</v>
      </c>
      <c r="J71" s="3194" t="s">
        <v>199</v>
      </c>
      <c r="K71" s="3194" t="s">
        <v>199</v>
      </c>
      <c r="L71" s="3194" t="s">
        <v>199</v>
      </c>
      <c r="M71" s="3460" t="s">
        <v>199</v>
      </c>
    </row>
    <row r="72" spans="2:13" ht="18" customHeight="1" x14ac:dyDescent="0.2">
      <c r="B72" s="2634" t="s">
        <v>681</v>
      </c>
      <c r="C72" s="2636" t="s">
        <v>681</v>
      </c>
      <c r="D72" s="3461" t="s">
        <v>199</v>
      </c>
      <c r="E72" s="3461" t="s">
        <v>199</v>
      </c>
      <c r="F72" s="3461" t="s">
        <v>199</v>
      </c>
      <c r="G72" s="3081" t="str">
        <f t="shared" si="42"/>
        <v>NA</v>
      </c>
      <c r="H72" s="3081" t="str">
        <f t="shared" si="43"/>
        <v>NA</v>
      </c>
      <c r="I72" s="3081" t="str">
        <f t="shared" si="44"/>
        <v>NA</v>
      </c>
      <c r="J72" s="3194" t="s">
        <v>199</v>
      </c>
      <c r="K72" s="3194" t="s">
        <v>199</v>
      </c>
      <c r="L72" s="3194" t="s">
        <v>199</v>
      </c>
      <c r="M72" s="3460" t="s">
        <v>199</v>
      </c>
    </row>
    <row r="73" spans="2:13" ht="18" customHeight="1" x14ac:dyDescent="0.2">
      <c r="B73" s="2634" t="s">
        <v>683</v>
      </c>
      <c r="C73" s="2636" t="s">
        <v>683</v>
      </c>
      <c r="D73" s="3461" t="s">
        <v>199</v>
      </c>
      <c r="E73" s="3461" t="s">
        <v>199</v>
      </c>
      <c r="F73" s="3461" t="s">
        <v>199</v>
      </c>
      <c r="G73" s="3081" t="str">
        <f t="shared" si="42"/>
        <v>NA</v>
      </c>
      <c r="H73" s="3081" t="str">
        <f t="shared" si="43"/>
        <v>NA</v>
      </c>
      <c r="I73" s="3081" t="str">
        <f t="shared" si="44"/>
        <v>NA</v>
      </c>
      <c r="J73" s="3194" t="s">
        <v>199</v>
      </c>
      <c r="K73" s="3194" t="s">
        <v>199</v>
      </c>
      <c r="L73" s="3194" t="s">
        <v>199</v>
      </c>
      <c r="M73" s="3460" t="s">
        <v>199</v>
      </c>
    </row>
    <row r="74" spans="2:13" ht="18" customHeight="1" x14ac:dyDescent="0.2">
      <c r="B74" s="2634" t="s">
        <v>686</v>
      </c>
      <c r="C74" s="2636" t="s">
        <v>686</v>
      </c>
      <c r="D74" s="3461" t="s">
        <v>199</v>
      </c>
      <c r="E74" s="3461" t="s">
        <v>199</v>
      </c>
      <c r="F74" s="3461" t="s">
        <v>199</v>
      </c>
      <c r="G74" s="3081" t="str">
        <f t="shared" si="42"/>
        <v>NA</v>
      </c>
      <c r="H74" s="3081" t="str">
        <f t="shared" si="43"/>
        <v>NA</v>
      </c>
      <c r="I74" s="3081" t="str">
        <f t="shared" si="44"/>
        <v>NA</v>
      </c>
      <c r="J74" s="3194" t="s">
        <v>199</v>
      </c>
      <c r="K74" s="3194" t="s">
        <v>199</v>
      </c>
      <c r="L74" s="3194" t="s">
        <v>199</v>
      </c>
      <c r="M74" s="3460" t="s">
        <v>199</v>
      </c>
    </row>
    <row r="75" spans="2:13" ht="18" customHeight="1" x14ac:dyDescent="0.2">
      <c r="B75" s="2634" t="s">
        <v>688</v>
      </c>
      <c r="C75" s="2636" t="s">
        <v>688</v>
      </c>
      <c r="D75" s="3461" t="s">
        <v>199</v>
      </c>
      <c r="E75" s="3461" t="s">
        <v>199</v>
      </c>
      <c r="F75" s="3461" t="s">
        <v>199</v>
      </c>
      <c r="G75" s="3081" t="str">
        <f t="shared" si="42"/>
        <v>NA</v>
      </c>
      <c r="H75" s="3081" t="str">
        <f t="shared" si="43"/>
        <v>NA</v>
      </c>
      <c r="I75" s="3081" t="str">
        <f t="shared" si="44"/>
        <v>NA</v>
      </c>
      <c r="J75" s="3194" t="s">
        <v>199</v>
      </c>
      <c r="K75" s="3194" t="s">
        <v>199</v>
      </c>
      <c r="L75" s="3194" t="s">
        <v>199</v>
      </c>
      <c r="M75" s="3460" t="s">
        <v>199</v>
      </c>
    </row>
    <row r="76" spans="2:13" ht="18" customHeight="1" x14ac:dyDescent="0.2">
      <c r="B76" s="2634" t="s">
        <v>689</v>
      </c>
      <c r="C76" s="2636" t="s">
        <v>689</v>
      </c>
      <c r="D76" s="3461" t="s">
        <v>199</v>
      </c>
      <c r="E76" s="3461" t="s">
        <v>199</v>
      </c>
      <c r="F76" s="3461" t="s">
        <v>199</v>
      </c>
      <c r="G76" s="3081" t="str">
        <f t="shared" si="42"/>
        <v>NA</v>
      </c>
      <c r="H76" s="3081" t="str">
        <f t="shared" si="43"/>
        <v>NA</v>
      </c>
      <c r="I76" s="3081" t="str">
        <f t="shared" si="44"/>
        <v>NA</v>
      </c>
      <c r="J76" s="3194" t="s">
        <v>199</v>
      </c>
      <c r="K76" s="3194" t="s">
        <v>199</v>
      </c>
      <c r="L76" s="3194" t="s">
        <v>199</v>
      </c>
      <c r="M76" s="3460" t="s">
        <v>199</v>
      </c>
    </row>
    <row r="77" spans="2:13" ht="18" customHeight="1" x14ac:dyDescent="0.2">
      <c r="B77" s="104" t="s">
        <v>894</v>
      </c>
      <c r="C77" s="2524"/>
      <c r="D77" s="150"/>
      <c r="E77" s="150"/>
      <c r="F77" s="150"/>
      <c r="G77" s="2135"/>
      <c r="H77" s="2135"/>
      <c r="I77" s="2135"/>
      <c r="J77" s="3081" t="str">
        <f>IF(SUM(J78:J89)=0,"NO",SUM(J78:J89))</f>
        <v>NO</v>
      </c>
      <c r="K77" s="3081" t="str">
        <f>IF(SUM(K78:K89)=0,"NO",SUM(K78:K89))</f>
        <v>NO</v>
      </c>
      <c r="L77" s="3081" t="str">
        <f>IF(SUM(L78:L89)=0,"NO",SUM(L78:L89))</f>
        <v>NO</v>
      </c>
      <c r="M77" s="3193" t="str">
        <f>IF(SUM(M78:M89)=0,"NO",SUM(M78:M89))</f>
        <v>NO</v>
      </c>
    </row>
    <row r="78" spans="2:13" ht="18" customHeight="1" x14ac:dyDescent="0.2">
      <c r="B78" s="2634" t="s">
        <v>671</v>
      </c>
      <c r="C78" s="2636" t="s">
        <v>671</v>
      </c>
      <c r="D78" s="3461" t="s">
        <v>199</v>
      </c>
      <c r="E78" s="3461" t="s">
        <v>199</v>
      </c>
      <c r="F78" s="3461" t="s">
        <v>199</v>
      </c>
      <c r="G78" s="3081" t="str">
        <f>IF(SUM(D78)=0,"NA",J78/D78)</f>
        <v>NA</v>
      </c>
      <c r="H78" s="3081" t="str">
        <f>IF(SUM(E78)=0,"NA",K78/E78)</f>
        <v>NA</v>
      </c>
      <c r="I78" s="3081" t="str">
        <f>IF(SUM(F78)=0,"NA",L78/F78)</f>
        <v>NA</v>
      </c>
      <c r="J78" s="3194" t="s">
        <v>199</v>
      </c>
      <c r="K78" s="3194" t="s">
        <v>199</v>
      </c>
      <c r="L78" s="3194" t="s">
        <v>199</v>
      </c>
      <c r="M78" s="3460" t="s">
        <v>199</v>
      </c>
    </row>
    <row r="79" spans="2:13" ht="18" customHeight="1" x14ac:dyDescent="0.2">
      <c r="B79" s="2634" t="s">
        <v>672</v>
      </c>
      <c r="C79" s="2636" t="s">
        <v>672</v>
      </c>
      <c r="D79" s="3461" t="s">
        <v>199</v>
      </c>
      <c r="E79" s="3461" t="s">
        <v>199</v>
      </c>
      <c r="F79" s="3461" t="s">
        <v>199</v>
      </c>
      <c r="G79" s="3081" t="str">
        <f t="shared" ref="G79:G89" si="45">IF(SUM(D79)=0,"NA",J79/D79)</f>
        <v>NA</v>
      </c>
      <c r="H79" s="3081" t="str">
        <f t="shared" ref="H79:H89" si="46">IF(SUM(E79)=0,"NA",K79/E79)</f>
        <v>NA</v>
      </c>
      <c r="I79" s="3081" t="str">
        <f t="shared" ref="I79:I89" si="47">IF(SUM(F79)=0,"NA",L79/F79)</f>
        <v>NA</v>
      </c>
      <c r="J79" s="3194" t="s">
        <v>199</v>
      </c>
      <c r="K79" s="3194" t="s">
        <v>199</v>
      </c>
      <c r="L79" s="3194" t="s">
        <v>199</v>
      </c>
      <c r="M79" s="3460" t="s">
        <v>199</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t="s">
        <v>199</v>
      </c>
      <c r="E81" s="3461" t="s">
        <v>199</v>
      </c>
      <c r="F81" s="3461" t="s">
        <v>199</v>
      </c>
      <c r="G81" s="3081" t="str">
        <f t="shared" si="45"/>
        <v>NA</v>
      </c>
      <c r="H81" s="3081" t="str">
        <f t="shared" si="46"/>
        <v>NA</v>
      </c>
      <c r="I81" s="3081" t="str">
        <f t="shared" si="47"/>
        <v>NA</v>
      </c>
      <c r="J81" s="3194" t="s">
        <v>199</v>
      </c>
      <c r="K81" s="3194" t="s">
        <v>199</v>
      </c>
      <c r="L81" s="3194" t="s">
        <v>199</v>
      </c>
      <c r="M81" s="3460" t="s">
        <v>199</v>
      </c>
    </row>
    <row r="82" spans="2:13" ht="18" customHeight="1" x14ac:dyDescent="0.2">
      <c r="B82" s="2634" t="s">
        <v>676</v>
      </c>
      <c r="C82" s="2636" t="s">
        <v>676</v>
      </c>
      <c r="D82" s="3461" t="s">
        <v>199</v>
      </c>
      <c r="E82" s="3461" t="s">
        <v>199</v>
      </c>
      <c r="F82" s="3461" t="s">
        <v>199</v>
      </c>
      <c r="G82" s="3081" t="str">
        <f t="shared" si="45"/>
        <v>NA</v>
      </c>
      <c r="H82" s="3081" t="str">
        <f t="shared" si="46"/>
        <v>NA</v>
      </c>
      <c r="I82" s="3081" t="str">
        <f t="shared" si="47"/>
        <v>NA</v>
      </c>
      <c r="J82" s="3194" t="s">
        <v>199</v>
      </c>
      <c r="K82" s="3194" t="s">
        <v>199</v>
      </c>
      <c r="L82" s="3194" t="s">
        <v>199</v>
      </c>
      <c r="M82" s="3460" t="s">
        <v>199</v>
      </c>
    </row>
    <row r="83" spans="2:13" ht="18" customHeight="1" x14ac:dyDescent="0.2">
      <c r="B83" s="2634" t="s">
        <v>677</v>
      </c>
      <c r="C83" s="2636" t="s">
        <v>677</v>
      </c>
      <c r="D83" s="3461" t="s">
        <v>199</v>
      </c>
      <c r="E83" s="3461" t="s">
        <v>199</v>
      </c>
      <c r="F83" s="3461" t="s">
        <v>199</v>
      </c>
      <c r="G83" s="3081" t="str">
        <f t="shared" si="45"/>
        <v>NA</v>
      </c>
      <c r="H83" s="3081" t="str">
        <f t="shared" si="46"/>
        <v>NA</v>
      </c>
      <c r="I83" s="3081" t="str">
        <f t="shared" si="47"/>
        <v>NA</v>
      </c>
      <c r="J83" s="3194" t="s">
        <v>199</v>
      </c>
      <c r="K83" s="3194" t="s">
        <v>199</v>
      </c>
      <c r="L83" s="3194" t="s">
        <v>199</v>
      </c>
      <c r="M83" s="3460" t="s">
        <v>199</v>
      </c>
    </row>
    <row r="84" spans="2:13" ht="18" customHeight="1" x14ac:dyDescent="0.2">
      <c r="B84" s="2634" t="s">
        <v>679</v>
      </c>
      <c r="C84" s="2636" t="s">
        <v>679</v>
      </c>
      <c r="D84" s="3461" t="s">
        <v>199</v>
      </c>
      <c r="E84" s="3461" t="s">
        <v>199</v>
      </c>
      <c r="F84" s="3461" t="s">
        <v>199</v>
      </c>
      <c r="G84" s="3081" t="str">
        <f t="shared" si="45"/>
        <v>NA</v>
      </c>
      <c r="H84" s="3081" t="str">
        <f t="shared" si="46"/>
        <v>NA</v>
      </c>
      <c r="I84" s="3081" t="str">
        <f t="shared" si="47"/>
        <v>NA</v>
      </c>
      <c r="J84" s="3194" t="s">
        <v>199</v>
      </c>
      <c r="K84" s="3194" t="s">
        <v>199</v>
      </c>
      <c r="L84" s="3194" t="s">
        <v>199</v>
      </c>
      <c r="M84" s="3460" t="s">
        <v>199</v>
      </c>
    </row>
    <row r="85" spans="2:13" ht="18" customHeight="1" x14ac:dyDescent="0.2">
      <c r="B85" s="2634" t="s">
        <v>681</v>
      </c>
      <c r="C85" s="2636" t="s">
        <v>681</v>
      </c>
      <c r="D85" s="3461" t="s">
        <v>199</v>
      </c>
      <c r="E85" s="3461" t="s">
        <v>199</v>
      </c>
      <c r="F85" s="3461" t="s">
        <v>199</v>
      </c>
      <c r="G85" s="3081" t="str">
        <f t="shared" si="45"/>
        <v>NA</v>
      </c>
      <c r="H85" s="3081" t="str">
        <f t="shared" si="46"/>
        <v>NA</v>
      </c>
      <c r="I85" s="3081" t="str">
        <f t="shared" si="47"/>
        <v>NA</v>
      </c>
      <c r="J85" s="3194" t="s">
        <v>199</v>
      </c>
      <c r="K85" s="3194" t="s">
        <v>199</v>
      </c>
      <c r="L85" s="3194" t="s">
        <v>199</v>
      </c>
      <c r="M85" s="3460" t="s">
        <v>199</v>
      </c>
    </row>
    <row r="86" spans="2:13" ht="18" customHeight="1" x14ac:dyDescent="0.2">
      <c r="B86" s="2634" t="s">
        <v>683</v>
      </c>
      <c r="C86" s="2636" t="s">
        <v>683</v>
      </c>
      <c r="D86" s="3461" t="s">
        <v>199</v>
      </c>
      <c r="E86" s="3461" t="s">
        <v>199</v>
      </c>
      <c r="F86" s="3461" t="s">
        <v>199</v>
      </c>
      <c r="G86" s="3081" t="str">
        <f t="shared" si="45"/>
        <v>NA</v>
      </c>
      <c r="H86" s="3081" t="str">
        <f t="shared" si="46"/>
        <v>NA</v>
      </c>
      <c r="I86" s="3081" t="str">
        <f t="shared" si="47"/>
        <v>NA</v>
      </c>
      <c r="J86" s="3194" t="s">
        <v>199</v>
      </c>
      <c r="K86" s="3194" t="s">
        <v>199</v>
      </c>
      <c r="L86" s="3194" t="s">
        <v>199</v>
      </c>
      <c r="M86" s="3460" t="s">
        <v>199</v>
      </c>
    </row>
    <row r="87" spans="2:13" ht="18" customHeight="1" x14ac:dyDescent="0.2">
      <c r="B87" s="2634" t="s">
        <v>686</v>
      </c>
      <c r="C87" s="2636" t="s">
        <v>686</v>
      </c>
      <c r="D87" s="3461" t="s">
        <v>199</v>
      </c>
      <c r="E87" s="3461" t="s">
        <v>199</v>
      </c>
      <c r="F87" s="3461" t="s">
        <v>199</v>
      </c>
      <c r="G87" s="3081" t="str">
        <f t="shared" si="45"/>
        <v>NA</v>
      </c>
      <c r="H87" s="3081" t="str">
        <f t="shared" si="46"/>
        <v>NA</v>
      </c>
      <c r="I87" s="3081" t="str">
        <f t="shared" si="47"/>
        <v>NA</v>
      </c>
      <c r="J87" s="3194" t="s">
        <v>199</v>
      </c>
      <c r="K87" s="3194" t="s">
        <v>199</v>
      </c>
      <c r="L87" s="3194" t="s">
        <v>199</v>
      </c>
      <c r="M87" s="3460" t="s">
        <v>199</v>
      </c>
    </row>
    <row r="88" spans="2:13" ht="18" customHeight="1" x14ac:dyDescent="0.2">
      <c r="B88" s="2634" t="s">
        <v>688</v>
      </c>
      <c r="C88" s="2636" t="s">
        <v>688</v>
      </c>
      <c r="D88" s="3461" t="s">
        <v>199</v>
      </c>
      <c r="E88" s="3461" t="s">
        <v>199</v>
      </c>
      <c r="F88" s="3461" t="s">
        <v>199</v>
      </c>
      <c r="G88" s="3081" t="str">
        <f t="shared" si="45"/>
        <v>NA</v>
      </c>
      <c r="H88" s="3081" t="str">
        <f t="shared" si="46"/>
        <v>NA</v>
      </c>
      <c r="I88" s="3081" t="str">
        <f t="shared" si="47"/>
        <v>NA</v>
      </c>
      <c r="J88" s="3194" t="s">
        <v>199</v>
      </c>
      <c r="K88" s="3194" t="s">
        <v>199</v>
      </c>
      <c r="L88" s="3194" t="s">
        <v>199</v>
      </c>
      <c r="M88" s="3460" t="s">
        <v>199</v>
      </c>
    </row>
    <row r="89" spans="2:13" ht="18" customHeight="1" x14ac:dyDescent="0.2">
      <c r="B89" s="2634" t="s">
        <v>689</v>
      </c>
      <c r="C89" s="2636" t="s">
        <v>689</v>
      </c>
      <c r="D89" s="3461" t="s">
        <v>199</v>
      </c>
      <c r="E89" s="3461" t="s">
        <v>199</v>
      </c>
      <c r="F89" s="3461" t="s">
        <v>199</v>
      </c>
      <c r="G89" s="3081" t="str">
        <f t="shared" si="45"/>
        <v>NA</v>
      </c>
      <c r="H89" s="3081" t="str">
        <f t="shared" si="46"/>
        <v>NA</v>
      </c>
      <c r="I89" s="3081" t="str">
        <f t="shared" si="47"/>
        <v>NA</v>
      </c>
      <c r="J89" s="3194" t="s">
        <v>199</v>
      </c>
      <c r="K89" s="3194" t="s">
        <v>199</v>
      </c>
      <c r="L89" s="3194" t="s">
        <v>199</v>
      </c>
      <c r="M89" s="3460" t="s">
        <v>199</v>
      </c>
    </row>
    <row r="90" spans="2:13" ht="18" customHeight="1" x14ac:dyDescent="0.2">
      <c r="B90" s="88" t="s">
        <v>657</v>
      </c>
      <c r="C90" s="2524" t="s">
        <v>895</v>
      </c>
      <c r="D90" s="150"/>
      <c r="E90" s="150"/>
      <c r="F90" s="150"/>
      <c r="G90" s="2135"/>
      <c r="H90" s="2135"/>
      <c r="I90" s="2135"/>
      <c r="J90" s="3081" t="str">
        <f>IF(SUM(J91,J104)=0,"NO",SUM(J91,J104))</f>
        <v>NO</v>
      </c>
      <c r="K90" s="3081" t="str">
        <f t="shared" ref="K90:M90" si="48">IF(SUM(K91,K104)=0,"NO",SUM(K91,K104))</f>
        <v>NO</v>
      </c>
      <c r="L90" s="3081" t="str">
        <f t="shared" si="48"/>
        <v>NO</v>
      </c>
      <c r="M90" s="3193" t="str">
        <f t="shared" si="48"/>
        <v>NO</v>
      </c>
    </row>
    <row r="91" spans="2:13" ht="18" customHeight="1" x14ac:dyDescent="0.2">
      <c r="B91" s="104" t="s">
        <v>896</v>
      </c>
      <c r="C91" s="2524"/>
      <c r="D91" s="150"/>
      <c r="E91" s="150"/>
      <c r="F91" s="150"/>
      <c r="G91" s="2135"/>
      <c r="H91" s="2135"/>
      <c r="I91" s="2135"/>
      <c r="J91" s="3081" t="str">
        <f>IF(SUM(J92:J103)=0,"NO",SUM(J92:J103))</f>
        <v>NO</v>
      </c>
      <c r="K91" s="3081" t="str">
        <f>IF(SUM(K92:K103)=0,"NO",SUM(K92:K103))</f>
        <v>NO</v>
      </c>
      <c r="L91" s="3081" t="str">
        <f>IF(SUM(L92:L103)=0,"NO",SUM(L92:L103))</f>
        <v>NO</v>
      </c>
      <c r="M91" s="3193" t="str">
        <f>IF(SUM(M92:M103)=0,"NO",SUM(M92:M103))</f>
        <v>NO</v>
      </c>
    </row>
    <row r="92" spans="2:13" ht="18" customHeight="1" x14ac:dyDescent="0.2">
      <c r="B92" s="2634" t="s">
        <v>671</v>
      </c>
      <c r="C92" s="2636" t="s">
        <v>671</v>
      </c>
      <c r="D92" s="3461" t="s">
        <v>199</v>
      </c>
      <c r="E92" s="3461" t="s">
        <v>199</v>
      </c>
      <c r="F92" s="3461" t="s">
        <v>199</v>
      </c>
      <c r="G92" s="3081" t="str">
        <f>IF(SUM(D92)=0,"NA",J92/D92)</f>
        <v>NA</v>
      </c>
      <c r="H92" s="3081" t="str">
        <f>IF(SUM(E92)=0,"NA",K92/E92)</f>
        <v>NA</v>
      </c>
      <c r="I92" s="3081" t="str">
        <f>IF(SUM(F92)=0,"NA",L92/F92)</f>
        <v>NA</v>
      </c>
      <c r="J92" s="3194" t="s">
        <v>199</v>
      </c>
      <c r="K92" s="3194" t="s">
        <v>199</v>
      </c>
      <c r="L92" s="3194" t="s">
        <v>199</v>
      </c>
      <c r="M92" s="3460" t="s">
        <v>199</v>
      </c>
    </row>
    <row r="93" spans="2:13" ht="18" customHeight="1" x14ac:dyDescent="0.2">
      <c r="B93" s="2634" t="s">
        <v>672</v>
      </c>
      <c r="C93" s="2636" t="s">
        <v>672</v>
      </c>
      <c r="D93" s="3461" t="s">
        <v>199</v>
      </c>
      <c r="E93" s="3461" t="s">
        <v>199</v>
      </c>
      <c r="F93" s="3461" t="s">
        <v>199</v>
      </c>
      <c r="G93" s="3081" t="str">
        <f t="shared" ref="G93:G103" si="49">IF(SUM(D93)=0,"NA",J93/D93)</f>
        <v>NA</v>
      </c>
      <c r="H93" s="3081" t="str">
        <f t="shared" ref="H93:H103" si="50">IF(SUM(E93)=0,"NA",K93/E93)</f>
        <v>NA</v>
      </c>
      <c r="I93" s="3081" t="str">
        <f t="shared" ref="I93:I103" si="51">IF(SUM(F93)=0,"NA",L93/F93)</f>
        <v>NA</v>
      </c>
      <c r="J93" s="3194" t="s">
        <v>199</v>
      </c>
      <c r="K93" s="3194" t="s">
        <v>199</v>
      </c>
      <c r="L93" s="3194" t="s">
        <v>199</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t="s">
        <v>199</v>
      </c>
      <c r="E95" s="3461" t="s">
        <v>199</v>
      </c>
      <c r="F95" s="3461" t="s">
        <v>199</v>
      </c>
      <c r="G95" s="3081" t="str">
        <f t="shared" si="49"/>
        <v>NA</v>
      </c>
      <c r="H95" s="3081" t="str">
        <f t="shared" si="50"/>
        <v>NA</v>
      </c>
      <c r="I95" s="3081" t="str">
        <f t="shared" si="51"/>
        <v>NA</v>
      </c>
      <c r="J95" s="3194" t="s">
        <v>199</v>
      </c>
      <c r="K95" s="3194" t="s">
        <v>199</v>
      </c>
      <c r="L95" s="3194" t="s">
        <v>199</v>
      </c>
      <c r="M95" s="3460" t="s">
        <v>199</v>
      </c>
    </row>
    <row r="96" spans="2:13" ht="18" customHeight="1" x14ac:dyDescent="0.2">
      <c r="B96" s="2634" t="s">
        <v>676</v>
      </c>
      <c r="C96" s="2636" t="s">
        <v>676</v>
      </c>
      <c r="D96" s="3461" t="s">
        <v>199</v>
      </c>
      <c r="E96" s="3461" t="s">
        <v>199</v>
      </c>
      <c r="F96" s="3461" t="s">
        <v>199</v>
      </c>
      <c r="G96" s="3081" t="str">
        <f t="shared" si="49"/>
        <v>NA</v>
      </c>
      <c r="H96" s="3081" t="str">
        <f t="shared" si="50"/>
        <v>NA</v>
      </c>
      <c r="I96" s="3081" t="str">
        <f t="shared" si="51"/>
        <v>NA</v>
      </c>
      <c r="J96" s="3194" t="s">
        <v>199</v>
      </c>
      <c r="K96" s="3194" t="s">
        <v>199</v>
      </c>
      <c r="L96" s="3194" t="s">
        <v>199</v>
      </c>
      <c r="M96" s="3460" t="s">
        <v>199</v>
      </c>
    </row>
    <row r="97" spans="2:13" ht="18" customHeight="1" x14ac:dyDescent="0.2">
      <c r="B97" s="2634" t="s">
        <v>677</v>
      </c>
      <c r="C97" s="2636" t="s">
        <v>677</v>
      </c>
      <c r="D97" s="3461" t="s">
        <v>199</v>
      </c>
      <c r="E97" s="3461" t="s">
        <v>199</v>
      </c>
      <c r="F97" s="3461" t="s">
        <v>199</v>
      </c>
      <c r="G97" s="3081" t="str">
        <f t="shared" si="49"/>
        <v>NA</v>
      </c>
      <c r="H97" s="3081" t="str">
        <f t="shared" si="50"/>
        <v>NA</v>
      </c>
      <c r="I97" s="3081" t="str">
        <f t="shared" si="51"/>
        <v>NA</v>
      </c>
      <c r="J97" s="3194" t="s">
        <v>199</v>
      </c>
      <c r="K97" s="3194" t="s">
        <v>199</v>
      </c>
      <c r="L97" s="3194" t="s">
        <v>199</v>
      </c>
      <c r="M97" s="3460" t="s">
        <v>199</v>
      </c>
    </row>
    <row r="98" spans="2:13" ht="18" customHeight="1" x14ac:dyDescent="0.2">
      <c r="B98" s="2634" t="s">
        <v>679</v>
      </c>
      <c r="C98" s="2636" t="s">
        <v>679</v>
      </c>
      <c r="D98" s="3461" t="s">
        <v>199</v>
      </c>
      <c r="E98" s="3461" t="s">
        <v>199</v>
      </c>
      <c r="F98" s="3461" t="s">
        <v>199</v>
      </c>
      <c r="G98" s="3081" t="str">
        <f t="shared" si="49"/>
        <v>NA</v>
      </c>
      <c r="H98" s="3081" t="str">
        <f t="shared" si="50"/>
        <v>NA</v>
      </c>
      <c r="I98" s="3081" t="str">
        <f t="shared" si="51"/>
        <v>NA</v>
      </c>
      <c r="J98" s="3194" t="s">
        <v>199</v>
      </c>
      <c r="K98" s="3194" t="s">
        <v>199</v>
      </c>
      <c r="L98" s="3194" t="s">
        <v>199</v>
      </c>
      <c r="M98" s="3460" t="s">
        <v>199</v>
      </c>
    </row>
    <row r="99" spans="2:13" ht="18" customHeight="1" x14ac:dyDescent="0.2">
      <c r="B99" s="2634" t="s">
        <v>681</v>
      </c>
      <c r="C99" s="2636" t="s">
        <v>681</v>
      </c>
      <c r="D99" s="3461" t="s">
        <v>199</v>
      </c>
      <c r="E99" s="3461" t="s">
        <v>199</v>
      </c>
      <c r="F99" s="3461" t="s">
        <v>199</v>
      </c>
      <c r="G99" s="3081" t="str">
        <f t="shared" si="49"/>
        <v>NA</v>
      </c>
      <c r="H99" s="3081" t="str">
        <f t="shared" si="50"/>
        <v>NA</v>
      </c>
      <c r="I99" s="3081" t="str">
        <f t="shared" si="51"/>
        <v>NA</v>
      </c>
      <c r="J99" s="3194" t="s">
        <v>199</v>
      </c>
      <c r="K99" s="3194" t="s">
        <v>199</v>
      </c>
      <c r="L99" s="3194" t="s">
        <v>199</v>
      </c>
      <c r="M99" s="3460" t="s">
        <v>199</v>
      </c>
    </row>
    <row r="100" spans="2:13" ht="18" customHeight="1" x14ac:dyDescent="0.2">
      <c r="B100" s="2634" t="s">
        <v>683</v>
      </c>
      <c r="C100" s="2636" t="s">
        <v>683</v>
      </c>
      <c r="D100" s="3461" t="s">
        <v>199</v>
      </c>
      <c r="E100" s="3461" t="s">
        <v>199</v>
      </c>
      <c r="F100" s="3461" t="s">
        <v>199</v>
      </c>
      <c r="G100" s="3081" t="str">
        <f t="shared" si="49"/>
        <v>NA</v>
      </c>
      <c r="H100" s="3081" t="str">
        <f t="shared" si="50"/>
        <v>NA</v>
      </c>
      <c r="I100" s="3081" t="str">
        <f t="shared" si="51"/>
        <v>NA</v>
      </c>
      <c r="J100" s="3194" t="s">
        <v>199</v>
      </c>
      <c r="K100" s="3194" t="s">
        <v>199</v>
      </c>
      <c r="L100" s="3194" t="s">
        <v>199</v>
      </c>
      <c r="M100" s="3460" t="s">
        <v>199</v>
      </c>
    </row>
    <row r="101" spans="2:13" ht="18" customHeight="1" x14ac:dyDescent="0.2">
      <c r="B101" s="2634" t="s">
        <v>686</v>
      </c>
      <c r="C101" s="2636" t="s">
        <v>686</v>
      </c>
      <c r="D101" s="3461" t="s">
        <v>199</v>
      </c>
      <c r="E101" s="3461" t="s">
        <v>199</v>
      </c>
      <c r="F101" s="3461" t="s">
        <v>199</v>
      </c>
      <c r="G101" s="3081" t="str">
        <f t="shared" si="49"/>
        <v>NA</v>
      </c>
      <c r="H101" s="3081" t="str">
        <f t="shared" si="50"/>
        <v>NA</v>
      </c>
      <c r="I101" s="3081" t="str">
        <f t="shared" si="51"/>
        <v>NA</v>
      </c>
      <c r="J101" s="3194" t="s">
        <v>199</v>
      </c>
      <c r="K101" s="3194" t="s">
        <v>199</v>
      </c>
      <c r="L101" s="3194" t="s">
        <v>199</v>
      </c>
      <c r="M101" s="3460" t="s">
        <v>199</v>
      </c>
    </row>
    <row r="102" spans="2:13" ht="18" customHeight="1" x14ac:dyDescent="0.2">
      <c r="B102" s="2634" t="s">
        <v>688</v>
      </c>
      <c r="C102" s="2636" t="s">
        <v>688</v>
      </c>
      <c r="D102" s="3461" t="s">
        <v>199</v>
      </c>
      <c r="E102" s="3461" t="s">
        <v>199</v>
      </c>
      <c r="F102" s="3461" t="s">
        <v>199</v>
      </c>
      <c r="G102" s="3081" t="str">
        <f t="shared" si="49"/>
        <v>NA</v>
      </c>
      <c r="H102" s="3081" t="str">
        <f t="shared" si="50"/>
        <v>NA</v>
      </c>
      <c r="I102" s="3081" t="str">
        <f t="shared" si="51"/>
        <v>NA</v>
      </c>
      <c r="J102" s="3194" t="s">
        <v>199</v>
      </c>
      <c r="K102" s="3194" t="s">
        <v>199</v>
      </c>
      <c r="L102" s="3194" t="s">
        <v>199</v>
      </c>
      <c r="M102" s="3460" t="s">
        <v>199</v>
      </c>
    </row>
    <row r="103" spans="2:13" ht="18" customHeight="1" x14ac:dyDescent="0.2">
      <c r="B103" s="2634" t="s">
        <v>689</v>
      </c>
      <c r="C103" s="2636" t="s">
        <v>689</v>
      </c>
      <c r="D103" s="3461" t="s">
        <v>199</v>
      </c>
      <c r="E103" s="3461" t="s">
        <v>199</v>
      </c>
      <c r="F103" s="3461" t="s">
        <v>199</v>
      </c>
      <c r="G103" s="3081" t="str">
        <f t="shared" si="49"/>
        <v>NA</v>
      </c>
      <c r="H103" s="3081" t="str">
        <f t="shared" si="50"/>
        <v>NA</v>
      </c>
      <c r="I103" s="3081" t="str">
        <f t="shared" si="51"/>
        <v>NA</v>
      </c>
      <c r="J103" s="3194" t="s">
        <v>199</v>
      </c>
      <c r="K103" s="3194" t="s">
        <v>199</v>
      </c>
      <c r="L103" s="3194" t="s">
        <v>199</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NO</v>
      </c>
      <c r="E105" s="70" t="str">
        <f>IF(E92="NO","NO","IE")</f>
        <v>NO</v>
      </c>
      <c r="F105" s="150"/>
      <c r="G105" s="3668" t="str">
        <f>IF(SUM(D105)=0,"NA",J105/D105)</f>
        <v>NA</v>
      </c>
      <c r="H105" s="3668" t="str">
        <f>IF(SUM(E105)=0,"NA",K105/E105)</f>
        <v>NA</v>
      </c>
      <c r="I105" s="3669"/>
      <c r="J105" s="70" t="str">
        <f>IF(J92="NO","NO","IE")</f>
        <v>NO</v>
      </c>
      <c r="K105" s="70" t="str">
        <f>IF(K92="NO","NO","IE")</f>
        <v>NO</v>
      </c>
      <c r="L105" s="3195"/>
      <c r="M105" s="3460" t="str">
        <f>IF(M92="NO","NO","IE")</f>
        <v>NO</v>
      </c>
    </row>
    <row r="106" spans="2:13" ht="18" customHeight="1" x14ac:dyDescent="0.2">
      <c r="B106" s="2634" t="s">
        <v>672</v>
      </c>
      <c r="C106" s="2636" t="s">
        <v>672</v>
      </c>
      <c r="D106" s="70" t="str">
        <f t="shared" ref="D106:E116" si="52">IF(D93="NO","NO","IE")</f>
        <v>NO</v>
      </c>
      <c r="E106" s="70" t="str">
        <f t="shared" si="52"/>
        <v>NO</v>
      </c>
      <c r="F106" s="150"/>
      <c r="G106" s="3668" t="str">
        <f t="shared" ref="G106:G116" si="53">IF(SUM(D106)=0,"NA",J106/D106)</f>
        <v>NA</v>
      </c>
      <c r="H106" s="3668" t="str">
        <f t="shared" ref="H106:H116" si="54">IF(SUM(E106)=0,"NA",K106/E106)</f>
        <v>NA</v>
      </c>
      <c r="I106" s="3669"/>
      <c r="J106" s="70" t="str">
        <f t="shared" ref="J106:K106" si="55">IF(J93="NO","NO","IE")</f>
        <v>NO</v>
      </c>
      <c r="K106" s="70" t="str">
        <f t="shared" si="55"/>
        <v>NO</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NO</v>
      </c>
      <c r="E108" s="70" t="str">
        <f t="shared" si="52"/>
        <v>NO</v>
      </c>
      <c r="F108" s="150"/>
      <c r="G108" s="3668" t="str">
        <f t="shared" si="53"/>
        <v>NA</v>
      </c>
      <c r="H108" s="3668" t="str">
        <f t="shared" si="54"/>
        <v>NA</v>
      </c>
      <c r="I108" s="3669"/>
      <c r="J108" s="70" t="str">
        <f t="shared" ref="J108:K108" si="59">IF(J95="NO","NO","IE")</f>
        <v>NO</v>
      </c>
      <c r="K108" s="70" t="str">
        <f t="shared" si="59"/>
        <v>NO</v>
      </c>
      <c r="L108" s="3195"/>
      <c r="M108" s="3460" t="str">
        <f t="shared" ref="M108" si="60">IF(M95="NO","NO","IE")</f>
        <v>NO</v>
      </c>
    </row>
    <row r="109" spans="2:13" ht="18" customHeight="1" x14ac:dyDescent="0.2">
      <c r="B109" s="2634" t="s">
        <v>676</v>
      </c>
      <c r="C109" s="2636" t="s">
        <v>676</v>
      </c>
      <c r="D109" s="70" t="str">
        <f t="shared" si="52"/>
        <v>NO</v>
      </c>
      <c r="E109" s="70" t="str">
        <f t="shared" si="52"/>
        <v>NO</v>
      </c>
      <c r="F109" s="150"/>
      <c r="G109" s="3668" t="str">
        <f t="shared" si="53"/>
        <v>NA</v>
      </c>
      <c r="H109" s="3668" t="str">
        <f t="shared" si="54"/>
        <v>NA</v>
      </c>
      <c r="I109" s="3669"/>
      <c r="J109" s="70" t="str">
        <f t="shared" ref="J109:K109" si="61">IF(J96="NO","NO","IE")</f>
        <v>NO</v>
      </c>
      <c r="K109" s="70" t="str">
        <f t="shared" si="61"/>
        <v>NO</v>
      </c>
      <c r="L109" s="3195"/>
      <c r="M109" s="3460" t="str">
        <f t="shared" ref="M109" si="62">IF(M96="NO","NO","IE")</f>
        <v>NO</v>
      </c>
    </row>
    <row r="110" spans="2:13" ht="18" customHeight="1" x14ac:dyDescent="0.2">
      <c r="B110" s="2634" t="s">
        <v>677</v>
      </c>
      <c r="C110" s="2636" t="s">
        <v>677</v>
      </c>
      <c r="D110" s="70" t="str">
        <f t="shared" si="52"/>
        <v>NO</v>
      </c>
      <c r="E110" s="70" t="str">
        <f t="shared" si="52"/>
        <v>NO</v>
      </c>
      <c r="F110" s="150"/>
      <c r="G110" s="3668" t="str">
        <f t="shared" si="53"/>
        <v>NA</v>
      </c>
      <c r="H110" s="3668" t="str">
        <f t="shared" si="54"/>
        <v>NA</v>
      </c>
      <c r="I110" s="3669"/>
      <c r="J110" s="70" t="str">
        <f t="shared" ref="J110:K110" si="63">IF(J97="NO","NO","IE")</f>
        <v>NO</v>
      </c>
      <c r="K110" s="70" t="str">
        <f t="shared" si="63"/>
        <v>NO</v>
      </c>
      <c r="L110" s="3195"/>
      <c r="M110" s="3460" t="str">
        <f t="shared" ref="M110" si="64">IF(M97="NO","NO","IE")</f>
        <v>NO</v>
      </c>
    </row>
    <row r="111" spans="2:13" ht="18" customHeight="1" x14ac:dyDescent="0.2">
      <c r="B111" s="2634" t="s">
        <v>679</v>
      </c>
      <c r="C111" s="2636" t="s">
        <v>679</v>
      </c>
      <c r="D111" s="70" t="str">
        <f t="shared" si="52"/>
        <v>NO</v>
      </c>
      <c r="E111" s="70" t="str">
        <f t="shared" si="52"/>
        <v>NO</v>
      </c>
      <c r="F111" s="150"/>
      <c r="G111" s="3668" t="str">
        <f t="shared" si="53"/>
        <v>NA</v>
      </c>
      <c r="H111" s="3668" t="str">
        <f t="shared" si="54"/>
        <v>NA</v>
      </c>
      <c r="I111" s="3669"/>
      <c r="J111" s="70" t="str">
        <f t="shared" ref="J111:K111" si="65">IF(J98="NO","NO","IE")</f>
        <v>NO</v>
      </c>
      <c r="K111" s="70" t="str">
        <f t="shared" si="65"/>
        <v>NO</v>
      </c>
      <c r="L111" s="3195"/>
      <c r="M111" s="3460" t="str">
        <f t="shared" ref="M111" si="66">IF(M98="NO","NO","IE")</f>
        <v>NO</v>
      </c>
    </row>
    <row r="112" spans="2:13" ht="18" customHeight="1" x14ac:dyDescent="0.2">
      <c r="B112" s="2634" t="s">
        <v>681</v>
      </c>
      <c r="C112" s="2636" t="s">
        <v>681</v>
      </c>
      <c r="D112" s="70" t="str">
        <f t="shared" si="52"/>
        <v>NO</v>
      </c>
      <c r="E112" s="70" t="str">
        <f t="shared" si="52"/>
        <v>NO</v>
      </c>
      <c r="F112" s="150"/>
      <c r="G112" s="3668" t="str">
        <f t="shared" si="53"/>
        <v>NA</v>
      </c>
      <c r="H112" s="3668" t="str">
        <f t="shared" si="54"/>
        <v>NA</v>
      </c>
      <c r="I112" s="3669"/>
      <c r="J112" s="70" t="str">
        <f t="shared" ref="J112:K112" si="67">IF(J99="NO","NO","IE")</f>
        <v>NO</v>
      </c>
      <c r="K112" s="70" t="str">
        <f t="shared" si="67"/>
        <v>NO</v>
      </c>
      <c r="L112" s="3195"/>
      <c r="M112" s="3460" t="str">
        <f t="shared" ref="M112" si="68">IF(M99="NO","NO","IE")</f>
        <v>NO</v>
      </c>
    </row>
    <row r="113" spans="2:13" ht="18" customHeight="1" x14ac:dyDescent="0.2">
      <c r="B113" s="2634" t="s">
        <v>683</v>
      </c>
      <c r="C113" s="2636" t="s">
        <v>683</v>
      </c>
      <c r="D113" s="70" t="str">
        <f t="shared" si="52"/>
        <v>NO</v>
      </c>
      <c r="E113" s="70" t="str">
        <f t="shared" si="52"/>
        <v>NO</v>
      </c>
      <c r="F113" s="150"/>
      <c r="G113" s="3668" t="str">
        <f t="shared" si="53"/>
        <v>NA</v>
      </c>
      <c r="H113" s="3668" t="str">
        <f t="shared" si="54"/>
        <v>NA</v>
      </c>
      <c r="I113" s="3669"/>
      <c r="J113" s="70" t="str">
        <f t="shared" ref="J113:K113" si="69">IF(J100="NO","NO","IE")</f>
        <v>NO</v>
      </c>
      <c r="K113" s="70" t="str">
        <f t="shared" si="69"/>
        <v>NO</v>
      </c>
      <c r="L113" s="3195"/>
      <c r="M113" s="3460" t="str">
        <f t="shared" ref="M113" si="70">IF(M100="NO","NO","IE")</f>
        <v>NO</v>
      </c>
    </row>
    <row r="114" spans="2:13" ht="18" customHeight="1" x14ac:dyDescent="0.2">
      <c r="B114" s="2634" t="s">
        <v>686</v>
      </c>
      <c r="C114" s="2636" t="s">
        <v>686</v>
      </c>
      <c r="D114" s="70" t="str">
        <f t="shared" si="52"/>
        <v>NO</v>
      </c>
      <c r="E114" s="70" t="str">
        <f t="shared" si="52"/>
        <v>NO</v>
      </c>
      <c r="F114" s="150"/>
      <c r="G114" s="3668" t="str">
        <f t="shared" si="53"/>
        <v>NA</v>
      </c>
      <c r="H114" s="3668" t="str">
        <f t="shared" si="54"/>
        <v>NA</v>
      </c>
      <c r="I114" s="3669"/>
      <c r="J114" s="70" t="str">
        <f t="shared" ref="J114:K114" si="71">IF(J101="NO","NO","IE")</f>
        <v>NO</v>
      </c>
      <c r="K114" s="70" t="str">
        <f t="shared" si="71"/>
        <v>NO</v>
      </c>
      <c r="L114" s="3195"/>
      <c r="M114" s="3460" t="str">
        <f t="shared" ref="M114" si="72">IF(M101="NO","NO","IE")</f>
        <v>NO</v>
      </c>
    </row>
    <row r="115" spans="2:13" ht="18" customHeight="1" x14ac:dyDescent="0.2">
      <c r="B115" s="2634" t="s">
        <v>688</v>
      </c>
      <c r="C115" s="2636" t="s">
        <v>688</v>
      </c>
      <c r="D115" s="70" t="str">
        <f t="shared" si="52"/>
        <v>NO</v>
      </c>
      <c r="E115" s="70" t="str">
        <f t="shared" si="52"/>
        <v>NO</v>
      </c>
      <c r="F115" s="150"/>
      <c r="G115" s="3668" t="str">
        <f t="shared" si="53"/>
        <v>NA</v>
      </c>
      <c r="H115" s="3668" t="str">
        <f t="shared" si="54"/>
        <v>NA</v>
      </c>
      <c r="I115" s="3669"/>
      <c r="J115" s="70" t="str">
        <f t="shared" ref="J115:K115" si="73">IF(J102="NO","NO","IE")</f>
        <v>NO</v>
      </c>
      <c r="K115" s="70" t="str">
        <f t="shared" si="73"/>
        <v>NO</v>
      </c>
      <c r="L115" s="3195"/>
      <c r="M115" s="3460" t="str">
        <f t="shared" ref="M115" si="74">IF(M102="NO","NO","IE")</f>
        <v>NO</v>
      </c>
    </row>
    <row r="116" spans="2:13" ht="18" customHeight="1" x14ac:dyDescent="0.2">
      <c r="B116" s="2634" t="s">
        <v>689</v>
      </c>
      <c r="C116" s="2636" t="s">
        <v>689</v>
      </c>
      <c r="D116" s="70" t="str">
        <f t="shared" si="52"/>
        <v>NO</v>
      </c>
      <c r="E116" s="70" t="str">
        <f t="shared" si="52"/>
        <v>NO</v>
      </c>
      <c r="F116" s="150"/>
      <c r="G116" s="3668" t="str">
        <f t="shared" si="53"/>
        <v>NA</v>
      </c>
      <c r="H116" s="3668" t="str">
        <f t="shared" si="54"/>
        <v>NA</v>
      </c>
      <c r="I116" s="3669"/>
      <c r="J116" s="70" t="str">
        <f t="shared" ref="J116:K116" si="75">IF(J103="NO","NO","IE")</f>
        <v>NO</v>
      </c>
      <c r="K116" s="70" t="str">
        <f t="shared" si="75"/>
        <v>NO</v>
      </c>
      <c r="L116" s="3195"/>
      <c r="M116" s="3460" t="str">
        <f t="shared" ref="M116" si="76">IF(M103="NO","NO","IE")</f>
        <v>NO</v>
      </c>
    </row>
    <row r="117" spans="2:13" ht="18" customHeight="1" x14ac:dyDescent="0.2">
      <c r="B117" s="147" t="s">
        <v>898</v>
      </c>
      <c r="C117" s="2524"/>
      <c r="D117" s="150"/>
      <c r="E117" s="150"/>
      <c r="F117" s="150"/>
      <c r="G117" s="3669"/>
      <c r="H117" s="3669"/>
      <c r="I117" s="3669"/>
      <c r="J117" s="3081" t="str">
        <f>IF(SUM(J118:J129)=0,"NO",SUM(J118:J129))</f>
        <v>NO</v>
      </c>
      <c r="K117" s="3081" t="str">
        <f>IF(SUM(K118:K129)=0,"NO",SUM(K118:K129))</f>
        <v>NO</v>
      </c>
      <c r="L117" s="3081" t="str">
        <f>IF(SUM(L118:L129)=0,"NO",SUM(L118:L129))</f>
        <v>NO</v>
      </c>
      <c r="M117" s="3193" t="str">
        <f>IF(SUM(M118:M129)=0,"NO",SUM(M118:M129))</f>
        <v>NO</v>
      </c>
    </row>
    <row r="118" spans="2:13" ht="18" customHeight="1" x14ac:dyDescent="0.2">
      <c r="B118" s="2634" t="s">
        <v>671</v>
      </c>
      <c r="C118" s="2636" t="s">
        <v>671</v>
      </c>
      <c r="D118" s="3461" t="s">
        <v>199</v>
      </c>
      <c r="E118" s="3461" t="s">
        <v>199</v>
      </c>
      <c r="F118" s="3461" t="s">
        <v>199</v>
      </c>
      <c r="G118" s="4443" t="str">
        <f>IF(SUM(D118)=0,"NA",J118/D118)</f>
        <v>NA</v>
      </c>
      <c r="H118" s="3081" t="str">
        <f>IF(SUM(E118)=0,"NA",K118/E118)</f>
        <v>NA</v>
      </c>
      <c r="I118" s="3081" t="str">
        <f>IF(SUM(F118)=0,"NA",L118/F118)</f>
        <v>NA</v>
      </c>
      <c r="J118" s="3194" t="s">
        <v>199</v>
      </c>
      <c r="K118" s="3194" t="s">
        <v>199</v>
      </c>
      <c r="L118" s="3194" t="s">
        <v>199</v>
      </c>
      <c r="M118" s="3460" t="s">
        <v>199</v>
      </c>
    </row>
    <row r="119" spans="2:13" ht="18" customHeight="1" x14ac:dyDescent="0.2">
      <c r="B119" s="2634" t="s">
        <v>672</v>
      </c>
      <c r="C119" s="2636" t="s">
        <v>672</v>
      </c>
      <c r="D119" s="3461" t="s">
        <v>199</v>
      </c>
      <c r="E119" s="3461" t="s">
        <v>199</v>
      </c>
      <c r="F119" s="3461" t="s">
        <v>199</v>
      </c>
      <c r="G119" s="4443" t="str">
        <f t="shared" ref="G119:G129" si="77">IF(SUM(D119)=0,"NA",J119/D119)</f>
        <v>NA</v>
      </c>
      <c r="H119" s="3081" t="str">
        <f t="shared" ref="H119:H129" si="78">IF(SUM(E119)=0,"NA",K119/E119)</f>
        <v>NA</v>
      </c>
      <c r="I119" s="3081" t="str">
        <f t="shared" ref="I119:I129" si="79">IF(SUM(F119)=0,"NA",L119/F119)</f>
        <v>NA</v>
      </c>
      <c r="J119" s="3194" t="s">
        <v>199</v>
      </c>
      <c r="K119" s="3194" t="s">
        <v>199</v>
      </c>
      <c r="L119" s="3194" t="s">
        <v>199</v>
      </c>
      <c r="M119" s="3460" t="s">
        <v>199</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t="s">
        <v>199</v>
      </c>
      <c r="E121" s="3461" t="s">
        <v>199</v>
      </c>
      <c r="F121" s="3461" t="s">
        <v>199</v>
      </c>
      <c r="G121" s="4443" t="str">
        <f t="shared" si="77"/>
        <v>NA</v>
      </c>
      <c r="H121" s="3081" t="str">
        <f t="shared" si="78"/>
        <v>NA</v>
      </c>
      <c r="I121" s="3081" t="str">
        <f t="shared" si="79"/>
        <v>NA</v>
      </c>
      <c r="J121" s="3194" t="s">
        <v>199</v>
      </c>
      <c r="K121" s="3194" t="s">
        <v>199</v>
      </c>
      <c r="L121" s="3194" t="s">
        <v>199</v>
      </c>
      <c r="M121" s="3460" t="s">
        <v>199</v>
      </c>
    </row>
    <row r="122" spans="2:13" ht="18" customHeight="1" x14ac:dyDescent="0.2">
      <c r="B122" s="2634" t="s">
        <v>676</v>
      </c>
      <c r="C122" s="2636" t="s">
        <v>676</v>
      </c>
      <c r="D122" s="3461" t="s">
        <v>199</v>
      </c>
      <c r="E122" s="3461" t="s">
        <v>199</v>
      </c>
      <c r="F122" s="3461" t="s">
        <v>199</v>
      </c>
      <c r="G122" s="4443" t="str">
        <f t="shared" si="77"/>
        <v>NA</v>
      </c>
      <c r="H122" s="3081" t="str">
        <f t="shared" si="78"/>
        <v>NA</v>
      </c>
      <c r="I122" s="3081" t="str">
        <f t="shared" si="79"/>
        <v>NA</v>
      </c>
      <c r="J122" s="3194" t="s">
        <v>199</v>
      </c>
      <c r="K122" s="3194" t="s">
        <v>199</v>
      </c>
      <c r="L122" s="3194" t="s">
        <v>199</v>
      </c>
      <c r="M122" s="3460" t="s">
        <v>199</v>
      </c>
    </row>
    <row r="123" spans="2:13" ht="18" customHeight="1" x14ac:dyDescent="0.2">
      <c r="B123" s="2634" t="s">
        <v>677</v>
      </c>
      <c r="C123" s="2636" t="s">
        <v>677</v>
      </c>
      <c r="D123" s="3461" t="s">
        <v>199</v>
      </c>
      <c r="E123" s="3461" t="s">
        <v>199</v>
      </c>
      <c r="F123" s="3461" t="s">
        <v>199</v>
      </c>
      <c r="G123" s="4443" t="str">
        <f t="shared" si="77"/>
        <v>NA</v>
      </c>
      <c r="H123" s="3081" t="str">
        <f t="shared" si="78"/>
        <v>NA</v>
      </c>
      <c r="I123" s="3081" t="str">
        <f t="shared" si="79"/>
        <v>NA</v>
      </c>
      <c r="J123" s="3194" t="s">
        <v>199</v>
      </c>
      <c r="K123" s="3194" t="s">
        <v>199</v>
      </c>
      <c r="L123" s="3194" t="s">
        <v>199</v>
      </c>
      <c r="M123" s="3460" t="s">
        <v>199</v>
      </c>
    </row>
    <row r="124" spans="2:13" ht="18" customHeight="1" x14ac:dyDescent="0.2">
      <c r="B124" s="2634" t="s">
        <v>679</v>
      </c>
      <c r="C124" s="2636" t="s">
        <v>679</v>
      </c>
      <c r="D124" s="3461" t="s">
        <v>199</v>
      </c>
      <c r="E124" s="3461" t="s">
        <v>199</v>
      </c>
      <c r="F124" s="3461" t="s">
        <v>199</v>
      </c>
      <c r="G124" s="4443" t="str">
        <f t="shared" si="77"/>
        <v>NA</v>
      </c>
      <c r="H124" s="3081" t="str">
        <f t="shared" si="78"/>
        <v>NA</v>
      </c>
      <c r="I124" s="3081" t="str">
        <f t="shared" si="79"/>
        <v>NA</v>
      </c>
      <c r="J124" s="3194" t="s">
        <v>199</v>
      </c>
      <c r="K124" s="3194" t="s">
        <v>199</v>
      </c>
      <c r="L124" s="3194" t="s">
        <v>199</v>
      </c>
      <c r="M124" s="3460" t="s">
        <v>199</v>
      </c>
    </row>
    <row r="125" spans="2:13" ht="18" customHeight="1" x14ac:dyDescent="0.2">
      <c r="B125" s="2634" t="s">
        <v>681</v>
      </c>
      <c r="C125" s="2636" t="s">
        <v>681</v>
      </c>
      <c r="D125" s="3461" t="s">
        <v>199</v>
      </c>
      <c r="E125" s="3461" t="s">
        <v>199</v>
      </c>
      <c r="F125" s="3461" t="s">
        <v>199</v>
      </c>
      <c r="G125" s="4443" t="str">
        <f t="shared" si="77"/>
        <v>NA</v>
      </c>
      <c r="H125" s="3081" t="str">
        <f t="shared" si="78"/>
        <v>NA</v>
      </c>
      <c r="I125" s="3081" t="str">
        <f t="shared" si="79"/>
        <v>NA</v>
      </c>
      <c r="J125" s="3194" t="s">
        <v>199</v>
      </c>
      <c r="K125" s="3194" t="s">
        <v>199</v>
      </c>
      <c r="L125" s="3194" t="s">
        <v>199</v>
      </c>
      <c r="M125" s="3460" t="s">
        <v>199</v>
      </c>
    </row>
    <row r="126" spans="2:13" ht="18" customHeight="1" x14ac:dyDescent="0.2">
      <c r="B126" s="2634" t="s">
        <v>683</v>
      </c>
      <c r="C126" s="2636" t="s">
        <v>683</v>
      </c>
      <c r="D126" s="3461" t="s">
        <v>199</v>
      </c>
      <c r="E126" s="3461" t="s">
        <v>199</v>
      </c>
      <c r="F126" s="3461" t="s">
        <v>199</v>
      </c>
      <c r="G126" s="4443" t="str">
        <f t="shared" si="77"/>
        <v>NA</v>
      </c>
      <c r="H126" s="3081" t="str">
        <f t="shared" si="78"/>
        <v>NA</v>
      </c>
      <c r="I126" s="3081" t="str">
        <f t="shared" si="79"/>
        <v>NA</v>
      </c>
      <c r="J126" s="3194" t="s">
        <v>199</v>
      </c>
      <c r="K126" s="3194" t="s">
        <v>199</v>
      </c>
      <c r="L126" s="3194" t="s">
        <v>199</v>
      </c>
      <c r="M126" s="3460" t="s">
        <v>199</v>
      </c>
    </row>
    <row r="127" spans="2:13" ht="18" customHeight="1" x14ac:dyDescent="0.2">
      <c r="B127" s="2634" t="s">
        <v>686</v>
      </c>
      <c r="C127" s="2636" t="s">
        <v>686</v>
      </c>
      <c r="D127" s="3461" t="s">
        <v>199</v>
      </c>
      <c r="E127" s="3461" t="s">
        <v>199</v>
      </c>
      <c r="F127" s="3461" t="s">
        <v>199</v>
      </c>
      <c r="G127" s="4443" t="str">
        <f t="shared" si="77"/>
        <v>NA</v>
      </c>
      <c r="H127" s="3081" t="str">
        <f t="shared" si="78"/>
        <v>NA</v>
      </c>
      <c r="I127" s="3081" t="str">
        <f t="shared" si="79"/>
        <v>NA</v>
      </c>
      <c r="J127" s="3194" t="s">
        <v>199</v>
      </c>
      <c r="K127" s="3194" t="s">
        <v>199</v>
      </c>
      <c r="L127" s="3194" t="s">
        <v>199</v>
      </c>
      <c r="M127" s="3460" t="s">
        <v>199</v>
      </c>
    </row>
    <row r="128" spans="2:13" ht="18" customHeight="1" x14ac:dyDescent="0.2">
      <c r="B128" s="2634" t="s">
        <v>688</v>
      </c>
      <c r="C128" s="2636" t="s">
        <v>688</v>
      </c>
      <c r="D128" s="3461" t="s">
        <v>199</v>
      </c>
      <c r="E128" s="3461" t="s">
        <v>199</v>
      </c>
      <c r="F128" s="3461" t="s">
        <v>199</v>
      </c>
      <c r="G128" s="4443" t="str">
        <f t="shared" si="77"/>
        <v>NA</v>
      </c>
      <c r="H128" s="3081" t="str">
        <f t="shared" si="78"/>
        <v>NA</v>
      </c>
      <c r="I128" s="3081" t="str">
        <f t="shared" si="79"/>
        <v>NA</v>
      </c>
      <c r="J128" s="3194" t="s">
        <v>199</v>
      </c>
      <c r="K128" s="3194" t="s">
        <v>199</v>
      </c>
      <c r="L128" s="3194" t="s">
        <v>199</v>
      </c>
      <c r="M128" s="3460" t="s">
        <v>199</v>
      </c>
    </row>
    <row r="129" spans="2:13" ht="18" customHeight="1" x14ac:dyDescent="0.2">
      <c r="B129" s="2634" t="s">
        <v>689</v>
      </c>
      <c r="C129" s="2636" t="s">
        <v>689</v>
      </c>
      <c r="D129" s="3461" t="s">
        <v>199</v>
      </c>
      <c r="E129" s="3461" t="s">
        <v>199</v>
      </c>
      <c r="F129" s="3461" t="s">
        <v>199</v>
      </c>
      <c r="G129" s="4443" t="str">
        <f t="shared" si="77"/>
        <v>NA</v>
      </c>
      <c r="H129" s="3081" t="str">
        <f t="shared" si="78"/>
        <v>NA</v>
      </c>
      <c r="I129" s="3081" t="str">
        <f t="shared" si="79"/>
        <v>NA</v>
      </c>
      <c r="J129" s="3194" t="s">
        <v>199</v>
      </c>
      <c r="K129" s="3194" t="s">
        <v>199</v>
      </c>
      <c r="L129" s="3194" t="s">
        <v>199</v>
      </c>
      <c r="M129" s="3460" t="s">
        <v>199</v>
      </c>
    </row>
    <row r="130" spans="2:13" ht="18" customHeight="1" x14ac:dyDescent="0.2">
      <c r="B130" s="147" t="s">
        <v>659</v>
      </c>
      <c r="C130" s="2524"/>
      <c r="D130" s="2053"/>
      <c r="E130" s="2053"/>
      <c r="F130" s="2053"/>
      <c r="G130" s="3670"/>
      <c r="H130" s="3670"/>
      <c r="I130" s="3670"/>
      <c r="J130" s="3081" t="str">
        <f>IF(SUM(J131,J144)=0,"NO",SUM(J131,J144))</f>
        <v>NO</v>
      </c>
      <c r="K130" s="3081" t="str">
        <f>IF(SUM(K131,K144)=0,"NO",SUM(K131,K144))</f>
        <v>NO</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t="str">
        <f>IF(SUM(K132:K143)=0,"NO",SUM(K132:K143))</f>
        <v>NO</v>
      </c>
      <c r="L131" s="3196"/>
      <c r="M131" s="3193" t="str">
        <f>IF(SUM(M132:M143)=0,"NO",SUM(M132:M143))</f>
        <v>NO</v>
      </c>
    </row>
    <row r="132" spans="2:13" ht="18" customHeight="1" x14ac:dyDescent="0.2">
      <c r="B132" s="2634" t="s">
        <v>671</v>
      </c>
      <c r="C132" s="2636" t="s">
        <v>671</v>
      </c>
      <c r="D132" s="3461" t="s">
        <v>199</v>
      </c>
      <c r="E132" s="3461" t="s">
        <v>199</v>
      </c>
      <c r="F132" s="346"/>
      <c r="G132" s="3668" t="str">
        <f>IF(SUM(D132)=0,"NA",J132/D132)</f>
        <v>NA</v>
      </c>
      <c r="H132" s="3081" t="str">
        <f>IF(SUM(E132)=0,"NA",K132/E132)</f>
        <v>NA</v>
      </c>
      <c r="I132" s="4253"/>
      <c r="J132" s="3194" t="s">
        <v>199</v>
      </c>
      <c r="K132" s="3194" t="s">
        <v>199</v>
      </c>
      <c r="L132" s="3196"/>
      <c r="M132" s="3460" t="s">
        <v>199</v>
      </c>
    </row>
    <row r="133" spans="2:13" ht="18" customHeight="1" x14ac:dyDescent="0.2">
      <c r="B133" s="2634" t="s">
        <v>672</v>
      </c>
      <c r="C133" s="2636" t="s">
        <v>672</v>
      </c>
      <c r="D133" s="3461" t="s">
        <v>199</v>
      </c>
      <c r="E133" s="3461" t="s">
        <v>199</v>
      </c>
      <c r="F133" s="346"/>
      <c r="G133" s="3668" t="str">
        <f t="shared" ref="G133:G143" si="80">IF(SUM(D133)=0,"NA",J133/D133)</f>
        <v>NA</v>
      </c>
      <c r="H133" s="3081" t="str">
        <f t="shared" ref="H133:H143" si="81">IF(SUM(E133)=0,"NA",K133/E133)</f>
        <v>NA</v>
      </c>
      <c r="I133" s="4253"/>
      <c r="J133" s="3194" t="s">
        <v>199</v>
      </c>
      <c r="K133" s="3194" t="s">
        <v>199</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t="s">
        <v>199</v>
      </c>
      <c r="F135" s="346"/>
      <c r="G135" s="3668" t="str">
        <f t="shared" si="80"/>
        <v>NA</v>
      </c>
      <c r="H135" s="3081" t="str">
        <f t="shared" si="81"/>
        <v>NA</v>
      </c>
      <c r="I135" s="4253"/>
      <c r="J135" s="3194" t="s">
        <v>199</v>
      </c>
      <c r="K135" s="3194" t="s">
        <v>199</v>
      </c>
      <c r="L135" s="3196"/>
      <c r="M135" s="3460" t="s">
        <v>199</v>
      </c>
    </row>
    <row r="136" spans="2:13" ht="18" customHeight="1" x14ac:dyDescent="0.2">
      <c r="B136" s="2634" t="s">
        <v>676</v>
      </c>
      <c r="C136" s="2636" t="s">
        <v>676</v>
      </c>
      <c r="D136" s="3461" t="s">
        <v>199</v>
      </c>
      <c r="E136" s="3461" t="s">
        <v>199</v>
      </c>
      <c r="F136" s="346"/>
      <c r="G136" s="3668" t="str">
        <f t="shared" si="80"/>
        <v>NA</v>
      </c>
      <c r="H136" s="3081" t="str">
        <f t="shared" si="81"/>
        <v>NA</v>
      </c>
      <c r="I136" s="4253"/>
      <c r="J136" s="3194" t="s">
        <v>199</v>
      </c>
      <c r="K136" s="3194" t="s">
        <v>199</v>
      </c>
      <c r="L136" s="3196"/>
      <c r="M136" s="3460" t="s">
        <v>199</v>
      </c>
    </row>
    <row r="137" spans="2:13" ht="18" customHeight="1" x14ac:dyDescent="0.2">
      <c r="B137" s="2634" t="s">
        <v>677</v>
      </c>
      <c r="C137" s="2636" t="s">
        <v>677</v>
      </c>
      <c r="D137" s="3461" t="s">
        <v>199</v>
      </c>
      <c r="E137" s="3461" t="s">
        <v>199</v>
      </c>
      <c r="F137" s="346"/>
      <c r="G137" s="3668" t="str">
        <f t="shared" si="80"/>
        <v>NA</v>
      </c>
      <c r="H137" s="3081" t="str">
        <f t="shared" si="81"/>
        <v>NA</v>
      </c>
      <c r="I137" s="4253"/>
      <c r="J137" s="3194" t="s">
        <v>199</v>
      </c>
      <c r="K137" s="3194" t="s">
        <v>199</v>
      </c>
      <c r="L137" s="3196"/>
      <c r="M137" s="3460" t="s">
        <v>199</v>
      </c>
    </row>
    <row r="138" spans="2:13" ht="18" customHeight="1" x14ac:dyDescent="0.2">
      <c r="B138" s="2634" t="s">
        <v>679</v>
      </c>
      <c r="C138" s="2636" t="s">
        <v>679</v>
      </c>
      <c r="D138" s="3461" t="s">
        <v>199</v>
      </c>
      <c r="E138" s="3461" t="s">
        <v>199</v>
      </c>
      <c r="F138" s="346"/>
      <c r="G138" s="3668" t="str">
        <f t="shared" si="80"/>
        <v>NA</v>
      </c>
      <c r="H138" s="3081" t="str">
        <f t="shared" si="81"/>
        <v>NA</v>
      </c>
      <c r="I138" s="4253"/>
      <c r="J138" s="3194" t="s">
        <v>199</v>
      </c>
      <c r="K138" s="3194" t="s">
        <v>199</v>
      </c>
      <c r="L138" s="3196"/>
      <c r="M138" s="3460" t="s">
        <v>199</v>
      </c>
    </row>
    <row r="139" spans="2:13" ht="18" customHeight="1" x14ac:dyDescent="0.2">
      <c r="B139" s="2634" t="s">
        <v>681</v>
      </c>
      <c r="C139" s="2636" t="s">
        <v>681</v>
      </c>
      <c r="D139" s="3461" t="s">
        <v>199</v>
      </c>
      <c r="E139" s="3461" t="s">
        <v>199</v>
      </c>
      <c r="F139" s="346"/>
      <c r="G139" s="3668" t="str">
        <f t="shared" si="80"/>
        <v>NA</v>
      </c>
      <c r="H139" s="3081" t="str">
        <f t="shared" si="81"/>
        <v>NA</v>
      </c>
      <c r="I139" s="4253"/>
      <c r="J139" s="3194" t="s">
        <v>199</v>
      </c>
      <c r="K139" s="3194" t="s">
        <v>199</v>
      </c>
      <c r="L139" s="3196"/>
      <c r="M139" s="3460" t="s">
        <v>199</v>
      </c>
    </row>
    <row r="140" spans="2:13" ht="18" customHeight="1" x14ac:dyDescent="0.2">
      <c r="B140" s="2634" t="s">
        <v>683</v>
      </c>
      <c r="C140" s="2636" t="s">
        <v>683</v>
      </c>
      <c r="D140" s="3461" t="s">
        <v>199</v>
      </c>
      <c r="E140" s="3461" t="s">
        <v>199</v>
      </c>
      <c r="F140" s="346"/>
      <c r="G140" s="3668" t="str">
        <f t="shared" si="80"/>
        <v>NA</v>
      </c>
      <c r="H140" s="3081" t="str">
        <f t="shared" si="81"/>
        <v>NA</v>
      </c>
      <c r="I140" s="4253"/>
      <c r="J140" s="3194" t="s">
        <v>199</v>
      </c>
      <c r="K140" s="3194" t="s">
        <v>199</v>
      </c>
      <c r="L140" s="3196"/>
      <c r="M140" s="3460" t="s">
        <v>199</v>
      </c>
    </row>
    <row r="141" spans="2:13" ht="18" customHeight="1" x14ac:dyDescent="0.2">
      <c r="B141" s="2634" t="s">
        <v>686</v>
      </c>
      <c r="C141" s="2636" t="s">
        <v>686</v>
      </c>
      <c r="D141" s="3461" t="s">
        <v>199</v>
      </c>
      <c r="E141" s="3461" t="s">
        <v>199</v>
      </c>
      <c r="F141" s="346"/>
      <c r="G141" s="3668" t="str">
        <f t="shared" si="80"/>
        <v>NA</v>
      </c>
      <c r="H141" s="3081" t="str">
        <f t="shared" si="81"/>
        <v>NA</v>
      </c>
      <c r="I141" s="4253"/>
      <c r="J141" s="3194" t="s">
        <v>199</v>
      </c>
      <c r="K141" s="3194" t="s">
        <v>199</v>
      </c>
      <c r="L141" s="3196"/>
      <c r="M141" s="3460" t="s">
        <v>199</v>
      </c>
    </row>
    <row r="142" spans="2:13" ht="18" customHeight="1" x14ac:dyDescent="0.2">
      <c r="B142" s="2634" t="s">
        <v>688</v>
      </c>
      <c r="C142" s="2636" t="s">
        <v>688</v>
      </c>
      <c r="D142" s="3461" t="s">
        <v>199</v>
      </c>
      <c r="E142" s="3461" t="s">
        <v>199</v>
      </c>
      <c r="F142" s="346"/>
      <c r="G142" s="3668" t="str">
        <f t="shared" si="80"/>
        <v>NA</v>
      </c>
      <c r="H142" s="3081" t="str">
        <f t="shared" si="81"/>
        <v>NA</v>
      </c>
      <c r="I142" s="4253"/>
      <c r="J142" s="3194" t="s">
        <v>199</v>
      </c>
      <c r="K142" s="3194" t="s">
        <v>199</v>
      </c>
      <c r="L142" s="3196"/>
      <c r="M142" s="3460" t="s">
        <v>199</v>
      </c>
    </row>
    <row r="143" spans="2:13" ht="18" customHeight="1" x14ac:dyDescent="0.2">
      <c r="B143" s="2634" t="s">
        <v>689</v>
      </c>
      <c r="C143" s="2636" t="s">
        <v>689</v>
      </c>
      <c r="D143" s="3461" t="s">
        <v>199</v>
      </c>
      <c r="E143" s="3461" t="s">
        <v>199</v>
      </c>
      <c r="F143" s="346"/>
      <c r="G143" s="3668" t="str">
        <f t="shared" si="80"/>
        <v>NA</v>
      </c>
      <c r="H143" s="3081" t="str">
        <f t="shared" si="81"/>
        <v>NA</v>
      </c>
      <c r="I143" s="4253"/>
      <c r="J143" s="3194" t="s">
        <v>199</v>
      </c>
      <c r="K143" s="3194" t="s">
        <v>199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t="str">
        <f>IF(SUM(K147:K158)=0,"NO",SUM(K147:K158))</f>
        <v>NO</v>
      </c>
      <c r="L146" s="3081" t="str">
        <f>IF(SUM(L147:L158)=0,"NO",SUM(L147:L158))</f>
        <v>NO</v>
      </c>
      <c r="M146" s="3193" t="str">
        <f>IF(SUM(M147:M158)=0,"NO",SUM(M147:M158))</f>
        <v>NO</v>
      </c>
    </row>
    <row r="147" spans="2:13" ht="18" customHeight="1" x14ac:dyDescent="0.2">
      <c r="B147" s="2634" t="s">
        <v>671</v>
      </c>
      <c r="C147" s="2636" t="s">
        <v>671</v>
      </c>
      <c r="D147" s="3461" t="s">
        <v>199</v>
      </c>
      <c r="E147" s="3461" t="s">
        <v>199</v>
      </c>
      <c r="F147" s="3461" t="s">
        <v>199</v>
      </c>
      <c r="G147" s="3668" t="str">
        <f>IFERROR(J147/D147,"NA")</f>
        <v>NA</v>
      </c>
      <c r="H147" s="3081" t="str">
        <f>IF(SUM(E147)=0,"NA",K147/E147)</f>
        <v>NA</v>
      </c>
      <c r="I147" s="3081" t="str">
        <f>IF(SUM(F147)=0,"NA",L147/F147)</f>
        <v>NA</v>
      </c>
      <c r="J147" s="3194" t="s">
        <v>199</v>
      </c>
      <c r="K147" s="3194" t="s">
        <v>199</v>
      </c>
      <c r="L147" s="3194" t="s">
        <v>199</v>
      </c>
      <c r="M147" s="3460" t="s">
        <v>199</v>
      </c>
    </row>
    <row r="148" spans="2:13" ht="18" customHeight="1" x14ac:dyDescent="0.2">
      <c r="B148" s="2634" t="s">
        <v>672</v>
      </c>
      <c r="C148" s="2636" t="s">
        <v>672</v>
      </c>
      <c r="D148" s="3461" t="s">
        <v>199</v>
      </c>
      <c r="E148" s="3461" t="s">
        <v>199</v>
      </c>
      <c r="F148" s="3461" t="s">
        <v>199</v>
      </c>
      <c r="G148" s="3668" t="str">
        <f t="shared" ref="G148:G158" si="82">IFERROR(J148/D148,"NA")</f>
        <v>NA</v>
      </c>
      <c r="H148" s="3081" t="str">
        <f t="shared" ref="H148:H158" si="83">IF(SUM(E148)=0,"NA",K148/E148)</f>
        <v>NA</v>
      </c>
      <c r="I148" s="3081" t="str">
        <f t="shared" ref="I148:I158" si="84">IF(SUM(F148)=0,"NA",L148/F148)</f>
        <v>NA</v>
      </c>
      <c r="J148" s="3194" t="s">
        <v>199</v>
      </c>
      <c r="K148" s="3194" t="s">
        <v>199</v>
      </c>
      <c r="L148" s="3194" t="s">
        <v>199</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t="s">
        <v>199</v>
      </c>
      <c r="E150" s="3461" t="s">
        <v>199</v>
      </c>
      <c r="F150" s="3461" t="s">
        <v>199</v>
      </c>
      <c r="G150" s="3668" t="str">
        <f t="shared" si="82"/>
        <v>NA</v>
      </c>
      <c r="H150" s="3081" t="str">
        <f t="shared" si="83"/>
        <v>NA</v>
      </c>
      <c r="I150" s="3081" t="str">
        <f t="shared" si="84"/>
        <v>NA</v>
      </c>
      <c r="J150" s="3194" t="s">
        <v>199</v>
      </c>
      <c r="K150" s="3194" t="s">
        <v>199</v>
      </c>
      <c r="L150" s="3194" t="s">
        <v>199</v>
      </c>
      <c r="M150" s="3460" t="s">
        <v>199</v>
      </c>
    </row>
    <row r="151" spans="2:13" ht="18" customHeight="1" x14ac:dyDescent="0.2">
      <c r="B151" s="2634" t="s">
        <v>676</v>
      </c>
      <c r="C151" s="2636" t="s">
        <v>676</v>
      </c>
      <c r="D151" s="3461" t="s">
        <v>199</v>
      </c>
      <c r="E151" s="3461" t="s">
        <v>199</v>
      </c>
      <c r="F151" s="3461" t="s">
        <v>199</v>
      </c>
      <c r="G151" s="3668" t="str">
        <f t="shared" si="82"/>
        <v>NA</v>
      </c>
      <c r="H151" s="3081" t="str">
        <f t="shared" si="83"/>
        <v>NA</v>
      </c>
      <c r="I151" s="3081" t="str">
        <f t="shared" si="84"/>
        <v>NA</v>
      </c>
      <c r="J151" s="3194" t="s">
        <v>199</v>
      </c>
      <c r="K151" s="3194" t="s">
        <v>199</v>
      </c>
      <c r="L151" s="3194" t="s">
        <v>199</v>
      </c>
      <c r="M151" s="3460" t="s">
        <v>199</v>
      </c>
    </row>
    <row r="152" spans="2:13" ht="18" customHeight="1" x14ac:dyDescent="0.2">
      <c r="B152" s="2634" t="s">
        <v>677</v>
      </c>
      <c r="C152" s="2636" t="s">
        <v>677</v>
      </c>
      <c r="D152" s="3461" t="s">
        <v>199</v>
      </c>
      <c r="E152" s="3461" t="s">
        <v>199</v>
      </c>
      <c r="F152" s="3461" t="s">
        <v>199</v>
      </c>
      <c r="G152" s="3668" t="str">
        <f t="shared" si="82"/>
        <v>NA</v>
      </c>
      <c r="H152" s="3081" t="str">
        <f t="shared" si="83"/>
        <v>NA</v>
      </c>
      <c r="I152" s="3081" t="str">
        <f t="shared" si="84"/>
        <v>NA</v>
      </c>
      <c r="J152" s="3194" t="s">
        <v>199</v>
      </c>
      <c r="K152" s="3194" t="s">
        <v>199</v>
      </c>
      <c r="L152" s="3194" t="s">
        <v>199</v>
      </c>
      <c r="M152" s="3460" t="s">
        <v>199</v>
      </c>
    </row>
    <row r="153" spans="2:13" ht="18" customHeight="1" x14ac:dyDescent="0.2">
      <c r="B153" s="2634" t="s">
        <v>679</v>
      </c>
      <c r="C153" s="2636" t="s">
        <v>679</v>
      </c>
      <c r="D153" s="3461" t="s">
        <v>199</v>
      </c>
      <c r="E153" s="3461" t="s">
        <v>199</v>
      </c>
      <c r="F153" s="3461" t="s">
        <v>199</v>
      </c>
      <c r="G153" s="3668" t="str">
        <f t="shared" si="82"/>
        <v>NA</v>
      </c>
      <c r="H153" s="3081" t="str">
        <f t="shared" si="83"/>
        <v>NA</v>
      </c>
      <c r="I153" s="3081" t="str">
        <f t="shared" si="84"/>
        <v>NA</v>
      </c>
      <c r="J153" s="3194" t="s">
        <v>199</v>
      </c>
      <c r="K153" s="3194" t="s">
        <v>199</v>
      </c>
      <c r="L153" s="3194" t="s">
        <v>199</v>
      </c>
      <c r="M153" s="3460" t="s">
        <v>199</v>
      </c>
    </row>
    <row r="154" spans="2:13" ht="18" customHeight="1" x14ac:dyDescent="0.2">
      <c r="B154" s="2634" t="s">
        <v>681</v>
      </c>
      <c r="C154" s="2636" t="s">
        <v>681</v>
      </c>
      <c r="D154" s="3461" t="s">
        <v>199</v>
      </c>
      <c r="E154" s="3461" t="s">
        <v>199</v>
      </c>
      <c r="F154" s="3461" t="s">
        <v>199</v>
      </c>
      <c r="G154" s="3668" t="str">
        <f t="shared" si="82"/>
        <v>NA</v>
      </c>
      <c r="H154" s="3081" t="str">
        <f t="shared" si="83"/>
        <v>NA</v>
      </c>
      <c r="I154" s="3081" t="str">
        <f t="shared" si="84"/>
        <v>NA</v>
      </c>
      <c r="J154" s="3194" t="s">
        <v>199</v>
      </c>
      <c r="K154" s="3194" t="s">
        <v>199</v>
      </c>
      <c r="L154" s="3194" t="s">
        <v>199</v>
      </c>
      <c r="M154" s="3460" t="s">
        <v>199</v>
      </c>
    </row>
    <row r="155" spans="2:13" ht="18" customHeight="1" x14ac:dyDescent="0.2">
      <c r="B155" s="2634" t="s">
        <v>683</v>
      </c>
      <c r="C155" s="2636" t="s">
        <v>683</v>
      </c>
      <c r="D155" s="3461" t="s">
        <v>199</v>
      </c>
      <c r="E155" s="3461" t="s">
        <v>199</v>
      </c>
      <c r="F155" s="3461" t="s">
        <v>199</v>
      </c>
      <c r="G155" s="3668" t="str">
        <f t="shared" si="82"/>
        <v>NA</v>
      </c>
      <c r="H155" s="3081" t="str">
        <f t="shared" si="83"/>
        <v>NA</v>
      </c>
      <c r="I155" s="3081" t="str">
        <f t="shared" si="84"/>
        <v>NA</v>
      </c>
      <c r="J155" s="3194" t="s">
        <v>199</v>
      </c>
      <c r="K155" s="3194" t="s">
        <v>199</v>
      </c>
      <c r="L155" s="3194" t="s">
        <v>199</v>
      </c>
      <c r="M155" s="3460" t="s">
        <v>199</v>
      </c>
    </row>
    <row r="156" spans="2:13" ht="18" customHeight="1" x14ac:dyDescent="0.2">
      <c r="B156" s="2634" t="s">
        <v>686</v>
      </c>
      <c r="C156" s="2636" t="s">
        <v>686</v>
      </c>
      <c r="D156" s="3461" t="s">
        <v>199</v>
      </c>
      <c r="E156" s="3461" t="s">
        <v>199</v>
      </c>
      <c r="F156" s="3461" t="s">
        <v>199</v>
      </c>
      <c r="G156" s="3668" t="str">
        <f t="shared" si="82"/>
        <v>NA</v>
      </c>
      <c r="H156" s="3081" t="str">
        <f t="shared" si="83"/>
        <v>NA</v>
      </c>
      <c r="I156" s="3081" t="str">
        <f t="shared" si="84"/>
        <v>NA</v>
      </c>
      <c r="J156" s="3194" t="s">
        <v>199</v>
      </c>
      <c r="K156" s="3194" t="s">
        <v>199</v>
      </c>
      <c r="L156" s="3194" t="s">
        <v>199</v>
      </c>
      <c r="M156" s="3460" t="s">
        <v>199</v>
      </c>
    </row>
    <row r="157" spans="2:13" ht="18" customHeight="1" x14ac:dyDescent="0.2">
      <c r="B157" s="2634" t="s">
        <v>688</v>
      </c>
      <c r="C157" s="2636" t="s">
        <v>688</v>
      </c>
      <c r="D157" s="3461" t="s">
        <v>199</v>
      </c>
      <c r="E157" s="3461" t="s">
        <v>199</v>
      </c>
      <c r="F157" s="3461" t="s">
        <v>199</v>
      </c>
      <c r="G157" s="3668" t="str">
        <f t="shared" si="82"/>
        <v>NA</v>
      </c>
      <c r="H157" s="3081" t="str">
        <f t="shared" si="83"/>
        <v>NA</v>
      </c>
      <c r="I157" s="3081" t="str">
        <f t="shared" si="84"/>
        <v>NA</v>
      </c>
      <c r="J157" s="3194" t="s">
        <v>199</v>
      </c>
      <c r="K157" s="3194" t="s">
        <v>199</v>
      </c>
      <c r="L157" s="3194" t="s">
        <v>199</v>
      </c>
      <c r="M157" s="3460" t="s">
        <v>199</v>
      </c>
    </row>
    <row r="158" spans="2:13" ht="18" customHeight="1" x14ac:dyDescent="0.2">
      <c r="B158" s="2634" t="s">
        <v>689</v>
      </c>
      <c r="C158" s="2636" t="s">
        <v>689</v>
      </c>
      <c r="D158" s="3461" t="s">
        <v>199</v>
      </c>
      <c r="E158" s="3461" t="s">
        <v>199</v>
      </c>
      <c r="F158" s="3461" t="s">
        <v>199</v>
      </c>
      <c r="G158" s="3668" t="str">
        <f t="shared" si="82"/>
        <v>NA</v>
      </c>
      <c r="H158" s="3081" t="str">
        <f t="shared" si="83"/>
        <v>NA</v>
      </c>
      <c r="I158" s="3081" t="str">
        <f t="shared" si="84"/>
        <v>NA</v>
      </c>
      <c r="J158" s="3194" t="s">
        <v>199</v>
      </c>
      <c r="K158" s="3194" t="s">
        <v>199</v>
      </c>
      <c r="L158" s="3194" t="s">
        <v>199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1.7501563316838749</v>
      </c>
      <c r="K162" s="3200">
        <f t="shared" ref="K162:M162" si="90">IF(SUM(K163,K165,K175)=0,"NO",SUM(K163,K165,K175))</f>
        <v>8.7473035402362154</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1.7501563316838749</v>
      </c>
      <c r="K163" s="3197">
        <f t="shared" ref="K163:M163" si="91">K164</f>
        <v>8.1579102723476069</v>
      </c>
      <c r="L163" s="3197" t="str">
        <f t="shared" si="91"/>
        <v>NO</v>
      </c>
      <c r="M163" s="3193" t="str">
        <f t="shared" si="91"/>
        <v>NO</v>
      </c>
    </row>
    <row r="164" spans="2:13" ht="18" customHeight="1" x14ac:dyDescent="0.2">
      <c r="B164" s="2634" t="s">
        <v>905</v>
      </c>
      <c r="C164" s="2636" t="s">
        <v>905</v>
      </c>
      <c r="D164" s="4136">
        <v>11.667708877892498</v>
      </c>
      <c r="E164" s="4136">
        <v>163.15820544695211</v>
      </c>
      <c r="F164" s="2635" t="s">
        <v>199</v>
      </c>
      <c r="G164" s="3668">
        <f t="shared" ref="G164" si="92">IF(SUM(D164)=0,"NA",J164/D164)</f>
        <v>0.15000000000000002</v>
      </c>
      <c r="H164" s="3081">
        <f t="shared" ref="H164" si="93">IF(SUM(E164)=0,"NA",K164/E164)</f>
        <v>5.000000000000001E-2</v>
      </c>
      <c r="I164" s="3081" t="str">
        <f t="shared" ref="I164" si="94">IF(SUM(F164)=0,"NA",L164/F164)</f>
        <v>NA</v>
      </c>
      <c r="J164" s="3120">
        <v>1.7501563316838749</v>
      </c>
      <c r="K164" s="3120">
        <v>8.1579102723476069</v>
      </c>
      <c r="L164" s="3120" t="s">
        <v>199</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0.58939326788860846</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0.58939326788860846</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0.58939326788860846</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0.58939326788860846</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634.89614176008422</v>
      </c>
      <c r="D10" s="2517">
        <f t="shared" ref="D10:I10" si="0">IF(SUM(D11,D21,D32:D33,D43:D48)=0,"NO",SUM(D11,D21,D32:D33,D43:D48))</f>
        <v>2839.2119857675448</v>
      </c>
      <c r="E10" s="2517">
        <f t="shared" si="0"/>
        <v>38.888468938179933</v>
      </c>
      <c r="F10" s="2517">
        <f t="shared" si="0"/>
        <v>26.592482533729303</v>
      </c>
      <c r="G10" s="2517">
        <f t="shared" si="0"/>
        <v>449.08986997018991</v>
      </c>
      <c r="H10" s="2925">
        <f t="shared" si="0"/>
        <v>26.196909081594409</v>
      </c>
      <c r="I10" s="2934" t="str">
        <f t="shared" si="0"/>
        <v>NO</v>
      </c>
      <c r="J10" s="2935">
        <f>IF(SUM(C10:E10)=0,"NO",SUM(C10)+28*SUM(D10)+265*SUM(E10))</f>
        <v>90438.276011869006</v>
      </c>
    </row>
    <row r="11" spans="1:10" ht="18" customHeight="1" x14ac:dyDescent="0.2">
      <c r="B11" s="234" t="s">
        <v>923</v>
      </c>
      <c r="C11" s="2936"/>
      <c r="D11" s="2163">
        <f>SUM(D17:D20)</f>
        <v>2569.3894671904864</v>
      </c>
      <c r="E11" s="1955"/>
      <c r="F11" s="1955"/>
      <c r="G11" s="1955"/>
      <c r="H11" s="2937"/>
      <c r="I11" s="2937"/>
      <c r="J11" s="1887">
        <f>IF(SUM(C11:E11)=0,"NO",SUM(C11)+28*SUM(D11)+265*SUM(E11))</f>
        <v>71942.905081333622</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1393.6299998699894</v>
      </c>
      <c r="E17" s="615"/>
      <c r="F17" s="615"/>
      <c r="G17" s="615"/>
      <c r="H17" s="2939"/>
      <c r="I17" s="2940"/>
      <c r="J17" s="2943">
        <f>IF(SUM(C17:E17)=0,"NO",SUM(C17)+28*SUM(D17)+265*SUM(E17))</f>
        <v>39021.639996359707</v>
      </c>
    </row>
    <row r="18" spans="2:10" ht="18" customHeight="1" x14ac:dyDescent="0.2">
      <c r="B18" s="228" t="s">
        <v>930</v>
      </c>
      <c r="C18" s="2945"/>
      <c r="D18" s="2930">
        <f>Table3.A!G24</f>
        <v>1160.019047815744</v>
      </c>
      <c r="E18" s="615"/>
      <c r="F18" s="615"/>
      <c r="G18" s="615"/>
      <c r="H18" s="2939"/>
      <c r="I18" s="2940"/>
      <c r="J18" s="2943">
        <f t="shared" ref="J18:J22" si="1">IF(SUM(C18:E18)=0,"NO",SUM(C18)+28*SUM(D18)+265*SUM(E18))</f>
        <v>32480.533338840833</v>
      </c>
    </row>
    <row r="19" spans="2:10" ht="18" customHeight="1" x14ac:dyDescent="0.2">
      <c r="B19" s="228" t="s">
        <v>931</v>
      </c>
      <c r="C19" s="2945"/>
      <c r="D19" s="2930">
        <f>Table3.A!G27</f>
        <v>3.6864661877530489</v>
      </c>
      <c r="E19" s="615"/>
      <c r="F19" s="615"/>
      <c r="G19" s="615"/>
      <c r="H19" s="2939"/>
      <c r="I19" s="2940"/>
      <c r="J19" s="2943">
        <f t="shared" si="1"/>
        <v>103.22105325708537</v>
      </c>
    </row>
    <row r="20" spans="2:10" ht="18" customHeight="1" thickBot="1" x14ac:dyDescent="0.25">
      <c r="B20" s="1296" t="s">
        <v>932</v>
      </c>
      <c r="C20" s="2946"/>
      <c r="D20" s="2517">
        <f>Table3.A!G30</f>
        <v>12.053953317000001</v>
      </c>
      <c r="E20" s="1948"/>
      <c r="F20" s="1948"/>
      <c r="G20" s="1948"/>
      <c r="H20" s="2947"/>
      <c r="I20" s="2948"/>
      <c r="J20" s="2943">
        <f t="shared" si="1"/>
        <v>337.51069287600001</v>
      </c>
    </row>
    <row r="21" spans="2:10" ht="18" customHeight="1" x14ac:dyDescent="0.2">
      <c r="B21" s="1455" t="s">
        <v>933</v>
      </c>
      <c r="C21" s="2949"/>
      <c r="D21" s="2930">
        <f>IF(SUM(D27:D31)=0,"NO",SUM(D27:D31))</f>
        <v>242.96166149963264</v>
      </c>
      <c r="E21" s="2930">
        <f>IF(SUM(E27:E31)=0,"NO",SUM(E27:E31))</f>
        <v>0.941740524859082</v>
      </c>
      <c r="F21" s="2160"/>
      <c r="G21" s="2160"/>
      <c r="H21" s="2930" t="str">
        <f>IF(SUM(H27:H31)=0,"NE",SUM(H27:H31))</f>
        <v>NE</v>
      </c>
      <c r="I21" s="2940"/>
      <c r="J21" s="2950">
        <f t="shared" si="1"/>
        <v>7052.487761077371</v>
      </c>
    </row>
    <row r="22" spans="2:10" ht="18" customHeight="1" x14ac:dyDescent="0.2">
      <c r="B22" s="228" t="s">
        <v>934</v>
      </c>
      <c r="C22" s="2945"/>
      <c r="D22" s="2930">
        <f>D27</f>
        <v>120.30520191744382</v>
      </c>
      <c r="E22" s="2930">
        <f>E27</f>
        <v>0.31625366801053623</v>
      </c>
      <c r="F22" s="2951"/>
      <c r="G22" s="2951"/>
      <c r="H22" s="2930" t="str">
        <f>H27</f>
        <v>NE</v>
      </c>
      <c r="I22" s="2940"/>
      <c r="J22" s="2943">
        <f t="shared" si="1"/>
        <v>3452.3528757112194</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120.30520191744382</v>
      </c>
      <c r="E27" s="2930">
        <f>'Table3.B(b)'!X15</f>
        <v>0.31625366801053623</v>
      </c>
      <c r="F27" s="615"/>
      <c r="G27" s="615"/>
      <c r="H27" s="2953" t="s">
        <v>221</v>
      </c>
      <c r="I27" s="2940"/>
      <c r="J27" s="2943">
        <f t="shared" ref="J27:J49" si="2">IF(SUM(C27:E27)=0,"NO",SUM(C27)+28*SUM(D27)+265*SUM(E27))</f>
        <v>3452.3528757112194</v>
      </c>
    </row>
    <row r="28" spans="2:10" ht="18" customHeight="1" x14ac:dyDescent="0.2">
      <c r="B28" s="228" t="s">
        <v>938</v>
      </c>
      <c r="C28" s="2945"/>
      <c r="D28" s="2930">
        <f>'Table3.B(a)'!K24</f>
        <v>60.00759912462793</v>
      </c>
      <c r="E28" s="2930" t="str">
        <f>'Table3.B(b)'!X24</f>
        <v>NA</v>
      </c>
      <c r="F28" s="2951"/>
      <c r="G28" s="2951"/>
      <c r="H28" s="2953" t="s">
        <v>221</v>
      </c>
      <c r="I28" s="2940"/>
      <c r="J28" s="2943">
        <f t="shared" si="2"/>
        <v>1680.2127754895821</v>
      </c>
    </row>
    <row r="29" spans="2:10" ht="18" customHeight="1" x14ac:dyDescent="0.2">
      <c r="B29" s="228" t="s">
        <v>939</v>
      </c>
      <c r="C29" s="2945"/>
      <c r="D29" s="2930">
        <f>'Table3.B(a)'!K27</f>
        <v>59.40020692014221</v>
      </c>
      <c r="E29" s="2930">
        <f>'Table3.B(b)'!X27</f>
        <v>6.2622861674140592E-2</v>
      </c>
      <c r="F29" s="2951"/>
      <c r="G29" s="2951"/>
      <c r="H29" s="2953" t="s">
        <v>221</v>
      </c>
      <c r="I29" s="2940"/>
      <c r="J29" s="2943">
        <f t="shared" si="2"/>
        <v>1679.8008521076292</v>
      </c>
    </row>
    <row r="30" spans="2:10" ht="18" customHeight="1" x14ac:dyDescent="0.2">
      <c r="B30" s="228" t="s">
        <v>940</v>
      </c>
      <c r="C30" s="2945"/>
      <c r="D30" s="2930">
        <f>'Table3.B(a)'!K30</f>
        <v>3.2486535374186709</v>
      </c>
      <c r="E30" s="2930">
        <f>'Table3.B(b)'!X30</f>
        <v>0.1895988359580679</v>
      </c>
      <c r="F30" s="2951"/>
      <c r="G30" s="2951"/>
      <c r="H30" s="2953" t="s">
        <v>221</v>
      </c>
      <c r="I30" s="2940"/>
      <c r="J30" s="2943">
        <f t="shared" si="2"/>
        <v>141.20599057661076</v>
      </c>
    </row>
    <row r="31" spans="2:10" ht="18" customHeight="1" thickBot="1" x14ac:dyDescent="0.25">
      <c r="B31" s="1296" t="s">
        <v>941</v>
      </c>
      <c r="C31" s="2954"/>
      <c r="D31" s="2955"/>
      <c r="E31" s="2956">
        <f>SUM('Table3.B(b)'!Y47:Z47)</f>
        <v>0.37326515921633735</v>
      </c>
      <c r="F31" s="2957"/>
      <c r="G31" s="2957"/>
      <c r="H31" s="2958"/>
      <c r="I31" s="2959"/>
      <c r="J31" s="2943">
        <f t="shared" si="2"/>
        <v>98.915267192329395</v>
      </c>
    </row>
    <row r="32" spans="2:10" ht="18" customHeight="1" thickBot="1" x14ac:dyDescent="0.25">
      <c r="B32" s="2658" t="s">
        <v>942</v>
      </c>
      <c r="C32" s="2960"/>
      <c r="D32" s="2961">
        <f>Table3.C!G11</f>
        <v>15.345732206395644</v>
      </c>
      <c r="E32" s="2962"/>
      <c r="F32" s="2962"/>
      <c r="G32" s="2962"/>
      <c r="H32" s="2963" t="s">
        <v>221</v>
      </c>
      <c r="I32" s="2964"/>
      <c r="J32" s="2965">
        <f t="shared" si="2"/>
        <v>429.68050177907804</v>
      </c>
    </row>
    <row r="33" spans="2:10" ht="18" customHeight="1" x14ac:dyDescent="0.2">
      <c r="B33" s="2657" t="s">
        <v>943</v>
      </c>
      <c r="C33" s="2966"/>
      <c r="D33" s="2967" t="s">
        <v>221</v>
      </c>
      <c r="E33" s="2967">
        <f>IF(SUM(E34,E42)=0,"NO",SUM(E34,E42))</f>
        <v>37.486452732198742</v>
      </c>
      <c r="F33" s="2967" t="str">
        <f>IF(SUM(F34,F42)=0,"NO",SUM(F34,F42))</f>
        <v>NO</v>
      </c>
      <c r="G33" s="2967" t="str">
        <f>IF(SUM(G34,G42)=0,"NO",SUM(G34,G42))</f>
        <v>NO</v>
      </c>
      <c r="H33" s="2967" t="str">
        <f>IF(SUM(H34,H42)=0,"NO",SUM(H34,H42))</f>
        <v>NO</v>
      </c>
      <c r="I33" s="2968"/>
      <c r="J33" s="2969">
        <f t="shared" si="2"/>
        <v>9933.9099740326674</v>
      </c>
    </row>
    <row r="34" spans="2:10" ht="18" customHeight="1" x14ac:dyDescent="0.2">
      <c r="B34" s="228" t="s">
        <v>944</v>
      </c>
      <c r="C34" s="2970"/>
      <c r="D34" s="615"/>
      <c r="E34" s="2971">
        <f>IF(SUM(E35:E41)=0,"NO",SUM(E35:E41))</f>
        <v>27.610678595113335</v>
      </c>
      <c r="F34" s="615"/>
      <c r="G34" s="615"/>
      <c r="H34" s="615"/>
      <c r="I34" s="2940"/>
      <c r="J34" s="2972">
        <f t="shared" si="2"/>
        <v>7316.8298277050335</v>
      </c>
    </row>
    <row r="35" spans="2:10" ht="18" customHeight="1" x14ac:dyDescent="0.2">
      <c r="B35" s="232" t="s">
        <v>945</v>
      </c>
      <c r="C35" s="2970"/>
      <c r="D35" s="615"/>
      <c r="E35" s="4248">
        <f>Table3.D!F11</f>
        <v>4.6386357508362659</v>
      </c>
      <c r="F35" s="615"/>
      <c r="G35" s="615"/>
      <c r="H35" s="615"/>
      <c r="I35" s="2940"/>
      <c r="J35" s="2972">
        <f t="shared" si="2"/>
        <v>1229.2384739716106</v>
      </c>
    </row>
    <row r="36" spans="2:10" ht="18" customHeight="1" x14ac:dyDescent="0.2">
      <c r="B36" s="232" t="s">
        <v>946</v>
      </c>
      <c r="C36" s="2970"/>
      <c r="D36" s="615"/>
      <c r="E36" s="4248">
        <f>Table3.D!F12</f>
        <v>0.93705399775658371</v>
      </c>
      <c r="F36" s="615"/>
      <c r="G36" s="615"/>
      <c r="H36" s="615"/>
      <c r="I36" s="2940"/>
      <c r="J36" s="2972">
        <f t="shared" si="2"/>
        <v>248.31930940549469</v>
      </c>
    </row>
    <row r="37" spans="2:10" ht="18" customHeight="1" x14ac:dyDescent="0.2">
      <c r="B37" s="232" t="s">
        <v>947</v>
      </c>
      <c r="C37" s="2970"/>
      <c r="D37" s="615"/>
      <c r="E37" s="4248">
        <f>Table3.D!F16</f>
        <v>14.190984620539094</v>
      </c>
      <c r="F37" s="615"/>
      <c r="G37" s="615"/>
      <c r="H37" s="615"/>
      <c r="I37" s="2940"/>
      <c r="J37" s="2972">
        <f t="shared" si="2"/>
        <v>3760.6109244428599</v>
      </c>
    </row>
    <row r="38" spans="2:10" ht="18" customHeight="1" x14ac:dyDescent="0.2">
      <c r="B38" s="232" t="s">
        <v>948</v>
      </c>
      <c r="C38" s="2970"/>
      <c r="D38" s="615"/>
      <c r="E38" s="4248">
        <f>Table3.D!F17</f>
        <v>4.7239621787085699</v>
      </c>
      <c r="F38" s="615"/>
      <c r="G38" s="615"/>
      <c r="H38" s="615"/>
      <c r="I38" s="2940"/>
      <c r="J38" s="2972">
        <f t="shared" si="2"/>
        <v>1251.849977357771</v>
      </c>
    </row>
    <row r="39" spans="2:10" ht="26.25" customHeight="1" x14ac:dyDescent="0.2">
      <c r="B39" s="1708" t="s">
        <v>949</v>
      </c>
      <c r="C39" s="2970"/>
      <c r="D39" s="2951"/>
      <c r="E39" s="4248">
        <f>Table3.D!F18</f>
        <v>3.0320420472728178</v>
      </c>
      <c r="F39" s="2951"/>
      <c r="G39" s="2951"/>
      <c r="H39" s="2951"/>
      <c r="I39" s="2940"/>
      <c r="J39" s="2972">
        <f t="shared" si="2"/>
        <v>803.49114252729669</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9.8757741370854042</v>
      </c>
      <c r="F42" s="2957"/>
      <c r="G42" s="2957"/>
      <c r="H42" s="2957"/>
      <c r="I42" s="2976"/>
      <c r="J42" s="2977">
        <f t="shared" si="2"/>
        <v>2617.0801463276321</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11.515124871030508</v>
      </c>
      <c r="E44" s="2984">
        <f>SUM(Table3.F!J10,Table3.F!J20,Table3.F!J23,Table3.F!J26:J27)</f>
        <v>0.46027568112210548</v>
      </c>
      <c r="F44" s="2919">
        <v>26.592482533729303</v>
      </c>
      <c r="G44" s="2919">
        <v>449.08986997018991</v>
      </c>
      <c r="H44" s="2920">
        <v>26.196909081594409</v>
      </c>
      <c r="I44" s="2985" t="s">
        <v>199</v>
      </c>
      <c r="J44" s="2986">
        <f t="shared" si="2"/>
        <v>444.39655188621219</v>
      </c>
    </row>
    <row r="45" spans="2:10" ht="18" customHeight="1" thickBot="1" x14ac:dyDescent="0.25">
      <c r="B45" s="2660" t="s">
        <v>955</v>
      </c>
      <c r="C45" s="2987">
        <f>'Table3.G-J'!E10</f>
        <v>260.25846060066385</v>
      </c>
      <c r="D45" s="2988"/>
      <c r="E45" s="2988"/>
      <c r="F45" s="2988"/>
      <c r="G45" s="2988"/>
      <c r="H45" s="2989"/>
      <c r="I45" s="2990"/>
      <c r="J45" s="2986">
        <f t="shared" si="2"/>
        <v>260.25846060066385</v>
      </c>
    </row>
    <row r="46" spans="2:10" ht="18" customHeight="1" thickBot="1" x14ac:dyDescent="0.25">
      <c r="B46" s="2660" t="s">
        <v>956</v>
      </c>
      <c r="C46" s="2987">
        <f>'Table3.G-J'!E13</f>
        <v>374.63768115942037</v>
      </c>
      <c r="D46" s="2988"/>
      <c r="E46" s="2988"/>
      <c r="F46" s="2988"/>
      <c r="G46" s="2988"/>
      <c r="H46" s="2989"/>
      <c r="I46" s="2990"/>
      <c r="J46" s="2986">
        <f t="shared" si="2"/>
        <v>374.63768115942037</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25381.091000000004</v>
      </c>
      <c r="D10" s="3208"/>
      <c r="E10" s="3208"/>
      <c r="F10" s="3109">
        <f>IF(SUM(C10)=0,"NA",G10*1000/C10)</f>
        <v>54.908199173549683</v>
      </c>
      <c r="G10" s="3209">
        <f>G15</f>
        <v>1393.6299998699894</v>
      </c>
      <c r="I10" s="275" t="s">
        <v>977</v>
      </c>
      <c r="J10" s="276" t="s">
        <v>978</v>
      </c>
      <c r="K10" s="699">
        <v>440.80940832283068</v>
      </c>
      <c r="L10" s="699">
        <v>360.83923386324915</v>
      </c>
      <c r="M10" s="3125">
        <v>541.18750000000011</v>
      </c>
      <c r="N10" s="3125">
        <v>46.441670556438325</v>
      </c>
      <c r="O10" s="2921">
        <v>53.019045047452281</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10.995586798288816</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25381.091000000004</v>
      </c>
      <c r="D15" s="3215"/>
      <c r="E15" s="3215"/>
      <c r="F15" s="3109">
        <f>IF(SUM(C15)=0,"NA",G15*1000/C15)</f>
        <v>54.908199173549683</v>
      </c>
      <c r="G15" s="3216">
        <f>G20</f>
        <v>1393.6299998699894</v>
      </c>
      <c r="I15" s="1780" t="s">
        <v>989</v>
      </c>
      <c r="J15" s="1853" t="s">
        <v>428</v>
      </c>
      <c r="K15" s="3408">
        <v>75</v>
      </c>
      <c r="L15" s="3408">
        <v>58.024168108215626</v>
      </c>
      <c r="M15" s="1563">
        <v>79.987854487101316</v>
      </c>
      <c r="N15" s="1563">
        <v>66.172201952345063</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1393.6299998699894</v>
      </c>
      <c r="I20" s="72"/>
      <c r="J20" s="287"/>
      <c r="K20" s="287"/>
      <c r="L20" s="287"/>
      <c r="M20" s="287"/>
      <c r="N20" s="287"/>
      <c r="O20" s="287"/>
    </row>
    <row r="21" spans="2:15" ht="18" customHeight="1" x14ac:dyDescent="0.2">
      <c r="B21" s="2652" t="s">
        <v>994</v>
      </c>
      <c r="C21" s="3239">
        <v>2496.951</v>
      </c>
      <c r="D21" s="3224">
        <v>208.85158409459819</v>
      </c>
      <c r="E21" s="3224">
        <v>6.1493623663625891</v>
      </c>
      <c r="F21" s="3109">
        <f t="shared" ref="F21:F30" si="0">IF(SUM(C21)=0,"NA",G21*1000/C21)</f>
        <v>84.891528105164923</v>
      </c>
      <c r="G21" s="3206">
        <v>211.96998599371966</v>
      </c>
      <c r="I21" s="72"/>
      <c r="J21" s="287"/>
      <c r="K21" s="287"/>
      <c r="L21" s="287"/>
      <c r="M21" s="287"/>
      <c r="N21" s="287"/>
      <c r="O21" s="287"/>
    </row>
    <row r="22" spans="2:15" ht="18" customHeight="1" x14ac:dyDescent="0.2">
      <c r="B22" s="2652" t="s">
        <v>965</v>
      </c>
      <c r="C22" s="3239">
        <v>22538.935000000001</v>
      </c>
      <c r="D22" s="3224">
        <v>124.93511197027067</v>
      </c>
      <c r="E22" s="3224">
        <v>6.21225</v>
      </c>
      <c r="F22" s="3109">
        <f t="shared" si="0"/>
        <v>51.301479807769077</v>
      </c>
      <c r="G22" s="3206">
        <v>1156.2807187911199</v>
      </c>
      <c r="I22" s="72"/>
      <c r="J22" s="287"/>
      <c r="K22" s="287"/>
      <c r="L22" s="287"/>
      <c r="M22" s="287"/>
      <c r="N22" s="287"/>
      <c r="O22" s="287"/>
    </row>
    <row r="23" spans="2:15" ht="18" customHeight="1" x14ac:dyDescent="0.2">
      <c r="B23" s="2652" t="s">
        <v>966</v>
      </c>
      <c r="C23" s="3239">
        <v>345.20499999999998</v>
      </c>
      <c r="D23" s="3224">
        <v>207.74594972092254</v>
      </c>
      <c r="E23" s="3224">
        <v>5.3539319527033342</v>
      </c>
      <c r="F23" s="3109">
        <f t="shared" si="0"/>
        <v>73.51948866658978</v>
      </c>
      <c r="G23" s="3206">
        <v>25.379295085150122</v>
      </c>
      <c r="I23" s="72"/>
      <c r="J23" s="287"/>
      <c r="K23" s="287"/>
      <c r="L23" s="287"/>
      <c r="M23" s="287"/>
      <c r="N23" s="287"/>
      <c r="O23" s="287"/>
    </row>
    <row r="24" spans="2:15" ht="18" customHeight="1" x14ac:dyDescent="0.2">
      <c r="B24" s="286" t="s">
        <v>995</v>
      </c>
      <c r="C24" s="2654">
        <f>C25</f>
        <v>166526.40700000001</v>
      </c>
      <c r="D24" s="3225"/>
      <c r="E24" s="3225"/>
      <c r="F24" s="3109">
        <f t="shared" si="0"/>
        <v>6.96597656019651</v>
      </c>
      <c r="G24" s="3106">
        <f>G25</f>
        <v>1160.019047815744</v>
      </c>
      <c r="I24" s="72"/>
    </row>
    <row r="25" spans="2:15" ht="18" customHeight="1" x14ac:dyDescent="0.2">
      <c r="B25" s="282" t="s">
        <v>996</v>
      </c>
      <c r="C25" s="2654">
        <f>C26</f>
        <v>166526.40700000001</v>
      </c>
      <c r="D25" s="3225"/>
      <c r="E25" s="3225"/>
      <c r="F25" s="3109">
        <f t="shared" si="0"/>
        <v>6.96597656019651</v>
      </c>
      <c r="G25" s="3106">
        <f>G26</f>
        <v>1160.019047815744</v>
      </c>
    </row>
    <row r="26" spans="2:15" ht="18" customHeight="1" x14ac:dyDescent="0.2">
      <c r="B26" s="2653" t="s">
        <v>967</v>
      </c>
      <c r="C26" s="288">
        <v>166526.40700000001</v>
      </c>
      <c r="D26" s="3226">
        <v>17.132423318743434</v>
      </c>
      <c r="E26" s="3226">
        <v>6.1512977639902457</v>
      </c>
      <c r="F26" s="3109">
        <f t="shared" si="0"/>
        <v>6.96597656019651</v>
      </c>
      <c r="G26" s="3207">
        <v>1160.019047815744</v>
      </c>
    </row>
    <row r="27" spans="2:15" ht="18" customHeight="1" x14ac:dyDescent="0.2">
      <c r="B27" s="286" t="s">
        <v>997</v>
      </c>
      <c r="C27" s="2654">
        <f>C28</f>
        <v>2572.2240000000002</v>
      </c>
      <c r="D27" s="3225"/>
      <c r="E27" s="3225"/>
      <c r="F27" s="3109">
        <f t="shared" si="0"/>
        <v>1.4331824085900173</v>
      </c>
      <c r="G27" s="3106">
        <f>G28</f>
        <v>3.6864661877530489</v>
      </c>
    </row>
    <row r="28" spans="2:15" ht="18" customHeight="1" x14ac:dyDescent="0.2">
      <c r="B28" s="282" t="s">
        <v>998</v>
      </c>
      <c r="C28" s="2654">
        <f>C29</f>
        <v>2572.2240000000002</v>
      </c>
      <c r="D28" s="3225"/>
      <c r="E28" s="3225"/>
      <c r="F28" s="3109">
        <f t="shared" si="0"/>
        <v>1.4331824085900173</v>
      </c>
      <c r="G28" s="3106">
        <f>G29</f>
        <v>3.6864661877530489</v>
      </c>
    </row>
    <row r="29" spans="2:15" ht="18" customHeight="1" x14ac:dyDescent="0.2">
      <c r="B29" s="2653" t="s">
        <v>968</v>
      </c>
      <c r="C29" s="288">
        <v>2572.2240000000002</v>
      </c>
      <c r="D29" s="3226">
        <v>30.974684636503852</v>
      </c>
      <c r="E29" s="3226">
        <v>0.70000000000000007</v>
      </c>
      <c r="F29" s="3109">
        <f t="shared" si="0"/>
        <v>1.4331824085900173</v>
      </c>
      <c r="G29" s="3207">
        <v>3.6864661877530489</v>
      </c>
    </row>
    <row r="30" spans="2:15" ht="18" customHeight="1" x14ac:dyDescent="0.2">
      <c r="B30" s="286" t="s">
        <v>999</v>
      </c>
      <c r="C30" s="2654">
        <f>SUM(C32:C39)</f>
        <v>43857.936999999998</v>
      </c>
      <c r="D30" s="3225"/>
      <c r="E30" s="3225"/>
      <c r="F30" s="3109">
        <f t="shared" si="0"/>
        <v>0.27484086442552008</v>
      </c>
      <c r="G30" s="3106">
        <f>SUM(G32:G39)</f>
        <v>12.053953317000001</v>
      </c>
    </row>
    <row r="31" spans="2:15" ht="18" customHeight="1" x14ac:dyDescent="0.2">
      <c r="B31" s="1304" t="s">
        <v>498</v>
      </c>
      <c r="C31" s="3240"/>
      <c r="D31" s="3228"/>
      <c r="E31" s="3228"/>
      <c r="F31" s="3228"/>
      <c r="G31" s="3229"/>
    </row>
    <row r="32" spans="2:15" ht="18" customHeight="1" x14ac:dyDescent="0.2">
      <c r="B32" s="285" t="s">
        <v>1000</v>
      </c>
      <c r="C32" s="3234">
        <v>18.623000000000001</v>
      </c>
      <c r="D32" s="3230" t="s">
        <v>205</v>
      </c>
      <c r="E32" s="3230" t="s">
        <v>205</v>
      </c>
      <c r="F32" s="3109">
        <f t="shared" ref="F32:F41" si="1">IF(SUM(C32)=0,"NA",G32*1000/C32)</f>
        <v>75.999999999999986</v>
      </c>
      <c r="G32" s="3206">
        <v>1.4153479999999998</v>
      </c>
    </row>
    <row r="33" spans="2:7" ht="18" customHeight="1" x14ac:dyDescent="0.2">
      <c r="B33" s="285" t="s">
        <v>1001</v>
      </c>
      <c r="C33" s="3234">
        <v>1.042</v>
      </c>
      <c r="D33" s="3230" t="s">
        <v>205</v>
      </c>
      <c r="E33" s="3230" t="s">
        <v>205</v>
      </c>
      <c r="F33" s="3109">
        <f t="shared" si="1"/>
        <v>46.018717850287899</v>
      </c>
      <c r="G33" s="3206">
        <v>4.7951503999999992E-2</v>
      </c>
    </row>
    <row r="34" spans="2:7" ht="18" customHeight="1" x14ac:dyDescent="0.2">
      <c r="B34" s="285" t="s">
        <v>1002</v>
      </c>
      <c r="C34" s="3234">
        <v>80.445999999999998</v>
      </c>
      <c r="D34" s="3230" t="s">
        <v>205</v>
      </c>
      <c r="E34" s="3230" t="s">
        <v>205</v>
      </c>
      <c r="F34" s="3109">
        <f t="shared" si="1"/>
        <v>20.000017651592373</v>
      </c>
      <c r="G34" s="3206">
        <v>1.6089214199999999</v>
      </c>
    </row>
    <row r="35" spans="2:7" ht="18" customHeight="1" x14ac:dyDescent="0.2">
      <c r="B35" s="285" t="s">
        <v>1003</v>
      </c>
      <c r="C35" s="3234">
        <v>530.476</v>
      </c>
      <c r="D35" s="3230" t="s">
        <v>205</v>
      </c>
      <c r="E35" s="3230" t="s">
        <v>205</v>
      </c>
      <c r="F35" s="3109">
        <f t="shared" si="1"/>
        <v>5.0000008765712307</v>
      </c>
      <c r="G35" s="3206">
        <v>2.6523804650000002</v>
      </c>
    </row>
    <row r="36" spans="2:7" ht="18" customHeight="1" x14ac:dyDescent="0.2">
      <c r="B36" s="285" t="s">
        <v>1004</v>
      </c>
      <c r="C36" s="3234">
        <v>347.01400000000001</v>
      </c>
      <c r="D36" s="3230" t="s">
        <v>205</v>
      </c>
      <c r="E36" s="3230" t="s">
        <v>205</v>
      </c>
      <c r="F36" s="3109">
        <f t="shared" si="1"/>
        <v>17.999999014448985</v>
      </c>
      <c r="G36" s="3206">
        <v>6.2462516580000003</v>
      </c>
    </row>
    <row r="37" spans="2:7" ht="18" customHeight="1" x14ac:dyDescent="0.2">
      <c r="B37" s="285" t="s">
        <v>1005</v>
      </c>
      <c r="C37" s="3234">
        <v>3.3260000000000001</v>
      </c>
      <c r="D37" s="3230" t="s">
        <v>205</v>
      </c>
      <c r="E37" s="3230" t="s">
        <v>205</v>
      </c>
      <c r="F37" s="3109">
        <f t="shared" si="1"/>
        <v>10.001434155141308</v>
      </c>
      <c r="G37" s="3206">
        <v>3.3264769999999992E-2</v>
      </c>
    </row>
    <row r="38" spans="2:7" ht="18" customHeight="1" x14ac:dyDescent="0.2">
      <c r="B38" s="285" t="s">
        <v>1006</v>
      </c>
      <c r="C38" s="3241">
        <v>42867.540999999997</v>
      </c>
      <c r="D38" s="3230" t="s">
        <v>205</v>
      </c>
      <c r="E38" s="3230" t="s">
        <v>205</v>
      </c>
      <c r="F38" s="3109" t="s">
        <v>205</v>
      </c>
      <c r="G38" s="3231" t="s">
        <v>221</v>
      </c>
    </row>
    <row r="39" spans="2:7" ht="18" customHeight="1" x14ac:dyDescent="0.2">
      <c r="B39" s="285" t="s">
        <v>1007</v>
      </c>
      <c r="C39" s="2654">
        <f>SUM(C41:C45)</f>
        <v>9.4689999999999994</v>
      </c>
      <c r="D39" s="3225"/>
      <c r="E39" s="3225"/>
      <c r="F39" s="3109">
        <f t="shared" si="1"/>
        <v>5.2630161579892274</v>
      </c>
      <c r="G39" s="3106">
        <f>SUM(G41:G45)</f>
        <v>4.9835499999999991E-2</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8.6379999999999999</v>
      </c>
      <c r="D43" s="2974" t="s">
        <v>205</v>
      </c>
      <c r="E43" s="2974" t="s">
        <v>205</v>
      </c>
      <c r="F43" s="3109">
        <f t="shared" si="2"/>
        <v>5.000173651308172</v>
      </c>
      <c r="G43" s="3170">
        <v>4.3191499999999994E-2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0.83099999999999996</v>
      </c>
      <c r="D45" s="3225"/>
      <c r="E45" s="3225"/>
      <c r="F45" s="3109">
        <f>IF(SUM(C45)=0,"NA",G45*1000/C45)</f>
        <v>7.9951865222623351</v>
      </c>
      <c r="G45" s="3106">
        <f>G46</f>
        <v>6.6439999999999997E-3</v>
      </c>
    </row>
    <row r="46" spans="2:7" ht="18" customHeight="1" thickBot="1" x14ac:dyDescent="0.25">
      <c r="B46" s="2655" t="s">
        <v>1013</v>
      </c>
      <c r="C46" s="3243">
        <v>0.83099999999999996</v>
      </c>
      <c r="D46" s="3115" t="s">
        <v>205</v>
      </c>
      <c r="E46" s="3115" t="s">
        <v>205</v>
      </c>
      <c r="F46" s="3232">
        <f>IF(SUM(C46)=0,"NA",G46*1000/C46)</f>
        <v>7.9951865222623351</v>
      </c>
      <c r="G46" s="3172">
        <v>6.6439999999999997E-3</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25381.091000000004</v>
      </c>
      <c r="D10" s="2951"/>
      <c r="E10" s="2951"/>
      <c r="F10" s="2951"/>
      <c r="G10" s="2951"/>
      <c r="H10" s="2951"/>
      <c r="I10" s="3246"/>
      <c r="J10" s="3247">
        <f>IF(SUM(C10)=0,"NA",K10*1000/C10)</f>
        <v>4.7399539254417311</v>
      </c>
      <c r="K10" s="3248">
        <f>K15</f>
        <v>120.30520191744382</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25381.091000000004</v>
      </c>
      <c r="D15" s="3260"/>
      <c r="E15" s="3260"/>
      <c r="F15" s="3260"/>
      <c r="G15" s="3260"/>
      <c r="H15" s="3260"/>
      <c r="I15" s="3255"/>
      <c r="J15" s="3254">
        <f>IF(SUM(C15)=0,"NA",K15*1000/C15)</f>
        <v>4.7399539254417311</v>
      </c>
      <c r="K15" s="3248">
        <f>SUM(K17:K20)</f>
        <v>120.30520191744382</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25381.091000000004</v>
      </c>
      <c r="D20" s="3260"/>
      <c r="E20" s="3260"/>
      <c r="F20" s="3260"/>
      <c r="G20" s="3260"/>
      <c r="H20" s="3260"/>
      <c r="I20" s="3255"/>
      <c r="J20" s="3268">
        <f>IF(SUM(C20)=0,"NA",K20*1000/C20)</f>
        <v>4.7399539254417311</v>
      </c>
      <c r="K20" s="3248">
        <f>SUM(K21:K23)</f>
        <v>120.30520191744382</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2496.951</v>
      </c>
      <c r="D21" s="3290">
        <v>5.7145760696403638</v>
      </c>
      <c r="E21" s="3290">
        <v>94.240489130955424</v>
      </c>
      <c r="F21" s="3290">
        <v>4.4934799404218316E-2</v>
      </c>
      <c r="G21" s="3265">
        <f>Table3.A!K10</f>
        <v>440.80940832283068</v>
      </c>
      <c r="H21" s="3266">
        <v>2.9991180595353453</v>
      </c>
      <c r="I21" s="3267">
        <v>0.24</v>
      </c>
      <c r="J21" s="3268">
        <f>IF(SUM(C21)=0,"NA",K21*1000/C21)</f>
        <v>7.2381727479695366</v>
      </c>
      <c r="K21" s="3244">
        <v>18.073362681215283</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22538.935000000001</v>
      </c>
      <c r="D22" s="3290" t="s">
        <v>199</v>
      </c>
      <c r="E22" s="3290">
        <v>86.244201235473213</v>
      </c>
      <c r="F22" s="3290">
        <v>13.755798764526785</v>
      </c>
      <c r="G22" s="3265">
        <f>Table3.A!L10</f>
        <v>360.83923386324915</v>
      </c>
      <c r="H22" s="3266" t="s">
        <v>205</v>
      </c>
      <c r="I22" s="3267" t="s">
        <v>205</v>
      </c>
      <c r="J22" s="3268">
        <f t="shared" ref="J22:J46" si="0">IF(SUM(C22)=0,"NA",K22*1000/C22)</f>
        <v>4.4827061537785378</v>
      </c>
      <c r="K22" s="3244">
        <v>101.03542262411446</v>
      </c>
      <c r="M22" s="1597" t="s">
        <v>1049</v>
      </c>
      <c r="N22" s="4511" t="s">
        <v>994</v>
      </c>
      <c r="O22" s="1693" t="s">
        <v>1051</v>
      </c>
      <c r="P22" s="1694" t="s">
        <v>1039</v>
      </c>
      <c r="Q22" s="4444">
        <v>2.9515412290316982</v>
      </c>
      <c r="R22" s="4445" t="s">
        <v>199</v>
      </c>
      <c r="S22" s="4445">
        <v>6.4470609105793129</v>
      </c>
      <c r="T22" s="4445">
        <v>0.87474622891367981</v>
      </c>
      <c r="U22" s="4445" t="s">
        <v>199</v>
      </c>
      <c r="V22" s="4445" t="s">
        <v>274</v>
      </c>
      <c r="W22" s="4445" t="s">
        <v>199</v>
      </c>
      <c r="X22" s="4445">
        <v>89.726651631475306</v>
      </c>
      <c r="Y22" s="4446" t="s">
        <v>199</v>
      </c>
      <c r="Z22" s="4446" t="s">
        <v>199</v>
      </c>
      <c r="AA22" s="4446" t="s">
        <v>199</v>
      </c>
      <c r="AB22" s="4447" t="s">
        <v>199</v>
      </c>
    </row>
    <row r="23" spans="2:28" s="84" customFormat="1" ht="18" customHeight="1" x14ac:dyDescent="0.2">
      <c r="B23" s="2661" t="s">
        <v>966</v>
      </c>
      <c r="C23" s="3290">
        <f>Table3.A!C23</f>
        <v>345.20499999999998</v>
      </c>
      <c r="D23" s="3290" t="s">
        <v>199</v>
      </c>
      <c r="E23" s="3290">
        <v>100</v>
      </c>
      <c r="F23" s="3290" t="s">
        <v>199</v>
      </c>
      <c r="G23" s="3265">
        <f>Table3.A!M10</f>
        <v>541.18750000000011</v>
      </c>
      <c r="H23" s="3266">
        <v>1.8177770600580723</v>
      </c>
      <c r="I23" s="3267">
        <v>0.19</v>
      </c>
      <c r="J23" s="3268">
        <f t="shared" si="0"/>
        <v>3.4658148407875711</v>
      </c>
      <c r="K23" s="3244">
        <v>1.1964166121140734</v>
      </c>
      <c r="M23" s="1667" t="s">
        <v>1061</v>
      </c>
      <c r="N23" s="4512"/>
      <c r="O23" s="1695" t="s">
        <v>1042</v>
      </c>
      <c r="P23" s="1696" t="s">
        <v>1040</v>
      </c>
      <c r="Q23" s="4448">
        <v>3.2677932613470726</v>
      </c>
      <c r="R23" s="4165" t="s">
        <v>199</v>
      </c>
      <c r="S23" s="4165">
        <v>6.0534277111624704</v>
      </c>
      <c r="T23" s="4166">
        <v>1.1230199004236996</v>
      </c>
      <c r="U23" s="4166" t="s">
        <v>199</v>
      </c>
      <c r="V23" s="4166" t="s">
        <v>274</v>
      </c>
      <c r="W23" s="4166" t="s">
        <v>199</v>
      </c>
      <c r="X23" s="4166">
        <v>89.55575912706675</v>
      </c>
      <c r="Y23" s="4166" t="s">
        <v>199</v>
      </c>
      <c r="Z23" s="4166" t="s">
        <v>199</v>
      </c>
      <c r="AA23" s="4166" t="s">
        <v>199</v>
      </c>
      <c r="AB23" s="4140" t="s">
        <v>199</v>
      </c>
    </row>
    <row r="24" spans="2:28" s="84" customFormat="1" ht="18" customHeight="1" thickBot="1" x14ac:dyDescent="0.25">
      <c r="B24" s="1646" t="s">
        <v>1062</v>
      </c>
      <c r="C24" s="4172">
        <f>C25</f>
        <v>166526.40700000001</v>
      </c>
      <c r="D24" s="3270"/>
      <c r="E24" s="3270"/>
      <c r="F24" s="3270"/>
      <c r="G24" s="3270"/>
      <c r="H24" s="3270"/>
      <c r="I24" s="3271"/>
      <c r="J24" s="3268">
        <f t="shared" si="0"/>
        <v>0.36034884920460647</v>
      </c>
      <c r="K24" s="3248">
        <f>K25</f>
        <v>60.00759912462793</v>
      </c>
      <c r="M24" s="1659"/>
      <c r="N24" s="4512"/>
      <c r="O24" s="1697"/>
      <c r="P24" s="1696" t="s">
        <v>1041</v>
      </c>
      <c r="Q24" s="4449">
        <v>1.9545259175923047</v>
      </c>
      <c r="R24" s="4450" t="s">
        <v>199</v>
      </c>
      <c r="S24" s="4450">
        <v>8.9224108138088702</v>
      </c>
      <c r="T24" s="4451">
        <v>1.7297554370691897</v>
      </c>
      <c r="U24" s="4451" t="s">
        <v>199</v>
      </c>
      <c r="V24" s="4451" t="s">
        <v>274</v>
      </c>
      <c r="W24" s="4451" t="s">
        <v>199</v>
      </c>
      <c r="X24" s="4451">
        <v>87.393307831529626</v>
      </c>
      <c r="Y24" s="4451" t="s">
        <v>199</v>
      </c>
      <c r="Z24" s="4451" t="s">
        <v>199</v>
      </c>
      <c r="AA24" s="4451" t="s">
        <v>199</v>
      </c>
      <c r="AB24" s="4452" t="s">
        <v>199</v>
      </c>
    </row>
    <row r="25" spans="2:28" s="84" customFormat="1" ht="18" customHeight="1" x14ac:dyDescent="0.2">
      <c r="B25" s="1647" t="s">
        <v>1063</v>
      </c>
      <c r="C25" s="4172">
        <f>C26</f>
        <v>166526.40700000001</v>
      </c>
      <c r="D25" s="3217"/>
      <c r="E25" s="3217"/>
      <c r="F25" s="3217"/>
      <c r="G25" s="3217"/>
      <c r="H25" s="3217"/>
      <c r="I25" s="3227"/>
      <c r="J25" s="3268">
        <f t="shared" si="0"/>
        <v>0.36034884920460647</v>
      </c>
      <c r="K25" s="3248">
        <f>K26</f>
        <v>60.00759912462793</v>
      </c>
      <c r="M25" s="1659"/>
      <c r="N25" s="4512"/>
      <c r="O25" s="1698" t="s">
        <v>1054</v>
      </c>
      <c r="P25" s="1694" t="s">
        <v>1039</v>
      </c>
      <c r="Q25" s="4453">
        <v>0.70001676140641822</v>
      </c>
      <c r="R25" s="4454" t="s">
        <v>199</v>
      </c>
      <c r="S25" s="4454">
        <v>5.5312591407334265E-2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166526.40700000001</v>
      </c>
      <c r="D26" s="3290" t="s">
        <v>199</v>
      </c>
      <c r="E26" s="3290">
        <v>100</v>
      </c>
      <c r="F26" s="3290" t="s">
        <v>199</v>
      </c>
      <c r="G26" s="3272">
        <f>Table3.A!N10</f>
        <v>46.441670556438325</v>
      </c>
      <c r="H26" s="3014" t="s">
        <v>205</v>
      </c>
      <c r="I26" s="3104" t="s">
        <v>205</v>
      </c>
      <c r="J26" s="3268">
        <f t="shared" si="0"/>
        <v>0.36034884920460647</v>
      </c>
      <c r="K26" s="3244">
        <v>60.00759912462793</v>
      </c>
      <c r="M26" s="1659"/>
      <c r="N26" s="4512"/>
      <c r="O26" s="1699"/>
      <c r="P26" s="1696" t="s">
        <v>1040</v>
      </c>
      <c r="Q26" s="4448">
        <v>0.73945845879883387</v>
      </c>
      <c r="R26" s="4165" t="s">
        <v>199</v>
      </c>
      <c r="S26" s="4165">
        <v>0.12255038466114102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2572.2240000000002</v>
      </c>
      <c r="D27" s="3217"/>
      <c r="E27" s="3217"/>
      <c r="F27" s="3217"/>
      <c r="G27" s="3217"/>
      <c r="H27" s="3217"/>
      <c r="I27" s="3227"/>
      <c r="J27" s="3268">
        <f t="shared" si="0"/>
        <v>23.092937053748898</v>
      </c>
      <c r="K27" s="3248">
        <f>K28</f>
        <v>59.40020692014221</v>
      </c>
      <c r="M27" s="1659"/>
      <c r="N27" s="4513"/>
      <c r="O27" s="1700"/>
      <c r="P27" s="1696" t="s">
        <v>1041</v>
      </c>
      <c r="Q27" s="4449">
        <v>0.8</v>
      </c>
      <c r="R27" s="4450" t="s">
        <v>199</v>
      </c>
      <c r="S27" s="4450">
        <v>0.49409638554216867</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2572.2240000000002</v>
      </c>
      <c r="D28" s="3217"/>
      <c r="E28" s="3217"/>
      <c r="F28" s="3217"/>
      <c r="G28" s="3217"/>
      <c r="H28" s="3217"/>
      <c r="I28" s="3227"/>
      <c r="J28" s="3268">
        <f t="shared" si="0"/>
        <v>23.092937053748898</v>
      </c>
      <c r="K28" s="3248">
        <f>K29</f>
        <v>59.40020692014221</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2572.2240000000002</v>
      </c>
      <c r="D29" s="3290">
        <v>1.5073986035579583</v>
      </c>
      <c r="E29" s="3290">
        <v>98.492601396442041</v>
      </c>
      <c r="F29" s="3290" t="s">
        <v>199</v>
      </c>
      <c r="G29" s="3272">
        <f>Table3.A!O10</f>
        <v>53.019045047452281</v>
      </c>
      <c r="H29" s="3014">
        <v>0.30078091790907002</v>
      </c>
      <c r="I29" s="3104">
        <v>0.45</v>
      </c>
      <c r="J29" s="3268">
        <f t="shared" si="0"/>
        <v>23.092937053748898</v>
      </c>
      <c r="K29" s="3244">
        <v>59.40020692014221</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43857.936999999998</v>
      </c>
      <c r="D30" s="3217"/>
      <c r="E30" s="3217"/>
      <c r="F30" s="3217"/>
      <c r="G30" s="3217"/>
      <c r="H30" s="3217"/>
      <c r="I30" s="3227"/>
      <c r="J30" s="3268">
        <f t="shared" si="0"/>
        <v>7.4072192164867934E-2</v>
      </c>
      <c r="K30" s="3248">
        <f>SUM(K32:K39)</f>
        <v>3.2486535374186709</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18.623000000000001</v>
      </c>
      <c r="D32" s="3290" t="s">
        <v>199</v>
      </c>
      <c r="E32" s="3290" t="s">
        <v>199</v>
      </c>
      <c r="F32" s="3290">
        <v>100</v>
      </c>
      <c r="G32" s="3274" t="s">
        <v>205</v>
      </c>
      <c r="H32" s="3274" t="s">
        <v>205</v>
      </c>
      <c r="I32" s="3274" t="s">
        <v>205</v>
      </c>
      <c r="J32" s="3268">
        <f t="shared" si="0"/>
        <v>11.569996682399509</v>
      </c>
      <c r="K32" s="3244">
        <v>0.21546804821632609</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1.042</v>
      </c>
      <c r="D33" s="3290" t="s">
        <v>199</v>
      </c>
      <c r="E33" s="3290">
        <v>41.674405040559314</v>
      </c>
      <c r="F33" s="3290">
        <v>58.325594959440686</v>
      </c>
      <c r="G33" s="3274" t="s">
        <v>205</v>
      </c>
      <c r="H33" s="3274" t="s">
        <v>205</v>
      </c>
      <c r="I33" s="3274" t="s">
        <v>205</v>
      </c>
      <c r="J33" s="3254">
        <f t="shared" si="0"/>
        <v>8.0016014505421715</v>
      </c>
      <c r="K33" s="3244">
        <v>8.337668711464942E-3</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80.445999999999998</v>
      </c>
      <c r="D34" s="3290" t="s">
        <v>199</v>
      </c>
      <c r="E34" s="3290">
        <v>100</v>
      </c>
      <c r="F34" s="3290" t="s">
        <v>199</v>
      </c>
      <c r="G34" s="3274" t="s">
        <v>205</v>
      </c>
      <c r="H34" s="3274" t="s">
        <v>205</v>
      </c>
      <c r="I34" s="3274" t="s">
        <v>205</v>
      </c>
      <c r="J34" s="3254">
        <f t="shared" si="0"/>
        <v>0.9998771389740666</v>
      </c>
      <c r="K34" s="3244">
        <v>8.0436116321907766E-2</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530.476</v>
      </c>
      <c r="D35" s="3290" t="s">
        <v>199</v>
      </c>
      <c r="E35" s="3290">
        <v>99.608845332074182</v>
      </c>
      <c r="F35" s="3290">
        <v>0.39115466792581732</v>
      </c>
      <c r="G35" s="3274" t="s">
        <v>205</v>
      </c>
      <c r="H35" s="3274" t="s">
        <v>205</v>
      </c>
      <c r="I35" s="3274" t="s">
        <v>205</v>
      </c>
      <c r="J35" s="3254">
        <f t="shared" si="0"/>
        <v>0.36131599506516332</v>
      </c>
      <c r="K35" s="3244">
        <v>0.19166946379818756</v>
      </c>
      <c r="M35" s="1667"/>
      <c r="N35" s="4512"/>
      <c r="O35" s="1695" t="s">
        <v>1042</v>
      </c>
      <c r="P35" s="1696" t="s">
        <v>1040</v>
      </c>
      <c r="Q35" s="4448">
        <v>1.8000000000000003</v>
      </c>
      <c r="R35" s="4165" t="s">
        <v>199</v>
      </c>
      <c r="S35" s="4165" t="s">
        <v>199</v>
      </c>
      <c r="T35" s="4166" t="s">
        <v>274</v>
      </c>
      <c r="U35" s="4166" t="s">
        <v>199</v>
      </c>
      <c r="V35" s="4166">
        <v>100</v>
      </c>
      <c r="W35" s="4166" t="s">
        <v>199</v>
      </c>
      <c r="X35" s="4166" t="s">
        <v>199</v>
      </c>
      <c r="Y35" s="4166" t="s">
        <v>199</v>
      </c>
      <c r="Z35" s="4166" t="s">
        <v>199</v>
      </c>
      <c r="AA35" s="4166" t="s">
        <v>199</v>
      </c>
      <c r="AB35" s="4140" t="s">
        <v>199</v>
      </c>
    </row>
    <row r="36" spans="2:28" s="84" customFormat="1" ht="18" customHeight="1" thickBot="1" x14ac:dyDescent="0.25">
      <c r="B36" s="1647" t="s">
        <v>1071</v>
      </c>
      <c r="C36" s="3274">
        <f>Table3.A!C36</f>
        <v>347.01400000000001</v>
      </c>
      <c r="D36" s="3290" t="s">
        <v>199</v>
      </c>
      <c r="E36" s="3290">
        <v>95.699465203968245</v>
      </c>
      <c r="F36" s="3290">
        <v>4.3005347960317488</v>
      </c>
      <c r="G36" s="3274" t="s">
        <v>205</v>
      </c>
      <c r="H36" s="3274" t="s">
        <v>205</v>
      </c>
      <c r="I36" s="3274" t="s">
        <v>205</v>
      </c>
      <c r="J36" s="3254">
        <f t="shared" si="0"/>
        <v>3.3682002393341768</v>
      </c>
      <c r="K36" s="3244">
        <v>1.16881263785231</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3.3260000000000001</v>
      </c>
      <c r="D37" s="3290" t="s">
        <v>199</v>
      </c>
      <c r="E37" s="3290">
        <v>94.686630931162313</v>
      </c>
      <c r="F37" s="3290">
        <v>5.3133690688376927</v>
      </c>
      <c r="G37" s="3274" t="s">
        <v>205</v>
      </c>
      <c r="H37" s="3274" t="s">
        <v>205</v>
      </c>
      <c r="I37" s="3274" t="s">
        <v>205</v>
      </c>
      <c r="J37" s="3254">
        <f t="shared" si="0"/>
        <v>1.1518331828205863</v>
      </c>
      <c r="K37" s="3244">
        <v>3.8309971660612707E-3</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42867.540999999997</v>
      </c>
      <c r="D38" s="3290">
        <v>1.5496659472181111</v>
      </c>
      <c r="E38" s="3290">
        <v>98.450334052781884</v>
      </c>
      <c r="F38" s="3290" t="s">
        <v>199</v>
      </c>
      <c r="G38" s="3274" t="s">
        <v>205</v>
      </c>
      <c r="H38" s="3274" t="s">
        <v>205</v>
      </c>
      <c r="I38" s="3274" t="s">
        <v>205</v>
      </c>
      <c r="J38" s="3254">
        <f t="shared" si="0"/>
        <v>3.6781097138209179E-2</v>
      </c>
      <c r="K38" s="3244">
        <v>1.5767151895971647</v>
      </c>
      <c r="M38" s="1659"/>
      <c r="N38" s="4512"/>
      <c r="O38" s="1699"/>
      <c r="P38" s="1696" t="s">
        <v>1040</v>
      </c>
      <c r="Q38" s="4448">
        <v>0.75843033697620676</v>
      </c>
      <c r="R38" s="4165" t="s">
        <v>199</v>
      </c>
      <c r="S38" s="4165" t="s">
        <v>199</v>
      </c>
      <c r="T38" s="4166" t="s">
        <v>274</v>
      </c>
      <c r="U38" s="4166" t="s">
        <v>199</v>
      </c>
      <c r="V38" s="4166">
        <v>1.8168563597749661E-2</v>
      </c>
      <c r="W38" s="4166" t="s">
        <v>199</v>
      </c>
      <c r="X38" s="4166" t="s">
        <v>199</v>
      </c>
      <c r="Y38" s="4166">
        <v>1.0000000000000002E-2</v>
      </c>
      <c r="Z38" s="4166" t="s">
        <v>199</v>
      </c>
      <c r="AA38" s="4166" t="s">
        <v>199</v>
      </c>
      <c r="AB38" s="4140" t="s">
        <v>199</v>
      </c>
    </row>
    <row r="39" spans="2:28" s="84" customFormat="1" ht="18" customHeight="1" thickBot="1" x14ac:dyDescent="0.25">
      <c r="B39" s="1647" t="s">
        <v>1074</v>
      </c>
      <c r="C39" s="4172">
        <f>SUM(C41:C45)</f>
        <v>9.4689999999999994</v>
      </c>
      <c r="D39" s="3261"/>
      <c r="E39" s="3261"/>
      <c r="F39" s="3261"/>
      <c r="G39" s="3261"/>
      <c r="H39" s="3261"/>
      <c r="I39" s="3262"/>
      <c r="J39" s="3254">
        <f t="shared" si="0"/>
        <v>0.35731500213841944</v>
      </c>
      <c r="K39" s="3248">
        <f>SUM(K41:K45)</f>
        <v>3.3834157552486937E-3</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87.8</v>
      </c>
      <c r="R40" s="4445" t="s">
        <v>199</v>
      </c>
      <c r="S40" s="4445" t="s">
        <v>199</v>
      </c>
      <c r="T40" s="4446" t="s">
        <v>274</v>
      </c>
      <c r="U40" s="4446" t="s">
        <v>274</v>
      </c>
      <c r="V40" s="4446">
        <v>8.5500000000000007</v>
      </c>
      <c r="W40" s="4446" t="s">
        <v>274</v>
      </c>
      <c r="X40" s="4446" t="s">
        <v>199</v>
      </c>
      <c r="Y40" s="4446" t="s">
        <v>199</v>
      </c>
      <c r="Z40" s="4446" t="s">
        <v>199</v>
      </c>
      <c r="AA40" s="4446" t="s">
        <v>199</v>
      </c>
      <c r="AB40" s="4447">
        <v>4.7000000000000011</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89.113432216723368</v>
      </c>
      <c r="R41" s="4165" t="s">
        <v>199</v>
      </c>
      <c r="S41" s="4165" t="s">
        <v>199</v>
      </c>
      <c r="T41" s="4166" t="s">
        <v>274</v>
      </c>
      <c r="U41" s="4166" t="s">
        <v>274</v>
      </c>
      <c r="V41" s="4166">
        <v>7.3264845558349725</v>
      </c>
      <c r="W41" s="4166" t="s">
        <v>274</v>
      </c>
      <c r="X41" s="4166" t="s">
        <v>199</v>
      </c>
      <c r="Y41" s="4166" t="s">
        <v>199</v>
      </c>
      <c r="Z41" s="4166">
        <v>0.36598212258619794</v>
      </c>
      <c r="AA41" s="4166" t="s">
        <v>199</v>
      </c>
      <c r="AB41" s="4140">
        <v>2.7163022648972976</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8.6379999999999999</v>
      </c>
      <c r="D43" s="3290" t="s">
        <v>199</v>
      </c>
      <c r="E43" s="3290">
        <v>100</v>
      </c>
      <c r="F43" s="3290" t="s">
        <v>199</v>
      </c>
      <c r="G43" s="3274" t="s">
        <v>205</v>
      </c>
      <c r="H43" s="3274" t="s">
        <v>205</v>
      </c>
      <c r="I43" s="3274" t="s">
        <v>205</v>
      </c>
      <c r="J43" s="3254">
        <f t="shared" si="0"/>
        <v>0.3573349592517629</v>
      </c>
      <c r="K43" s="3244">
        <v>3.0866593780167276E-3</v>
      </c>
      <c r="M43" s="4516"/>
      <c r="N43" s="4517"/>
      <c r="O43" s="1698" t="s">
        <v>1054</v>
      </c>
      <c r="P43" s="1694" t="s">
        <v>1039</v>
      </c>
      <c r="Q43" s="4444">
        <v>0.7</v>
      </c>
      <c r="R43" s="4445" t="s">
        <v>199</v>
      </c>
      <c r="S43" s="4445" t="s">
        <v>199</v>
      </c>
      <c r="T43" s="4446" t="s">
        <v>274</v>
      </c>
      <c r="U43" s="4446" t="s">
        <v>274</v>
      </c>
      <c r="V43" s="4446">
        <v>1.5321637426900585E-2</v>
      </c>
      <c r="W43" s="4446" t="s">
        <v>274</v>
      </c>
      <c r="X43" s="4446" t="s">
        <v>199</v>
      </c>
      <c r="Y43" s="4446" t="s">
        <v>199</v>
      </c>
      <c r="Z43" s="4446" t="s">
        <v>199</v>
      </c>
      <c r="AA43" s="4446" t="s">
        <v>199</v>
      </c>
      <c r="AB43" s="4447">
        <v>3.212765957446808E-2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0.75434983801373934</v>
      </c>
      <c r="R44" s="4165" t="s">
        <v>199</v>
      </c>
      <c r="S44" s="4165" t="s">
        <v>199</v>
      </c>
      <c r="T44" s="4166" t="s">
        <v>274</v>
      </c>
      <c r="U44" s="4166" t="s">
        <v>274</v>
      </c>
      <c r="V44" s="4166">
        <v>1.6566523450926008E-2</v>
      </c>
      <c r="W44" s="4166" t="s">
        <v>274</v>
      </c>
      <c r="X44" s="4166" t="s">
        <v>199</v>
      </c>
      <c r="Y44" s="4166" t="s">
        <v>199</v>
      </c>
      <c r="Z44" s="4166">
        <v>2.2086728027172917E-2</v>
      </c>
      <c r="AA44" s="4166" t="s">
        <v>199</v>
      </c>
      <c r="AB44" s="4140">
        <v>3.3962050394147479E-2</v>
      </c>
    </row>
    <row r="45" spans="2:28" s="84" customFormat="1" ht="18" customHeight="1" thickBot="1" x14ac:dyDescent="0.25">
      <c r="B45" s="2663" t="s">
        <v>1079</v>
      </c>
      <c r="C45" s="4172">
        <f>C46</f>
        <v>0.83099999999999996</v>
      </c>
      <c r="D45" s="3261"/>
      <c r="E45" s="3261"/>
      <c r="F45" s="3261"/>
      <c r="G45" s="3261"/>
      <c r="H45" s="3261"/>
      <c r="I45" s="3262"/>
      <c r="J45" s="3254">
        <f t="shared" si="0"/>
        <v>0.35710755382908071</v>
      </c>
      <c r="K45" s="3248">
        <f>K46</f>
        <v>2.9675637723196606E-4</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0.83099999999999996</v>
      </c>
      <c r="D46" s="3021" t="s">
        <v>199</v>
      </c>
      <c r="E46" s="3021">
        <v>100</v>
      </c>
      <c r="F46" s="3021" t="s">
        <v>199</v>
      </c>
      <c r="G46" s="3021" t="s">
        <v>205</v>
      </c>
      <c r="H46" s="3021" t="s">
        <v>205</v>
      </c>
      <c r="I46" s="3275" t="s">
        <v>205</v>
      </c>
      <c r="J46" s="3276">
        <f t="shared" si="0"/>
        <v>0.35710755382908071</v>
      </c>
      <c r="K46" s="3245">
        <v>2.9675637723196606E-4</v>
      </c>
      <c r="M46" s="4514" t="s">
        <v>1080</v>
      </c>
      <c r="N46" s="4515"/>
      <c r="O46" s="1693" t="s">
        <v>1051</v>
      </c>
      <c r="P46" s="1694" t="s">
        <v>1039</v>
      </c>
      <c r="Q46" s="4444" t="s">
        <v>199</v>
      </c>
      <c r="R46" s="4445" t="s">
        <v>199</v>
      </c>
      <c r="S46" s="4445" t="s">
        <v>199</v>
      </c>
      <c r="T46" s="4446">
        <v>53.986077056765666</v>
      </c>
      <c r="U46" s="4446" t="s">
        <v>199</v>
      </c>
      <c r="V46" s="4446" t="s">
        <v>199</v>
      </c>
      <c r="W46" s="4446" t="s">
        <v>274</v>
      </c>
      <c r="X46" s="4446">
        <v>1.9256725318727403</v>
      </c>
      <c r="Y46" s="4446">
        <v>16.794147155672299</v>
      </c>
      <c r="Z46" s="4446">
        <v>0.6919776193140883</v>
      </c>
      <c r="AA46" s="4446" t="s">
        <v>199</v>
      </c>
      <c r="AB46" s="4447">
        <v>97.93184505810045</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47.3454709724898</v>
      </c>
      <c r="U47" s="4166" t="s">
        <v>199</v>
      </c>
      <c r="V47" s="4166" t="s">
        <v>199</v>
      </c>
      <c r="W47" s="4166" t="s">
        <v>274</v>
      </c>
      <c r="X47" s="4166">
        <v>2.4534831858920843</v>
      </c>
      <c r="Y47" s="4166">
        <v>18.032138438931838</v>
      </c>
      <c r="Z47" s="4166">
        <v>0.4058372158054111</v>
      </c>
      <c r="AA47" s="4166" t="s">
        <v>199</v>
      </c>
      <c r="AB47" s="4140">
        <v>97.546516814107903</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1.9999999999999997E-2</v>
      </c>
      <c r="U50" s="4166" t="s">
        <v>199</v>
      </c>
      <c r="V50" s="4166" t="s">
        <v>199</v>
      </c>
      <c r="W50" s="4166" t="s">
        <v>274</v>
      </c>
      <c r="X50" s="4166">
        <v>1.318465780479996E-2</v>
      </c>
      <c r="Y50" s="4166">
        <v>9.9999999999999985E-3</v>
      </c>
      <c r="Z50" s="4166">
        <v>0.1</v>
      </c>
      <c r="AA50" s="4166" t="s">
        <v>199</v>
      </c>
      <c r="AB50" s="4140">
        <v>1.4999999999999999E-2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25381.091000000004</v>
      </c>
      <c r="D10" s="3453"/>
      <c r="E10" s="3454"/>
      <c r="F10" s="3441">
        <f>F15</f>
        <v>9811630.2947023008</v>
      </c>
      <c r="G10" s="3441" t="str">
        <f t="shared" ref="G10:R10" si="0">G15</f>
        <v>NO</v>
      </c>
      <c r="H10" s="3441">
        <f t="shared" si="0"/>
        <v>17341483.932171412</v>
      </c>
      <c r="I10" s="3441">
        <f t="shared" si="0"/>
        <v>12177811.061035395</v>
      </c>
      <c r="J10" s="3441" t="str">
        <f t="shared" si="0"/>
        <v>NO</v>
      </c>
      <c r="K10" s="3441">
        <f t="shared" si="0"/>
        <v>25993199.793212224</v>
      </c>
      <c r="L10" s="3441" t="str">
        <f t="shared" si="0"/>
        <v>NO</v>
      </c>
      <c r="M10" s="3441">
        <f t="shared" si="0"/>
        <v>1064070665.838533</v>
      </c>
      <c r="N10" s="3441" t="str">
        <f t="shared" si="0"/>
        <v>NO</v>
      </c>
      <c r="O10" s="3441" t="str">
        <f t="shared" si="0"/>
        <v>NO</v>
      </c>
      <c r="P10" s="3441" t="str">
        <f t="shared" si="0"/>
        <v>NO</v>
      </c>
      <c r="Q10" s="3441" t="str">
        <f t="shared" si="0"/>
        <v>NO</v>
      </c>
      <c r="R10" s="3441">
        <f t="shared" si="0"/>
        <v>1129394790.9196544</v>
      </c>
      <c r="S10" s="2670"/>
      <c r="T10" s="2671"/>
      <c r="U10" s="3419">
        <f>IF(SUM(X10)=0,"NA",X10*1000/C10)</f>
        <v>1.2460207798417182E-2</v>
      </c>
      <c r="V10" s="3411"/>
      <c r="W10" s="3412"/>
      <c r="X10" s="3278">
        <f t="shared" ref="X10" si="1">X15</f>
        <v>0.31625366801053623</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25381.091000000004</v>
      </c>
      <c r="D15" s="3456"/>
      <c r="E15" s="3456"/>
      <c r="F15" s="2668">
        <f>F20</f>
        <v>9811630.2947023008</v>
      </c>
      <c r="G15" s="2668" t="str">
        <f t="shared" ref="G15:R15" si="2">G20</f>
        <v>NO</v>
      </c>
      <c r="H15" s="2668">
        <f t="shared" si="2"/>
        <v>17341483.932171412</v>
      </c>
      <c r="I15" s="2668">
        <f t="shared" si="2"/>
        <v>12177811.061035395</v>
      </c>
      <c r="J15" s="2668" t="str">
        <f t="shared" si="2"/>
        <v>NO</v>
      </c>
      <c r="K15" s="2668">
        <f t="shared" si="2"/>
        <v>25993199.793212224</v>
      </c>
      <c r="L15" s="2668" t="str">
        <f t="shared" si="2"/>
        <v>NO</v>
      </c>
      <c r="M15" s="2668">
        <f t="shared" si="2"/>
        <v>1064070665.838533</v>
      </c>
      <c r="N15" s="2668" t="str">
        <f t="shared" si="2"/>
        <v>NO</v>
      </c>
      <c r="O15" s="2668" t="str">
        <f t="shared" si="2"/>
        <v>NO</v>
      </c>
      <c r="P15" s="2668" t="str">
        <f t="shared" si="2"/>
        <v>NO</v>
      </c>
      <c r="Q15" s="2668" t="str">
        <f t="shared" si="2"/>
        <v>NO</v>
      </c>
      <c r="R15" s="2668">
        <f t="shared" si="2"/>
        <v>1129394790.9196544</v>
      </c>
      <c r="S15" s="2676"/>
      <c r="T15" s="2677"/>
      <c r="U15" s="3419">
        <f>IF(SUM(X15)=0,"NA",X15*1000/C15)</f>
        <v>1.2460207798417182E-2</v>
      </c>
      <c r="V15" s="3417"/>
      <c r="W15" s="3418"/>
      <c r="X15" s="3281">
        <f t="shared" ref="X15" si="3">X20</f>
        <v>0.31625366801053623</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25381.091000000004</v>
      </c>
      <c r="D20" s="3455"/>
      <c r="E20" s="3455"/>
      <c r="F20" s="2668">
        <f>IF(SUM(F21:F23)=0,"NO",SUM(F21:F23))</f>
        <v>9811630.2947023008</v>
      </c>
      <c r="G20" s="2668" t="str">
        <f t="shared" ref="G20:Q20" si="6">IF(SUM(G21:G23)=0,"NO",SUM(G21:G23))</f>
        <v>NO</v>
      </c>
      <c r="H20" s="2668">
        <f t="shared" si="6"/>
        <v>17341483.932171412</v>
      </c>
      <c r="I20" s="2668">
        <f t="shared" si="6"/>
        <v>12177811.061035395</v>
      </c>
      <c r="J20" s="2668" t="str">
        <f t="shared" si="6"/>
        <v>NO</v>
      </c>
      <c r="K20" s="2668">
        <f t="shared" si="6"/>
        <v>25993199.793212224</v>
      </c>
      <c r="L20" s="2668" t="str">
        <f t="shared" si="6"/>
        <v>NO</v>
      </c>
      <c r="M20" s="2668">
        <f t="shared" si="6"/>
        <v>1064070665.838533</v>
      </c>
      <c r="N20" s="2668" t="str">
        <f t="shared" si="6"/>
        <v>NO</v>
      </c>
      <c r="O20" s="2668" t="str">
        <f t="shared" si="6"/>
        <v>NO</v>
      </c>
      <c r="P20" s="2668" t="str">
        <f t="shared" si="6"/>
        <v>NO</v>
      </c>
      <c r="Q20" s="2668" t="str">
        <f t="shared" si="6"/>
        <v>NO</v>
      </c>
      <c r="R20" s="3445">
        <f>IF(SUM(F20:Q20)=0,"NO",SUM(F20:Q20))</f>
        <v>1129394790.9196544</v>
      </c>
      <c r="S20" s="2676"/>
      <c r="T20" s="2677"/>
      <c r="U20" s="3419">
        <f t="shared" si="4"/>
        <v>1.2460207798417182E-2</v>
      </c>
      <c r="V20" s="3417"/>
      <c r="W20" s="3418"/>
      <c r="X20" s="3281">
        <f t="shared" ref="X20" si="7">IF(SUM(X21:X23)=0,"NO",SUM(X21:X23))</f>
        <v>0.31625366801053623</v>
      </c>
      <c r="Y20" s="3142"/>
      <c r="Z20" s="3420"/>
    </row>
    <row r="21" spans="2:26" ht="18" customHeight="1" x14ac:dyDescent="0.2">
      <c r="B21" s="2666" t="s">
        <v>994</v>
      </c>
      <c r="C21" s="3458">
        <f>Table3.A!C21</f>
        <v>2496.951</v>
      </c>
      <c r="D21" s="3274">
        <v>115.75687317682706</v>
      </c>
      <c r="E21" s="3457">
        <f>'Table3.B(a)'!G21</f>
        <v>440.80940832283068</v>
      </c>
      <c r="F21" s="3442">
        <v>9343752.6984244809</v>
      </c>
      <c r="G21" s="3442" t="s">
        <v>199</v>
      </c>
      <c r="H21" s="3442">
        <v>17341483.932171412</v>
      </c>
      <c r="I21" s="3442">
        <v>3171895.1422815677</v>
      </c>
      <c r="J21" s="3442" t="s">
        <v>199</v>
      </c>
      <c r="K21" s="3442" t="s">
        <v>274</v>
      </c>
      <c r="L21" s="3442" t="s">
        <v>199</v>
      </c>
      <c r="M21" s="3442">
        <v>259182128.28045073</v>
      </c>
      <c r="N21" s="3442" t="s">
        <v>199</v>
      </c>
      <c r="O21" s="3442" t="s">
        <v>199</v>
      </c>
      <c r="P21" s="3442" t="s">
        <v>199</v>
      </c>
      <c r="Q21" s="3442" t="s">
        <v>199</v>
      </c>
      <c r="R21" s="3445">
        <f t="shared" ref="R21:R46" si="8">IF(SUM(F21:Q21)=0,"NO",SUM(F21:Q21))</f>
        <v>289039260.05332822</v>
      </c>
      <c r="S21" s="2676"/>
      <c r="T21" s="2677"/>
      <c r="U21" s="3419">
        <f t="shared" si="4"/>
        <v>9.9809861149793271E-3</v>
      </c>
      <c r="V21" s="3417"/>
      <c r="W21" s="3418"/>
      <c r="X21" s="3282">
        <v>2.4922033260783745E-2</v>
      </c>
      <c r="Y21" s="3142"/>
      <c r="Z21" s="3420"/>
    </row>
    <row r="22" spans="2:26" ht="18" customHeight="1" x14ac:dyDescent="0.2">
      <c r="B22" s="2666" t="s">
        <v>965</v>
      </c>
      <c r="C22" s="3458">
        <f>Table3.A!C22</f>
        <v>22538.935000000001</v>
      </c>
      <c r="D22" s="3274">
        <v>35.711028320954895</v>
      </c>
      <c r="E22" s="3457">
        <f>'Table3.B(a)'!G22</f>
        <v>360.83923386324915</v>
      </c>
      <c r="F22" s="3446" t="s">
        <v>199</v>
      </c>
      <c r="G22" s="3442" t="s">
        <v>199</v>
      </c>
      <c r="H22" s="3446" t="s">
        <v>199</v>
      </c>
      <c r="I22" s="3446" t="s">
        <v>199</v>
      </c>
      <c r="J22" s="3446" t="s">
        <v>199</v>
      </c>
      <c r="K22" s="3446" t="s">
        <v>199</v>
      </c>
      <c r="L22" s="3446" t="s">
        <v>199</v>
      </c>
      <c r="M22" s="3446">
        <v>804888537.55808234</v>
      </c>
      <c r="N22" s="3446" t="s">
        <v>199</v>
      </c>
      <c r="O22" s="3446" t="s">
        <v>199</v>
      </c>
      <c r="P22" s="3446" t="s">
        <v>199</v>
      </c>
      <c r="Q22" s="3446" t="s">
        <v>199</v>
      </c>
      <c r="R22" s="3445">
        <f t="shared" si="8"/>
        <v>804888537.55808234</v>
      </c>
      <c r="S22" s="2676"/>
      <c r="T22" s="2677"/>
      <c r="U22" s="3419" t="str">
        <f>IF(SUM(X22)=0,"NA",X22*1000/C22)</f>
        <v>NA</v>
      </c>
      <c r="V22" s="3417"/>
      <c r="W22" s="3418"/>
      <c r="X22" s="3282" t="s">
        <v>205</v>
      </c>
      <c r="Y22" s="3142"/>
      <c r="Z22" s="3420"/>
    </row>
    <row r="23" spans="2:26" ht="18" customHeight="1" x14ac:dyDescent="0.2">
      <c r="B23" s="2666" t="s">
        <v>966</v>
      </c>
      <c r="C23" s="3458">
        <f>Table3.A!C23</f>
        <v>345.20499999999998</v>
      </c>
      <c r="D23" s="3274">
        <v>75.297761305733843</v>
      </c>
      <c r="E23" s="3457">
        <f>'Table3.B(a)'!G23</f>
        <v>541.18750000000011</v>
      </c>
      <c r="F23" s="3446">
        <v>467877.59627782</v>
      </c>
      <c r="G23" s="3442" t="s">
        <v>199</v>
      </c>
      <c r="H23" s="3446" t="s">
        <v>199</v>
      </c>
      <c r="I23" s="3446">
        <v>9005915.918753827</v>
      </c>
      <c r="J23" s="3446" t="s">
        <v>274</v>
      </c>
      <c r="K23" s="3446">
        <v>25993199.793212224</v>
      </c>
      <c r="L23" s="3446" t="s">
        <v>199</v>
      </c>
      <c r="M23" s="3446" t="s">
        <v>199</v>
      </c>
      <c r="N23" s="3446" t="s">
        <v>199</v>
      </c>
      <c r="O23" s="3446" t="s">
        <v>199</v>
      </c>
      <c r="P23" s="3446" t="s">
        <v>199</v>
      </c>
      <c r="Q23" s="3446" t="s">
        <v>199</v>
      </c>
      <c r="R23" s="3445">
        <f t="shared" si="8"/>
        <v>35466993.308243871</v>
      </c>
      <c r="S23" s="2676"/>
      <c r="T23" s="2677"/>
      <c r="U23" s="3419">
        <f t="shared" ref="U23:U30" si="9">IF(SUM(X23)=0,"NA",X23*1000/C23)</f>
        <v>0.8439380505779247</v>
      </c>
      <c r="V23" s="3417"/>
      <c r="W23" s="3418"/>
      <c r="X23" s="3282">
        <v>0.29133163474975249</v>
      </c>
      <c r="Y23" s="3142"/>
      <c r="Z23" s="3420"/>
    </row>
    <row r="24" spans="2:26" ht="18" customHeight="1" x14ac:dyDescent="0.2">
      <c r="B24" s="349" t="s">
        <v>1062</v>
      </c>
      <c r="C24" s="3281">
        <f>C25</f>
        <v>166526.40700000001</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1174165193.4700282</v>
      </c>
      <c r="N24" s="2668" t="str">
        <f t="shared" si="10"/>
        <v>NO</v>
      </c>
      <c r="O24" s="2668" t="str">
        <f t="shared" si="10"/>
        <v>NO</v>
      </c>
      <c r="P24" s="2668" t="str">
        <f t="shared" si="10"/>
        <v>NO</v>
      </c>
      <c r="Q24" s="2668" t="str">
        <f t="shared" si="10"/>
        <v>NO</v>
      </c>
      <c r="R24" s="3445">
        <f t="shared" si="8"/>
        <v>1174165193.4700282</v>
      </c>
      <c r="S24" s="2676"/>
      <c r="T24" s="2677"/>
      <c r="U24" s="3419" t="str">
        <f t="shared" si="9"/>
        <v>NA</v>
      </c>
      <c r="V24" s="3417"/>
      <c r="W24" s="3418"/>
      <c r="X24" s="3281" t="str">
        <f t="shared" ref="X24:X25" si="11">X25</f>
        <v>NA</v>
      </c>
      <c r="Y24" s="3142"/>
      <c r="Z24" s="3420"/>
    </row>
    <row r="25" spans="2:26" ht="18" customHeight="1" x14ac:dyDescent="0.2">
      <c r="B25" s="348" t="s">
        <v>1063</v>
      </c>
      <c r="C25" s="3281">
        <f>C26</f>
        <v>166526.40700000001</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1174165193.4700282</v>
      </c>
      <c r="N25" s="2668" t="str">
        <f t="shared" si="10"/>
        <v>NO</v>
      </c>
      <c r="O25" s="2668" t="str">
        <f t="shared" si="10"/>
        <v>NO</v>
      </c>
      <c r="P25" s="2668" t="str">
        <f t="shared" si="10"/>
        <v>NO</v>
      </c>
      <c r="Q25" s="2668" t="str">
        <f t="shared" si="10"/>
        <v>NO</v>
      </c>
      <c r="R25" s="3445">
        <f t="shared" si="8"/>
        <v>1174165193.4700282</v>
      </c>
      <c r="S25" s="2676"/>
      <c r="T25" s="2677"/>
      <c r="U25" s="3419" t="str">
        <f t="shared" si="9"/>
        <v>NA</v>
      </c>
      <c r="V25" s="3417"/>
      <c r="W25" s="3418"/>
      <c r="X25" s="3281" t="str">
        <f t="shared" si="11"/>
        <v>NA</v>
      </c>
      <c r="Y25" s="3142"/>
      <c r="Z25" s="3420"/>
    </row>
    <row r="26" spans="2:26" ht="18" customHeight="1" x14ac:dyDescent="0.2">
      <c r="B26" s="2661" t="s">
        <v>967</v>
      </c>
      <c r="C26" s="3458">
        <f>Table3.A!C26</f>
        <v>166526.40700000001</v>
      </c>
      <c r="D26" s="3274">
        <v>7.0509249289058102</v>
      </c>
      <c r="E26" s="3457">
        <f>'Table3.B(a)'!G26</f>
        <v>46.441670556438325</v>
      </c>
      <c r="F26" s="3446" t="s">
        <v>199</v>
      </c>
      <c r="G26" s="3442" t="s">
        <v>199</v>
      </c>
      <c r="H26" s="3446" t="s">
        <v>199</v>
      </c>
      <c r="I26" s="3446" t="s">
        <v>199</v>
      </c>
      <c r="J26" s="3446" t="s">
        <v>199</v>
      </c>
      <c r="K26" s="3446" t="s">
        <v>199</v>
      </c>
      <c r="L26" s="3446" t="s">
        <v>199</v>
      </c>
      <c r="M26" s="3442">
        <v>1174165193.4700282</v>
      </c>
      <c r="N26" s="3446" t="s">
        <v>199</v>
      </c>
      <c r="O26" s="3446" t="s">
        <v>199</v>
      </c>
      <c r="P26" s="3446" t="s">
        <v>199</v>
      </c>
      <c r="Q26" s="3446" t="s">
        <v>199</v>
      </c>
      <c r="R26" s="3445">
        <f t="shared" si="8"/>
        <v>1174165193.4700282</v>
      </c>
      <c r="S26" s="2676"/>
      <c r="T26" s="2677"/>
      <c r="U26" s="3419" t="str">
        <f t="shared" si="9"/>
        <v>NA</v>
      </c>
      <c r="V26" s="3417"/>
      <c r="W26" s="3418"/>
      <c r="X26" s="3282" t="s">
        <v>205</v>
      </c>
      <c r="Y26" s="3142"/>
      <c r="Z26" s="3420"/>
    </row>
    <row r="27" spans="2:26" ht="18" customHeight="1" x14ac:dyDescent="0.2">
      <c r="B27" s="349" t="s">
        <v>1064</v>
      </c>
      <c r="C27" s="3281">
        <f>C28</f>
        <v>2572.2240000000002</v>
      </c>
      <c r="D27" s="3455"/>
      <c r="E27" s="3455"/>
      <c r="F27" s="2668">
        <f>F28</f>
        <v>38575948.726286881</v>
      </c>
      <c r="G27" s="2668" t="str">
        <f t="shared" ref="G27:G28" si="12">G28</f>
        <v>NO</v>
      </c>
      <c r="H27" s="2668" t="str">
        <f t="shared" ref="H27:H28" si="13">H28</f>
        <v>NO</v>
      </c>
      <c r="I27" s="2668" t="str">
        <f t="shared" ref="I27:I28" si="14">I28</f>
        <v>IE</v>
      </c>
      <c r="J27" s="2668" t="str">
        <f t="shared" ref="J27:J28" si="15">J28</f>
        <v>IE</v>
      </c>
      <c r="K27" s="2668">
        <f t="shared" ref="K27:K28" si="16">K28</f>
        <v>3135643.8536169957</v>
      </c>
      <c r="L27" s="2668" t="str">
        <f t="shared" ref="L27:L28" si="17">L28</f>
        <v>IE</v>
      </c>
      <c r="M27" s="2668" t="str">
        <f t="shared" ref="M27:M28" si="18">M28</f>
        <v>NO</v>
      </c>
      <c r="N27" s="2668" t="str">
        <f t="shared" ref="N27:N28" si="19">N28</f>
        <v>NO</v>
      </c>
      <c r="O27" s="2668">
        <f t="shared" ref="O27:O28" si="20">O28</f>
        <v>156295.32246573493</v>
      </c>
      <c r="P27" s="2668" t="str">
        <f t="shared" ref="P27:P28" si="21">P28</f>
        <v>NO</v>
      </c>
      <c r="Q27" s="2668">
        <f t="shared" ref="Q27:Q28" si="22">Q28</f>
        <v>1185356.5120979128</v>
      </c>
      <c r="R27" s="3445">
        <f t="shared" si="8"/>
        <v>43053244.414467521</v>
      </c>
      <c r="S27" s="2676"/>
      <c r="T27" s="2677"/>
      <c r="U27" s="3419">
        <f t="shared" si="9"/>
        <v>2.434580412675591E-2</v>
      </c>
      <c r="V27" s="3417"/>
      <c r="W27" s="3418"/>
      <c r="X27" s="3281">
        <f t="shared" ref="X27:X28" si="23">X28</f>
        <v>6.2622861674140592E-2</v>
      </c>
      <c r="Y27" s="3142"/>
      <c r="Z27" s="3420"/>
    </row>
    <row r="28" spans="2:26" ht="18" customHeight="1" x14ac:dyDescent="0.2">
      <c r="B28" s="348" t="s">
        <v>1065</v>
      </c>
      <c r="C28" s="3281">
        <f>C29</f>
        <v>2572.2240000000002</v>
      </c>
      <c r="D28" s="3455"/>
      <c r="E28" s="3455"/>
      <c r="F28" s="2668">
        <f>F29</f>
        <v>38575948.726286881</v>
      </c>
      <c r="G28" s="2668" t="str">
        <f t="shared" si="12"/>
        <v>NO</v>
      </c>
      <c r="H28" s="2668" t="str">
        <f t="shared" si="13"/>
        <v>NO</v>
      </c>
      <c r="I28" s="2668" t="str">
        <f t="shared" si="14"/>
        <v>IE</v>
      </c>
      <c r="J28" s="2668" t="str">
        <f t="shared" si="15"/>
        <v>IE</v>
      </c>
      <c r="K28" s="2668">
        <f t="shared" si="16"/>
        <v>3135643.8536169957</v>
      </c>
      <c r="L28" s="2668" t="str">
        <f t="shared" si="17"/>
        <v>IE</v>
      </c>
      <c r="M28" s="2668" t="str">
        <f t="shared" si="18"/>
        <v>NO</v>
      </c>
      <c r="N28" s="2668" t="str">
        <f t="shared" si="19"/>
        <v>NO</v>
      </c>
      <c r="O28" s="2668">
        <f t="shared" si="20"/>
        <v>156295.32246573493</v>
      </c>
      <c r="P28" s="2668" t="str">
        <f t="shared" si="21"/>
        <v>NO</v>
      </c>
      <c r="Q28" s="2668">
        <f t="shared" si="22"/>
        <v>1185356.5120979128</v>
      </c>
      <c r="R28" s="3445">
        <f t="shared" si="8"/>
        <v>43053244.414467521</v>
      </c>
      <c r="S28" s="2676"/>
      <c r="T28" s="2677"/>
      <c r="U28" s="3419">
        <f t="shared" si="9"/>
        <v>2.434580412675591E-2</v>
      </c>
      <c r="V28" s="3417"/>
      <c r="W28" s="3418"/>
      <c r="X28" s="3281">
        <f t="shared" si="23"/>
        <v>6.2622861674140592E-2</v>
      </c>
      <c r="Y28" s="3142"/>
      <c r="Z28" s="3420"/>
    </row>
    <row r="29" spans="2:26" ht="18" customHeight="1" x14ac:dyDescent="0.2">
      <c r="B29" s="2661" t="s">
        <v>968</v>
      </c>
      <c r="C29" s="3458">
        <f>Table3.A!C29</f>
        <v>2572.2240000000002</v>
      </c>
      <c r="D29" s="3274">
        <v>16.533309240530983</v>
      </c>
      <c r="E29" s="3457">
        <f>'Table3.B(a)'!G29</f>
        <v>53.019045047452281</v>
      </c>
      <c r="F29" s="3442">
        <v>38575948.726286881</v>
      </c>
      <c r="G29" s="3442" t="s">
        <v>199</v>
      </c>
      <c r="H29" s="3442" t="s">
        <v>199</v>
      </c>
      <c r="I29" s="3442" t="s">
        <v>274</v>
      </c>
      <c r="J29" s="3442" t="s">
        <v>274</v>
      </c>
      <c r="K29" s="3442">
        <v>3135643.8536169957</v>
      </c>
      <c r="L29" s="3442" t="s">
        <v>274</v>
      </c>
      <c r="M29" s="3442" t="s">
        <v>199</v>
      </c>
      <c r="N29" s="3442" t="s">
        <v>199</v>
      </c>
      <c r="O29" s="3442">
        <v>156295.32246573493</v>
      </c>
      <c r="P29" s="3442" t="s">
        <v>199</v>
      </c>
      <c r="Q29" s="3442">
        <v>1185356.5120979128</v>
      </c>
      <c r="R29" s="3445">
        <f t="shared" si="8"/>
        <v>43053244.414467521</v>
      </c>
      <c r="S29" s="2676"/>
      <c r="T29" s="2677"/>
      <c r="U29" s="3419">
        <f t="shared" si="9"/>
        <v>2.434580412675591E-2</v>
      </c>
      <c r="V29" s="3417"/>
      <c r="W29" s="3418"/>
      <c r="X29" s="3282">
        <v>6.2622861674140592E-2</v>
      </c>
      <c r="Y29" s="3142"/>
      <c r="Z29" s="3420"/>
    </row>
    <row r="30" spans="2:26" ht="18" customHeight="1" x14ac:dyDescent="0.2">
      <c r="B30" s="349" t="s">
        <v>1116</v>
      </c>
      <c r="C30" s="3281">
        <f>IF(SUM(C32:C39)=0,"NO",SUM(C32:C39))</f>
        <v>43857.936999999998</v>
      </c>
      <c r="D30" s="3455"/>
      <c r="E30" s="3455"/>
      <c r="F30" s="2668" t="str">
        <f>IF(SUM(F32:F39)=0,"NO",SUM(F32:F39))</f>
        <v>NO</v>
      </c>
      <c r="G30" s="2668" t="str">
        <f t="shared" ref="G30:Q30" si="24">IF(SUM(G32:G39)=0,"NO",SUM(G32:G39))</f>
        <v>NO</v>
      </c>
      <c r="H30" s="2668" t="str">
        <f t="shared" si="24"/>
        <v>NO</v>
      </c>
      <c r="I30" s="2668">
        <f t="shared" si="24"/>
        <v>10246512.03953037</v>
      </c>
      <c r="J30" s="2668" t="str">
        <f t="shared" si="24"/>
        <v>NO</v>
      </c>
      <c r="K30" s="2668" t="str">
        <f t="shared" si="24"/>
        <v>NO</v>
      </c>
      <c r="L30" s="2668" t="str">
        <f t="shared" si="24"/>
        <v>NO</v>
      </c>
      <c r="M30" s="2668">
        <f t="shared" si="24"/>
        <v>19420784.868113268</v>
      </c>
      <c r="N30" s="2668">
        <f t="shared" si="24"/>
        <v>4135293.5490112575</v>
      </c>
      <c r="O30" s="2668">
        <f t="shared" si="24"/>
        <v>73667.705944723552</v>
      </c>
      <c r="P30" s="2668" t="str">
        <f t="shared" si="24"/>
        <v>NO</v>
      </c>
      <c r="Q30" s="2668">
        <f t="shared" si="24"/>
        <v>32684918.154502947</v>
      </c>
      <c r="R30" s="3445">
        <f t="shared" si="8"/>
        <v>66561176.317102566</v>
      </c>
      <c r="S30" s="2676"/>
      <c r="T30" s="2677"/>
      <c r="U30" s="3419">
        <f t="shared" si="9"/>
        <v>4.3230222150683444E-3</v>
      </c>
      <c r="V30" s="3417"/>
      <c r="W30" s="3418"/>
      <c r="X30" s="3281">
        <f t="shared" ref="X30" si="25">IF(SUM(X32:X39)=0,"NO",SUM(X32:X39))</f>
        <v>0.1895988359580679</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18.623000000000001</v>
      </c>
      <c r="D32" s="3274">
        <v>39.5</v>
      </c>
      <c r="E32" s="3457" t="str">
        <f>'Table3.B(a)'!G32</f>
        <v>NA</v>
      </c>
      <c r="F32" s="3442" t="s">
        <v>199</v>
      </c>
      <c r="G32" s="3442" t="s">
        <v>199</v>
      </c>
      <c r="H32" s="3442" t="s">
        <v>199</v>
      </c>
      <c r="I32" s="3442" t="s">
        <v>199</v>
      </c>
      <c r="J32" s="3442" t="s">
        <v>199</v>
      </c>
      <c r="K32" s="3442" t="s">
        <v>199</v>
      </c>
      <c r="L32" s="3442" t="s">
        <v>199</v>
      </c>
      <c r="M32" s="3442">
        <v>735608.5</v>
      </c>
      <c r="N32" s="3442" t="s">
        <v>199</v>
      </c>
      <c r="O32" s="3442" t="s">
        <v>199</v>
      </c>
      <c r="P32" s="3442" t="s">
        <v>199</v>
      </c>
      <c r="Q32" s="3442" t="s">
        <v>199</v>
      </c>
      <c r="R32" s="3445">
        <f t="shared" si="8"/>
        <v>735608.5</v>
      </c>
      <c r="S32" s="2676"/>
      <c r="T32" s="2677"/>
      <c r="U32" s="3419" t="str">
        <f>IF(SUM(X32)=0,"NA",X32*1000/C32)</f>
        <v>NA</v>
      </c>
      <c r="V32" s="3417"/>
      <c r="W32" s="3418"/>
      <c r="X32" s="3282" t="s">
        <v>205</v>
      </c>
      <c r="Y32" s="3142"/>
      <c r="Z32" s="3420"/>
    </row>
    <row r="33" spans="2:26" ht="18" customHeight="1" x14ac:dyDescent="0.2">
      <c r="B33" s="348" t="s">
        <v>1068</v>
      </c>
      <c r="C33" s="3458">
        <f>Table3.A!C33</f>
        <v>1.042</v>
      </c>
      <c r="D33" s="3274">
        <v>39.5</v>
      </c>
      <c r="E33" s="3457" t="str">
        <f>'Table3.B(a)'!G33</f>
        <v>NA</v>
      </c>
      <c r="F33" s="3442" t="s">
        <v>199</v>
      </c>
      <c r="G33" s="3442" t="s">
        <v>199</v>
      </c>
      <c r="H33" s="3442" t="s">
        <v>199</v>
      </c>
      <c r="I33" s="3442" t="s">
        <v>199</v>
      </c>
      <c r="J33" s="3442" t="s">
        <v>199</v>
      </c>
      <c r="K33" s="3442" t="s">
        <v>199</v>
      </c>
      <c r="L33" s="3442" t="s">
        <v>199</v>
      </c>
      <c r="M33" s="3442">
        <v>41175.748</v>
      </c>
      <c r="N33" s="3442" t="s">
        <v>199</v>
      </c>
      <c r="O33" s="3442" t="s">
        <v>199</v>
      </c>
      <c r="P33" s="3442" t="s">
        <v>199</v>
      </c>
      <c r="Q33" s="3442" t="s">
        <v>199</v>
      </c>
      <c r="R33" s="3445">
        <f t="shared" si="8"/>
        <v>41175.748</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80.445999999999998</v>
      </c>
      <c r="D34" s="3274">
        <v>13.2</v>
      </c>
      <c r="E34" s="3457" t="str">
        <f>'Table3.B(a)'!G34</f>
        <v>NA</v>
      </c>
      <c r="F34" s="3442" t="s">
        <v>199</v>
      </c>
      <c r="G34" s="3442" t="s">
        <v>199</v>
      </c>
      <c r="H34" s="3442" t="s">
        <v>199</v>
      </c>
      <c r="I34" s="3442" t="s">
        <v>199</v>
      </c>
      <c r="J34" s="3442" t="s">
        <v>199</v>
      </c>
      <c r="K34" s="3442" t="s">
        <v>199</v>
      </c>
      <c r="L34" s="3442" t="s">
        <v>199</v>
      </c>
      <c r="M34" s="3442">
        <v>1061888.1372</v>
      </c>
      <c r="N34" s="3442" t="s">
        <v>199</v>
      </c>
      <c r="O34" s="3442" t="s">
        <v>199</v>
      </c>
      <c r="P34" s="3442" t="s">
        <v>199</v>
      </c>
      <c r="Q34" s="3442" t="s">
        <v>199</v>
      </c>
      <c r="R34" s="3445">
        <f t="shared" si="8"/>
        <v>1061888.1372</v>
      </c>
      <c r="S34" s="2676"/>
      <c r="T34" s="2677"/>
      <c r="U34" s="3419" t="str">
        <f t="shared" si="26"/>
        <v>NA</v>
      </c>
      <c r="V34" s="3417"/>
      <c r="W34" s="3418"/>
      <c r="X34" s="3282" t="s">
        <v>205</v>
      </c>
      <c r="Y34" s="3142"/>
      <c r="Z34" s="3420"/>
    </row>
    <row r="35" spans="2:26" ht="18" customHeight="1" x14ac:dyDescent="0.2">
      <c r="B35" s="348" t="s">
        <v>1070</v>
      </c>
      <c r="C35" s="3458">
        <f>Table3.A!C35</f>
        <v>530.476</v>
      </c>
      <c r="D35" s="3274">
        <v>7</v>
      </c>
      <c r="E35" s="3457" t="str">
        <f>'Table3.B(a)'!G35</f>
        <v>NA</v>
      </c>
      <c r="F35" s="3442" t="s">
        <v>199</v>
      </c>
      <c r="G35" s="3442" t="s">
        <v>199</v>
      </c>
      <c r="H35" s="3442" t="s">
        <v>199</v>
      </c>
      <c r="I35" s="3442" t="s">
        <v>199</v>
      </c>
      <c r="J35" s="3442" t="s">
        <v>199</v>
      </c>
      <c r="K35" s="3442" t="s">
        <v>199</v>
      </c>
      <c r="L35" s="3442" t="s">
        <v>199</v>
      </c>
      <c r="M35" s="3442">
        <v>3713332.6510000001</v>
      </c>
      <c r="N35" s="3442" t="s">
        <v>199</v>
      </c>
      <c r="O35" s="3442" t="s">
        <v>199</v>
      </c>
      <c r="P35" s="3442" t="s">
        <v>199</v>
      </c>
      <c r="Q35" s="3442" t="s">
        <v>199</v>
      </c>
      <c r="R35" s="3445">
        <f t="shared" si="8"/>
        <v>3713332.6510000001</v>
      </c>
      <c r="S35" s="2676"/>
      <c r="T35" s="2677"/>
      <c r="U35" s="3419" t="str">
        <f t="shared" si="26"/>
        <v>NA</v>
      </c>
      <c r="V35" s="3417"/>
      <c r="W35" s="3418"/>
      <c r="X35" s="3282" t="s">
        <v>205</v>
      </c>
      <c r="Y35" s="3142"/>
      <c r="Z35" s="3420"/>
    </row>
    <row r="36" spans="2:26" ht="18" customHeight="1" x14ac:dyDescent="0.2">
      <c r="B36" s="348" t="s">
        <v>1071</v>
      </c>
      <c r="C36" s="3458">
        <f>Table3.A!C36</f>
        <v>347.01400000000001</v>
      </c>
      <c r="D36" s="3274">
        <v>39.5</v>
      </c>
      <c r="E36" s="3457" t="str">
        <f>'Table3.B(a)'!G36</f>
        <v>NA</v>
      </c>
      <c r="F36" s="3442" t="s">
        <v>199</v>
      </c>
      <c r="G36" s="3442" t="s">
        <v>199</v>
      </c>
      <c r="H36" s="3442" t="s">
        <v>199</v>
      </c>
      <c r="I36" s="3442" t="s">
        <v>199</v>
      </c>
      <c r="J36" s="3442" t="s">
        <v>199</v>
      </c>
      <c r="K36" s="3442" t="s">
        <v>199</v>
      </c>
      <c r="L36" s="3442" t="s">
        <v>199</v>
      </c>
      <c r="M36" s="3442">
        <v>13707052.249499999</v>
      </c>
      <c r="N36" s="3442" t="s">
        <v>199</v>
      </c>
      <c r="O36" s="3442" t="s">
        <v>199</v>
      </c>
      <c r="P36" s="3442" t="s">
        <v>199</v>
      </c>
      <c r="Q36" s="3442" t="s">
        <v>199</v>
      </c>
      <c r="R36" s="3445">
        <f t="shared" si="8"/>
        <v>13707052.249499999</v>
      </c>
      <c r="S36" s="2676"/>
      <c r="T36" s="2677"/>
      <c r="U36" s="3419" t="str">
        <f t="shared" si="26"/>
        <v>NA</v>
      </c>
      <c r="V36" s="3417"/>
      <c r="W36" s="3418"/>
      <c r="X36" s="3282" t="s">
        <v>205</v>
      </c>
      <c r="Y36" s="3142"/>
      <c r="Z36" s="3420"/>
    </row>
    <row r="37" spans="2:26" ht="18" customHeight="1" x14ac:dyDescent="0.2">
      <c r="B37" s="348" t="s">
        <v>1117</v>
      </c>
      <c r="C37" s="3458">
        <f>Table3.A!C37</f>
        <v>3.3260000000000001</v>
      </c>
      <c r="D37" s="3274">
        <v>13.2</v>
      </c>
      <c r="E37" s="3457" t="str">
        <f>'Table3.B(a)'!G37</f>
        <v>NA</v>
      </c>
      <c r="F37" s="3442" t="s">
        <v>199</v>
      </c>
      <c r="G37" s="3442" t="s">
        <v>199</v>
      </c>
      <c r="H37" s="3442" t="s">
        <v>199</v>
      </c>
      <c r="I37" s="3442" t="s">
        <v>199</v>
      </c>
      <c r="J37" s="3442" t="s">
        <v>199</v>
      </c>
      <c r="K37" s="3442" t="s">
        <v>199</v>
      </c>
      <c r="L37" s="3442" t="s">
        <v>199</v>
      </c>
      <c r="M37" s="3442">
        <v>43909.496399999996</v>
      </c>
      <c r="N37" s="3442" t="s">
        <v>199</v>
      </c>
      <c r="O37" s="3442" t="s">
        <v>199</v>
      </c>
      <c r="P37" s="3442" t="s">
        <v>199</v>
      </c>
      <c r="Q37" s="3442" t="s">
        <v>199</v>
      </c>
      <c r="R37" s="3445">
        <f t="shared" si="8"/>
        <v>43909.496399999996</v>
      </c>
      <c r="S37" s="2676"/>
      <c r="T37" s="2677"/>
      <c r="U37" s="3419" t="str">
        <f t="shared" si="26"/>
        <v>NA</v>
      </c>
      <c r="V37" s="3417"/>
      <c r="W37" s="3418"/>
      <c r="X37" s="3282" t="s">
        <v>205</v>
      </c>
      <c r="Y37" s="3142"/>
      <c r="Z37" s="3420"/>
    </row>
    <row r="38" spans="2:26" ht="18" customHeight="1" x14ac:dyDescent="0.2">
      <c r="B38" s="348" t="s">
        <v>1073</v>
      </c>
      <c r="C38" s="3458">
        <f>Table3.A!C38</f>
        <v>42867.540999999997</v>
      </c>
      <c r="D38" s="3274">
        <v>0.65578831707711005</v>
      </c>
      <c r="E38" s="3457" t="str">
        <f>'Table3.B(a)'!G38</f>
        <v>NA</v>
      </c>
      <c r="F38" s="3442" t="s">
        <v>199</v>
      </c>
      <c r="G38" s="3442" t="s">
        <v>199</v>
      </c>
      <c r="H38" s="3442" t="s">
        <v>199</v>
      </c>
      <c r="I38" s="3442">
        <v>10246512.03953037</v>
      </c>
      <c r="J38" s="3442" t="s">
        <v>274</v>
      </c>
      <c r="K38" s="3442" t="s">
        <v>274</v>
      </c>
      <c r="L38" s="3442" t="s">
        <v>274</v>
      </c>
      <c r="M38" s="3442">
        <v>51536.486013265509</v>
      </c>
      <c r="N38" s="3442">
        <v>4135293.5490112575</v>
      </c>
      <c r="O38" s="3442">
        <v>73667.705944723552</v>
      </c>
      <c r="P38" s="3442" t="s">
        <v>199</v>
      </c>
      <c r="Q38" s="3442">
        <v>32684918.154502947</v>
      </c>
      <c r="R38" s="3445">
        <f t="shared" si="8"/>
        <v>47191927.935002565</v>
      </c>
      <c r="S38" s="2676"/>
      <c r="T38" s="2677"/>
      <c r="U38" s="3419">
        <f t="shared" si="26"/>
        <v>4.4228997403435834E-3</v>
      </c>
      <c r="V38" s="3417"/>
      <c r="W38" s="3418"/>
      <c r="X38" s="3282">
        <v>0.1895988359580679</v>
      </c>
      <c r="Y38" s="3142"/>
      <c r="Z38" s="3420"/>
    </row>
    <row r="39" spans="2:26" ht="18" customHeight="1" x14ac:dyDescent="0.2">
      <c r="B39" s="348" t="s">
        <v>1074</v>
      </c>
      <c r="C39" s="3281">
        <f>IF(SUM(C41:C45)=0,"NO",SUM(C41:C45))</f>
        <v>9.4689999999999994</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66281.599999999991</v>
      </c>
      <c r="N39" s="2668" t="str">
        <f t="shared" si="27"/>
        <v>NO</v>
      </c>
      <c r="O39" s="2668" t="str">
        <f t="shared" si="27"/>
        <v>NO</v>
      </c>
      <c r="P39" s="2668" t="str">
        <f t="shared" si="27"/>
        <v>NO</v>
      </c>
      <c r="Q39" s="2668" t="str">
        <f t="shared" si="27"/>
        <v>NO</v>
      </c>
      <c r="R39" s="3445">
        <f t="shared" si="8"/>
        <v>66281.599999999991</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8.6379999999999999</v>
      </c>
      <c r="D43" s="3274">
        <v>7</v>
      </c>
      <c r="E43" s="3457" t="str">
        <f>'Table3.B(a)'!G43</f>
        <v>NA</v>
      </c>
      <c r="F43" s="3442" t="s">
        <v>199</v>
      </c>
      <c r="G43" s="3442" t="s">
        <v>199</v>
      </c>
      <c r="H43" s="3442" t="s">
        <v>199</v>
      </c>
      <c r="I43" s="3442" t="s">
        <v>199</v>
      </c>
      <c r="J43" s="3442" t="s">
        <v>199</v>
      </c>
      <c r="K43" s="3442" t="s">
        <v>199</v>
      </c>
      <c r="L43" s="3442" t="s">
        <v>199</v>
      </c>
      <c r="M43" s="3442">
        <v>60468.1</v>
      </c>
      <c r="N43" s="3442" t="s">
        <v>199</v>
      </c>
      <c r="O43" s="3442" t="s">
        <v>199</v>
      </c>
      <c r="P43" s="3442" t="s">
        <v>199</v>
      </c>
      <c r="Q43" s="3442" t="s">
        <v>199</v>
      </c>
      <c r="R43" s="3445">
        <f t="shared" si="8"/>
        <v>60468.1</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0.83099999999999996</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5813.4999999999991</v>
      </c>
      <c r="N45" s="2668" t="str">
        <f t="shared" si="28"/>
        <v>NO</v>
      </c>
      <c r="O45" s="2668" t="str">
        <f t="shared" si="28"/>
        <v>NO</v>
      </c>
      <c r="P45" s="2668" t="str">
        <f t="shared" si="28"/>
        <v>NO</v>
      </c>
      <c r="Q45" s="2668" t="str">
        <f t="shared" si="28"/>
        <v>NO</v>
      </c>
      <c r="R45" s="3445">
        <f t="shared" si="8"/>
        <v>5813.4999999999991</v>
      </c>
      <c r="S45" s="2676"/>
      <c r="T45" s="2677"/>
      <c r="U45" s="3419" t="str">
        <f t="shared" si="26"/>
        <v>NA</v>
      </c>
      <c r="V45" s="3417"/>
      <c r="W45" s="3418"/>
      <c r="X45" s="3281" t="str">
        <f>X46</f>
        <v>NA</v>
      </c>
      <c r="Y45" s="3142"/>
      <c r="Z45" s="3420"/>
    </row>
    <row r="46" spans="2:26" ht="18" customHeight="1" x14ac:dyDescent="0.2">
      <c r="B46" s="2665" t="s">
        <v>1013</v>
      </c>
      <c r="C46" s="3458">
        <f>Table3.A!C46</f>
        <v>0.83099999999999996</v>
      </c>
      <c r="D46" s="3274">
        <v>7</v>
      </c>
      <c r="E46" s="3457" t="str">
        <f>'Table3.B(a)'!G46</f>
        <v>NA</v>
      </c>
      <c r="F46" s="3442" t="s">
        <v>199</v>
      </c>
      <c r="G46" s="3442" t="s">
        <v>199</v>
      </c>
      <c r="H46" s="3442" t="s">
        <v>199</v>
      </c>
      <c r="I46" s="3442" t="s">
        <v>199</v>
      </c>
      <c r="J46" s="3442" t="s">
        <v>199</v>
      </c>
      <c r="K46" s="3442" t="s">
        <v>199</v>
      </c>
      <c r="L46" s="3442" t="s">
        <v>199</v>
      </c>
      <c r="M46" s="3442">
        <v>5813.4999999999991</v>
      </c>
      <c r="N46" s="3442" t="s">
        <v>199</v>
      </c>
      <c r="O46" s="3442" t="s">
        <v>199</v>
      </c>
      <c r="P46" s="3442" t="s">
        <v>199</v>
      </c>
      <c r="Q46" s="3442" t="s">
        <v>199</v>
      </c>
      <c r="R46" s="3445">
        <f t="shared" si="8"/>
        <v>5813.4999999999991</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58971404.533649318</v>
      </c>
      <c r="T47" s="3410">
        <v>168838.96547450824</v>
      </c>
      <c r="U47" s="3429"/>
      <c r="V47" s="3430">
        <f>IF(SUM(S47)=0,"NA",Y47*1000000/S47)</f>
        <v>6.2801057568084235E-3</v>
      </c>
      <c r="W47" s="3431">
        <f>IF(SUM(T47)=0,"NA",Z47*1000000/T47)</f>
        <v>1.7285714285714279E-2</v>
      </c>
      <c r="X47" s="3283"/>
      <c r="Y47" s="3287">
        <v>0.3703466570988494</v>
      </c>
      <c r="Z47" s="3288">
        <v>2.9185021174879273E-3</v>
      </c>
    </row>
    <row r="48" spans="2:26" ht="18" customHeight="1" x14ac:dyDescent="0.2">
      <c r="B48" s="356" t="s">
        <v>1119</v>
      </c>
      <c r="C48" s="357"/>
      <c r="D48" s="357"/>
      <c r="E48" s="357"/>
      <c r="F48" s="3448">
        <f>IF(SUM(F30,F27,F24,F10)=0,"NO",SUM(F30,F27,F24,F10))</f>
        <v>48387579.02098918</v>
      </c>
      <c r="G48" s="3448" t="str">
        <f t="shared" ref="G48:Q48" si="29">IF(SUM(G30,G27,G24,G10)=0,"NO",SUM(G30,G27,G24,G10))</f>
        <v>NO</v>
      </c>
      <c r="H48" s="3448">
        <f t="shared" si="29"/>
        <v>17341483.932171412</v>
      </c>
      <c r="I48" s="3448">
        <f t="shared" si="29"/>
        <v>22424323.100565765</v>
      </c>
      <c r="J48" s="3448" t="str">
        <f t="shared" si="29"/>
        <v>NO</v>
      </c>
      <c r="K48" s="3448">
        <f t="shared" si="29"/>
        <v>29128843.646829218</v>
      </c>
      <c r="L48" s="3448" t="str">
        <f t="shared" si="29"/>
        <v>NO</v>
      </c>
      <c r="M48" s="3374"/>
      <c r="N48" s="3448">
        <f t="shared" si="29"/>
        <v>4135293.5490112575</v>
      </c>
      <c r="O48" s="3448">
        <f t="shared" si="29"/>
        <v>229963.02841045847</v>
      </c>
      <c r="P48" s="3374"/>
      <c r="Q48" s="3448">
        <f t="shared" si="29"/>
        <v>33870274.666600861</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2.0081459356175634E-2</v>
      </c>
      <c r="J49" s="3449" t="str">
        <f t="shared" si="30"/>
        <v>NA</v>
      </c>
      <c r="K49" s="3449" t="str">
        <f t="shared" si="30"/>
        <v>NA</v>
      </c>
      <c r="L49" s="3449" t="str">
        <f t="shared" si="30"/>
        <v>NA</v>
      </c>
      <c r="M49" s="87"/>
      <c r="N49" s="3449">
        <f t="shared" si="30"/>
        <v>1.5714285714285708E-2</v>
      </c>
      <c r="O49" s="3449" t="str">
        <f t="shared" si="30"/>
        <v>NA</v>
      </c>
      <c r="P49" s="87"/>
      <c r="Q49" s="3449">
        <f t="shared" si="30"/>
        <v>1.5700802219893706E-3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0.45031313293376174</v>
      </c>
      <c r="J50" s="3450" t="s">
        <v>274</v>
      </c>
      <c r="K50" s="3450" t="s">
        <v>274</v>
      </c>
      <c r="L50" s="3450" t="s">
        <v>274</v>
      </c>
      <c r="M50" s="3437"/>
      <c r="N50" s="3451">
        <v>6.4983184341605452E-2</v>
      </c>
      <c r="O50" s="3451" t="s">
        <v>205</v>
      </c>
      <c r="P50" s="3437"/>
      <c r="Q50" s="3451">
        <v>5.3179048367377635E-2</v>
      </c>
      <c r="R50" s="1311"/>
      <c r="S50" s="1312"/>
      <c r="T50" s="1313"/>
      <c r="U50" s="3436">
        <f>X50*1000/SUM(C10,C24,C27,C30)</f>
        <v>2.3851680344093027E-3</v>
      </c>
      <c r="V50" s="3437"/>
      <c r="W50" s="3438"/>
      <c r="X50" s="3286">
        <f>SUM(X10,X24,X27,X30)</f>
        <v>0.5684753656427447</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15.345732206395644</v>
      </c>
    </row>
    <row r="11" spans="1:9" ht="18" customHeight="1" x14ac:dyDescent="0.2">
      <c r="B11" s="432" t="s">
        <v>1133</v>
      </c>
      <c r="C11" s="4462">
        <v>0.96574777887952445</v>
      </c>
      <c r="D11" s="243" t="s">
        <v>199</v>
      </c>
      <c r="E11" s="283" t="s">
        <v>199</v>
      </c>
      <c r="F11" s="2330">
        <f>IF(SUM(C11)=0,"NA",G11/C11)</f>
        <v>15.89</v>
      </c>
      <c r="G11" s="3072">
        <v>15.345732206395644</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0.96574777887952445</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E21" sqref="E21"/>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27.610678595113335</v>
      </c>
      <c r="H10" s="395" t="s">
        <v>1157</v>
      </c>
      <c r="I10" s="396" t="s">
        <v>1158</v>
      </c>
      <c r="J10" s="397">
        <v>0.21</v>
      </c>
    </row>
    <row r="11" spans="2:10" ht="24" customHeight="1" x14ac:dyDescent="0.2">
      <c r="B11" s="2453" t="s">
        <v>1159</v>
      </c>
      <c r="C11" s="2454" t="s">
        <v>1160</v>
      </c>
      <c r="D11" s="3639">
        <v>439998.65823589702</v>
      </c>
      <c r="E11" s="3634">
        <f>IF(SUM(D11)=0,"NA",F11*1000/D11/(44/28))</f>
        <v>6.7087911722356871E-3</v>
      </c>
      <c r="F11" s="3390">
        <v>4.6386357508362659</v>
      </c>
      <c r="H11" s="395" t="s">
        <v>1161</v>
      </c>
      <c r="I11" s="396" t="s">
        <v>1162</v>
      </c>
      <c r="J11" s="397">
        <v>0.24</v>
      </c>
    </row>
    <row r="12" spans="2:10" ht="24" customHeight="1" x14ac:dyDescent="0.2">
      <c r="B12" s="2453" t="s">
        <v>1163</v>
      </c>
      <c r="C12" s="2455" t="s">
        <v>1164</v>
      </c>
      <c r="D12" s="3640">
        <f>IF(SUM(D13:D15)=0,"NO",SUM(D13:D15))</f>
        <v>72433.233755356545</v>
      </c>
      <c r="E12" s="3635">
        <f t="shared" ref="E12:E23" si="0">IF(SUM(D12)=0,"NA",F12*1000/D12/(44/28))</f>
        <v>8.2325068006143601E-3</v>
      </c>
      <c r="F12" s="3391">
        <f>IF(SUM(F13:F15)=0,"NO",SUM(F13:F15))</f>
        <v>0.93705399775658371</v>
      </c>
      <c r="H12" s="4233" t="s">
        <v>1165</v>
      </c>
      <c r="I12" s="4234"/>
      <c r="J12" s="4235"/>
    </row>
    <row r="13" spans="2:10" ht="24" customHeight="1" thickBot="1" x14ac:dyDescent="0.25">
      <c r="B13" s="2453" t="s">
        <v>1166</v>
      </c>
      <c r="C13" s="2454" t="s">
        <v>1167</v>
      </c>
      <c r="D13" s="3641">
        <v>66247.910335282955</v>
      </c>
      <c r="E13" s="3634">
        <f t="shared" si="0"/>
        <v>8.1608487869973042E-3</v>
      </c>
      <c r="F13" s="3390">
        <v>0.84957585224411447</v>
      </c>
      <c r="H13" s="4236"/>
      <c r="I13" s="4237"/>
      <c r="J13" s="4238"/>
    </row>
    <row r="14" spans="2:10" ht="24" customHeight="1" x14ac:dyDescent="0.2">
      <c r="B14" s="2453" t="s">
        <v>1168</v>
      </c>
      <c r="C14" s="2454" t="s">
        <v>1169</v>
      </c>
      <c r="D14" s="3641">
        <v>6185.3234200735824</v>
      </c>
      <c r="E14" s="3634">
        <f t="shared" si="0"/>
        <v>8.9999999999999993E-3</v>
      </c>
      <c r="F14" s="3390">
        <v>8.7478145512469241E-2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2257656.644176675</v>
      </c>
      <c r="E16" s="3634">
        <f t="shared" si="0"/>
        <v>3.9999999999999983E-3</v>
      </c>
      <c r="F16" s="3390">
        <v>14.190984620539094</v>
      </c>
    </row>
    <row r="17" spans="2:11" ht="24" customHeight="1" x14ac:dyDescent="0.2">
      <c r="B17" s="2453" t="s">
        <v>1176</v>
      </c>
      <c r="C17" s="2454" t="s">
        <v>1177</v>
      </c>
      <c r="D17" s="3641">
        <v>597645.67596168409</v>
      </c>
      <c r="E17" s="3634">
        <f t="shared" si="0"/>
        <v>5.0300000000000015E-3</v>
      </c>
      <c r="F17" s="3390">
        <v>4.7239621787085699</v>
      </c>
    </row>
    <row r="18" spans="2:11" ht="24" customHeight="1" x14ac:dyDescent="0.2">
      <c r="B18" s="2453" t="s">
        <v>1178</v>
      </c>
      <c r="C18" s="2454" t="s">
        <v>1179</v>
      </c>
      <c r="D18" s="3641">
        <v>470605.19580731087</v>
      </c>
      <c r="E18" s="3636">
        <f t="shared" si="0"/>
        <v>4.1000000000000012E-3</v>
      </c>
      <c r="F18" s="3392">
        <v>3.0320420472728178</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9.8757741370854042</v>
      </c>
    </row>
    <row r="22" spans="2:11" ht="24" customHeight="1" x14ac:dyDescent="0.2">
      <c r="B22" s="2457" t="s">
        <v>1184</v>
      </c>
      <c r="C22" s="2454" t="s">
        <v>1185</v>
      </c>
      <c r="D22" s="3641">
        <v>537718.72677167517</v>
      </c>
      <c r="E22" s="3634">
        <f t="shared" si="0"/>
        <v>2.7374723439922677E-3</v>
      </c>
      <c r="F22" s="3390">
        <v>2.3131273681751643</v>
      </c>
    </row>
    <row r="23" spans="2:11" ht="24" customHeight="1" thickBot="1" x14ac:dyDescent="0.25">
      <c r="B23" s="406" t="s">
        <v>1186</v>
      </c>
      <c r="C23" s="407" t="s">
        <v>1187</v>
      </c>
      <c r="D23" s="3643">
        <v>437508.49076340214</v>
      </c>
      <c r="E23" s="3638">
        <f t="shared" si="0"/>
        <v>1.1000000000000005E-2</v>
      </c>
      <c r="F23" s="3394">
        <v>7.5626467689102403</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15066101.000000002</v>
      </c>
      <c r="N9" s="4167">
        <v>4107754</v>
      </c>
      <c r="O9" s="4167">
        <v>193702</v>
      </c>
      <c r="P9" s="4168">
        <v>750512</v>
      </c>
      <c r="Q9" s="4168">
        <v>1529840.0000000002</v>
      </c>
      <c r="R9" s="4168">
        <v>244710.00810482967</v>
      </c>
      <c r="S9" s="4168">
        <v>739832</v>
      </c>
      <c r="T9" s="4168">
        <v>183240</v>
      </c>
      <c r="U9" s="4168">
        <v>1411548.3749999998</v>
      </c>
      <c r="V9" s="4168">
        <v>25199852.000000004</v>
      </c>
      <c r="W9" s="4168">
        <v>27218.27</v>
      </c>
      <c r="X9" s="4169">
        <v>172418</v>
      </c>
    </row>
    <row r="10" spans="2:24" ht="18" customHeight="1" thickTop="1" x14ac:dyDescent="0.2">
      <c r="B10" s="430" t="s">
        <v>1226</v>
      </c>
      <c r="C10" s="374"/>
      <c r="D10" s="431"/>
      <c r="E10" s="431"/>
      <c r="F10" s="4137">
        <f>IF(SUM(F11:F14)=0,"NO",SUM(F11:F14))</f>
        <v>4969.345606715231</v>
      </c>
      <c r="G10" s="4138">
        <f>IF(SUM($F10)=0,"NA",I10/$F10*1000)</f>
        <v>1.8787703960530928</v>
      </c>
      <c r="H10" s="4139">
        <f>IF(SUM($F10)=0,"NA",J10/$F10*1000)</f>
        <v>7.5249054478524452E-2</v>
      </c>
      <c r="I10" s="3161">
        <f>IF(SUM(I11:I14)=0,"NO",SUM(I11:I14))</f>
        <v>9.336259413653071</v>
      </c>
      <c r="J10" s="416">
        <f>IF(SUM(J11:J14)=0,"NO",SUM(J11:J14))</f>
        <v>0.37393855828233052</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3106.2948740751253</v>
      </c>
      <c r="G11" s="4141">
        <f>IF(SUM($F11)=0,"NA",I11/$F11*1000)</f>
        <v>1.8666666666666669</v>
      </c>
      <c r="H11" s="4142">
        <f>IF(SUM($F11)=0,"NA",J11/$F11*1000)</f>
        <v>7.1657142857142864E-2</v>
      </c>
      <c r="I11" s="3291">
        <v>5.7984170982735677</v>
      </c>
      <c r="J11" s="3292">
        <v>0.22258821554801184</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703.71220929797494</v>
      </c>
      <c r="G12" s="4143">
        <f t="shared" ref="G12:G28" si="0">IF(SUM($F12)=0,"NA",I12/$F12*1000)</f>
        <v>1.8666666666666665</v>
      </c>
      <c r="H12" s="4142">
        <f t="shared" ref="H12:H28" si="1">IF(SUM($F12)=0,"NA",J12/$F12*1000)</f>
        <v>8.359999999999998E-2</v>
      </c>
      <c r="I12" s="3149">
        <v>1.3135961240228864</v>
      </c>
      <c r="J12" s="3292">
        <v>5.883034069731069E-2</v>
      </c>
      <c r="L12" s="1323" t="s">
        <v>1231</v>
      </c>
      <c r="M12" s="4165">
        <v>0.32540680958767904</v>
      </c>
      <c r="N12" s="4165">
        <v>0.32707327842109762</v>
      </c>
      <c r="O12" s="4165">
        <v>0.29532019966949391</v>
      </c>
      <c r="P12" s="4166">
        <v>0.25681486377798279</v>
      </c>
      <c r="Q12" s="4166">
        <v>0.34560214947309836</v>
      </c>
      <c r="R12" s="4166">
        <v>0.31709205597422546</v>
      </c>
      <c r="S12" s="4166">
        <v>0.81499999999999984</v>
      </c>
      <c r="T12" s="4166">
        <v>0.33504005235956819</v>
      </c>
      <c r="U12" s="4166">
        <v>0.32474589674726795</v>
      </c>
      <c r="V12" s="4166">
        <v>0.68045955190530494</v>
      </c>
      <c r="W12" s="4166">
        <v>0.22193274045621122</v>
      </c>
      <c r="X12" s="4140">
        <v>0.31762604263159744</v>
      </c>
    </row>
    <row r="13" spans="2:24" ht="18" customHeight="1" thickBot="1" x14ac:dyDescent="0.25">
      <c r="B13" s="432" t="s">
        <v>1232</v>
      </c>
      <c r="C13" s="433" t="s">
        <v>205</v>
      </c>
      <c r="D13" s="433" t="s">
        <v>205</v>
      </c>
      <c r="E13" s="433" t="s">
        <v>205</v>
      </c>
      <c r="F13" s="4140">
        <v>37.80963073759473</v>
      </c>
      <c r="G13" s="4143">
        <f t="shared" si="0"/>
        <v>1.9600000000000004</v>
      </c>
      <c r="H13" s="4142">
        <f t="shared" si="1"/>
        <v>5.971428571428572E-2</v>
      </c>
      <c r="I13" s="3149">
        <v>7.4106876245685682E-2</v>
      </c>
      <c r="J13" s="3292">
        <v>2.2577750926163712E-3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1121.5288926045362</v>
      </c>
      <c r="G14" s="4145">
        <f t="shared" si="0"/>
        <v>1.9171501771279775</v>
      </c>
      <c r="H14" s="4146">
        <f t="shared" si="1"/>
        <v>8.0481410278049004E-2</v>
      </c>
      <c r="I14" s="3168">
        <f>IF(SUM(I15:I19)=0,"NO",SUM(I15:I19))</f>
        <v>2.1501393151109309</v>
      </c>
      <c r="J14" s="3064">
        <f>IF(SUM(J15:J19)=0,"NO",SUM(J15:J19))</f>
        <v>9.0262226944391635E-2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111.01975893719509</v>
      </c>
      <c r="G15" s="4147">
        <f t="shared" si="0"/>
        <v>1.8666666666666667</v>
      </c>
      <c r="H15" s="4148">
        <f t="shared" si="1"/>
        <v>9.5542857142857124E-2</v>
      </c>
      <c r="I15" s="3293">
        <v>0.20723688334943083</v>
      </c>
      <c r="J15" s="3292">
        <v>1.0607144968170867E-2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317.12808193942362</v>
      </c>
      <c r="G16" s="4149">
        <f t="shared" si="0"/>
        <v>1.8666666666666665</v>
      </c>
      <c r="H16" s="4150">
        <f t="shared" si="1"/>
        <v>7.1657142857142878E-2</v>
      </c>
      <c r="I16" s="3294">
        <v>0.59197241962025737</v>
      </c>
      <c r="J16" s="3292">
        <v>2.2724492271544987E-2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47.853516647966316</v>
      </c>
      <c r="G17" s="4149">
        <f t="shared" si="0"/>
        <v>1.8666666666666667</v>
      </c>
      <c r="H17" s="4150">
        <f t="shared" si="1"/>
        <v>7.1657142857142864E-2</v>
      </c>
      <c r="I17" s="3294">
        <v>8.9326564409537124E-2</v>
      </c>
      <c r="J17" s="3292">
        <v>3.4290462786599864E-3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606.62909552639996</v>
      </c>
      <c r="G18" s="4149">
        <f t="shared" si="0"/>
        <v>1.9599999999999995</v>
      </c>
      <c r="H18" s="4150">
        <f t="shared" si="1"/>
        <v>8.359999999999998E-2</v>
      </c>
      <c r="I18" s="3294">
        <v>1.1889930272317437</v>
      </c>
      <c r="J18" s="3292">
        <v>5.071419238600703E-2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38.898439553551107</v>
      </c>
      <c r="G19" s="4149">
        <f t="shared" si="0"/>
        <v>1.8666666666666671</v>
      </c>
      <c r="H19" s="4150">
        <f t="shared" si="1"/>
        <v>7.165714285714285E-2</v>
      </c>
      <c r="I19" s="3294">
        <v>7.2610420499962081E-2</v>
      </c>
      <c r="J19" s="3292">
        <v>2.7873510400087476E-3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262.25301869414989</v>
      </c>
      <c r="G20" s="4153">
        <f t="shared" si="0"/>
        <v>1.8666666666666669</v>
      </c>
      <c r="H20" s="4154">
        <f t="shared" si="1"/>
        <v>0.10748571428571428</v>
      </c>
      <c r="I20" s="3187">
        <f>I21</f>
        <v>0.48953896822907983</v>
      </c>
      <c r="J20" s="442">
        <f>J21</f>
        <v>2.8188453037925481E-2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262.25301869414989</v>
      </c>
      <c r="G21" s="4156">
        <f t="shared" si="0"/>
        <v>1.8666666666666669</v>
      </c>
      <c r="H21" s="4146">
        <f t="shared" si="1"/>
        <v>0.10748571428571428</v>
      </c>
      <c r="I21" s="3168">
        <f>I22</f>
        <v>0.48953896822907983</v>
      </c>
      <c r="J21" s="3064">
        <f>J22</f>
        <v>2.8188453037925481E-2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262.25301869414989</v>
      </c>
      <c r="G22" s="4158">
        <f t="shared" si="0"/>
        <v>1.8666666666666669</v>
      </c>
      <c r="H22" s="4159">
        <f t="shared" si="1"/>
        <v>0.10748571428571428</v>
      </c>
      <c r="I22" s="3295">
        <v>0.48953896822907983</v>
      </c>
      <c r="J22" s="3296">
        <v>2.8188453037925481E-2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823.07904000000008</v>
      </c>
      <c r="G26" s="4163">
        <f t="shared" si="0"/>
        <v>1.8666666666666667</v>
      </c>
      <c r="H26" s="4164">
        <f t="shared" si="1"/>
        <v>5.9714285714285713E-2</v>
      </c>
      <c r="I26" s="3297">
        <v>1.5364142080000001</v>
      </c>
      <c r="J26" s="3298">
        <v>4.9149576960000003E-2</v>
      </c>
      <c r="L26" s="159"/>
    </row>
    <row r="27" spans="2:24" ht="18" customHeight="1" x14ac:dyDescent="0.2">
      <c r="B27" s="439" t="s">
        <v>1242</v>
      </c>
      <c r="C27" s="440"/>
      <c r="D27" s="441"/>
      <c r="E27" s="441"/>
      <c r="F27" s="4152">
        <f>IF(SUM(F28:F29)=0,"NO",SUM(F28:F29))</f>
        <v>81.79319486716561</v>
      </c>
      <c r="G27" s="4153">
        <f t="shared" si="0"/>
        <v>1.8694988182903298</v>
      </c>
      <c r="H27" s="4154">
        <f t="shared" si="1"/>
        <v>0.11002251295433867</v>
      </c>
      <c r="I27" s="3187">
        <f>IF(SUM(I28:I29)=0,"NO",SUM(I28:I29))</f>
        <v>0.15291228114835678</v>
      </c>
      <c r="J27" s="442">
        <f>IF(SUM(J28:J29)=0,"NO",SUM(J28:J29))</f>
        <v>8.9990928418494757E-3</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2.4819721033679909</v>
      </c>
      <c r="G28" s="4149">
        <f t="shared" si="0"/>
        <v>1.96</v>
      </c>
      <c r="H28" s="4150">
        <f t="shared" si="1"/>
        <v>0.1910857142857143</v>
      </c>
      <c r="I28" s="3294">
        <v>4.8646653226012623E-3</v>
      </c>
      <c r="J28" s="3292">
        <v>4.7426941220928931E-4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79.311222763797616</v>
      </c>
      <c r="G29" s="4149">
        <f t="shared" ref="G29" si="2">IF(SUM($F29)=0,"NA",I29/$F29*1000)</f>
        <v>1.8666666666666663</v>
      </c>
      <c r="H29" s="4150">
        <f t="shared" ref="H29" si="3">IF(SUM($F29)=0,"NA",J29/$F29*1000)</f>
        <v>0.10748571428571425</v>
      </c>
      <c r="I29" s="3294">
        <v>0.14804761582575551</v>
      </c>
      <c r="J29" s="3292">
        <v>8.5248234296401871E-3</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260.25846060066385</v>
      </c>
    </row>
    <row r="11" spans="2:5" s="83" customFormat="1" ht="18" customHeight="1" x14ac:dyDescent="0.2">
      <c r="B11" s="1858" t="s">
        <v>1361</v>
      </c>
      <c r="C11" s="4175">
        <v>577342.56973004946</v>
      </c>
      <c r="D11" s="3534">
        <f>IF(SUM(C11)=0,"NA",E11*1000/(44/12)/C11)</f>
        <v>0.10799999999999998</v>
      </c>
      <c r="E11" s="3395">
        <v>228.62765761309956</v>
      </c>
    </row>
    <row r="12" spans="2:5" s="83" customFormat="1" ht="18" customHeight="1" x14ac:dyDescent="0.2">
      <c r="B12" s="1858" t="s">
        <v>1362</v>
      </c>
      <c r="C12" s="4175">
        <v>69850.871522041038</v>
      </c>
      <c r="D12" s="3534">
        <f t="shared" ref="D12:D16" si="0">IF(SUM(C12)=0,"NA",E12*1000/(44/12)/C12)</f>
        <v>0.12350000000000021</v>
      </c>
      <c r="E12" s="3395">
        <v>31.630802987564302</v>
      </c>
    </row>
    <row r="13" spans="2:5" s="83" customFormat="1" ht="18" customHeight="1" x14ac:dyDescent="0.2">
      <c r="B13" s="853" t="s">
        <v>1363</v>
      </c>
      <c r="C13" s="4176">
        <v>510869.56521739135</v>
      </c>
      <c r="D13" s="4177">
        <f t="shared" si="0"/>
        <v>0.20000000000000004</v>
      </c>
      <c r="E13" s="3396">
        <v>374.63768115942037</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133784.21891553813</v>
      </c>
      <c r="D10" s="4269">
        <f t="shared" ref="D10:H10" si="0">IF(SUM(D11,D14,D17,D20,D23,D26,D29:D30)=0,"NO",SUM(D11,D14,D17,D20,D23,D26,D29:D30))</f>
        <v>709.77379808244677</v>
      </c>
      <c r="E10" s="4269">
        <f t="shared" si="0"/>
        <v>15.518014420853293</v>
      </c>
      <c r="F10" s="4269">
        <f t="shared" si="0"/>
        <v>779.07849709935965</v>
      </c>
      <c r="G10" s="4269">
        <f t="shared" si="0"/>
        <v>21849.910175720033</v>
      </c>
      <c r="H10" s="4270">
        <f t="shared" si="0"/>
        <v>995.59445489074858</v>
      </c>
      <c r="I10" s="4271">
        <f>IF(SUM(C10:E10)=0,"NO",SUM(C10)+28*SUM(D10)+265*SUM(E10))</f>
        <v>157770.15908337277</v>
      </c>
      <c r="J10" s="4259"/>
    </row>
    <row r="11" spans="2:10" ht="18" customHeight="1" x14ac:dyDescent="0.2">
      <c r="B11" s="464" t="s">
        <v>1252</v>
      </c>
      <c r="C11" s="4272">
        <f>IF(SUM(C12:C13)=0,"NO",SUM(C12:C13))</f>
        <v>-13884.157619537076</v>
      </c>
      <c r="D11" s="4272">
        <f t="shared" ref="D11:H11" si="1">IF(SUM(D12:D13)=0,"NO",SUM(D12:D13))</f>
        <v>242.21876666320892</v>
      </c>
      <c r="E11" s="4272">
        <f t="shared" si="1"/>
        <v>5.2593458587398771</v>
      </c>
      <c r="F11" s="4272">
        <f t="shared" si="1"/>
        <v>270.96921004035516</v>
      </c>
      <c r="G11" s="4272">
        <f t="shared" si="1"/>
        <v>7215.0528097868846</v>
      </c>
      <c r="H11" s="4273">
        <f t="shared" si="1"/>
        <v>227.11762058370729</v>
      </c>
      <c r="I11" s="4274">
        <f t="shared" ref="I11:I32" si="2">IF(SUM(C11:E11)=0,"NO",SUM(C11)+28*SUM(D11)+265*SUM(E11))</f>
        <v>-5708.3055004011585</v>
      </c>
    </row>
    <row r="12" spans="2:10" ht="18" customHeight="1" x14ac:dyDescent="0.2">
      <c r="B12" s="465" t="s">
        <v>1253</v>
      </c>
      <c r="C12" s="4275">
        <f>IF(SUM(Table4.A!U11,'Table4(IV)'!J12)=0,"NO",SUM(Table4.A!U11,'Table4(IV)'!J12))</f>
        <v>-7409.2292119061794</v>
      </c>
      <c r="D12" s="4275">
        <f>'Table4(IV)'!K12</f>
        <v>241.7066495871172</v>
      </c>
      <c r="E12" s="4275">
        <f>IF(SUM('Table4(III)'!I12,'Table4(IV)'!L12)=0,"NO",SUM('Table4(III)'!I12,'Table4(IV)'!L12))</f>
        <v>4.7474007105152998</v>
      </c>
      <c r="F12" s="4276">
        <v>270.55614927088146</v>
      </c>
      <c r="G12" s="4276">
        <v>7201.9078014906863</v>
      </c>
      <c r="H12" s="4277">
        <v>226.10442722996311</v>
      </c>
      <c r="I12" s="4278">
        <f t="shared" si="2"/>
        <v>616.61816481965639</v>
      </c>
    </row>
    <row r="13" spans="2:10" ht="18" customHeight="1" thickBot="1" x14ac:dyDescent="0.25">
      <c r="B13" s="466" t="s">
        <v>1254</v>
      </c>
      <c r="C13" s="4279">
        <f>IF(SUM(Table4.A!U16,'Table4(IV)'!J19)=0,"NO",SUM(Table4.A!U16,'Table4(IV)'!J19))</f>
        <v>-6474.9284076308977</v>
      </c>
      <c r="D13" s="4279">
        <f>'Table4(IV)'!K19</f>
        <v>0.51211707609173163</v>
      </c>
      <c r="E13" s="4279">
        <f>IF(SUM('Table4(III)'!I13,'Table4(IV)'!L19)=0,"NO",SUM('Table4(III)'!I13,'Table4(IV)'!L19))</f>
        <v>0.51194514822457771</v>
      </c>
      <c r="F13" s="4280">
        <v>0.41306076947372994</v>
      </c>
      <c r="G13" s="4280">
        <v>13.145008296198693</v>
      </c>
      <c r="H13" s="4281">
        <v>1.0131933537441902</v>
      </c>
      <c r="I13" s="4282">
        <f t="shared" si="2"/>
        <v>-6324.9236652208165</v>
      </c>
    </row>
    <row r="14" spans="2:10" ht="18" customHeight="1" x14ac:dyDescent="0.2">
      <c r="B14" s="464" t="s">
        <v>1255</v>
      </c>
      <c r="C14" s="4272">
        <f>IF(SUM(C15:C16)=0,"NO",SUM(C15:C16))</f>
        <v>34351.57617938632</v>
      </c>
      <c r="D14" s="4272">
        <f t="shared" ref="D14" si="3">IF(SUM(D15:D16)=0,"NO",SUM(D15:D16))</f>
        <v>21.166542228602228</v>
      </c>
      <c r="E14" s="4272">
        <f t="shared" ref="E14" si="4">IF(SUM(E15:E16)=0,"NO",SUM(E15:E16))</f>
        <v>0.48927027215859376</v>
      </c>
      <c r="F14" s="4272">
        <f t="shared" ref="F14" si="5">IF(SUM(F15:F16)=0,"NO",SUM(F15:F16))</f>
        <v>15.937902332846321</v>
      </c>
      <c r="G14" s="4272">
        <f t="shared" ref="G14" si="6">IF(SUM(G15:G16)=0,"NO",SUM(G15:G16))</f>
        <v>624.21700924164907</v>
      </c>
      <c r="H14" s="4273">
        <f t="shared" ref="H14" si="7">IF(SUM(H15:H16)=0,"NO",SUM(H15:H16))</f>
        <v>75.454803314924604</v>
      </c>
      <c r="I14" s="4283">
        <f t="shared" si="2"/>
        <v>35073.895983909213</v>
      </c>
    </row>
    <row r="15" spans="2:10" ht="18" customHeight="1" x14ac:dyDescent="0.2">
      <c r="B15" s="465" t="s">
        <v>1256</v>
      </c>
      <c r="C15" s="4275">
        <f>IF(SUM(Table4.B!S11,'Table4(IV)'!J26)=0,"NO",SUM(Table4.B!S11,'Table4(IV)'!J26))</f>
        <v>17234.854814760038</v>
      </c>
      <c r="D15" s="4275" t="str">
        <f>'Table4(IV)'!K26</f>
        <v>IE</v>
      </c>
      <c r="E15" s="4275" t="str">
        <f>'Table4(IV)'!L26</f>
        <v>IE</v>
      </c>
      <c r="F15" s="4276" t="s">
        <v>274</v>
      </c>
      <c r="G15" s="4276" t="s">
        <v>274</v>
      </c>
      <c r="H15" s="4277" t="s">
        <v>274</v>
      </c>
      <c r="I15" s="4278">
        <f t="shared" si="2"/>
        <v>17234.854814760038</v>
      </c>
    </row>
    <row r="16" spans="2:10" ht="18" customHeight="1" thickBot="1" x14ac:dyDescent="0.25">
      <c r="B16" s="466" t="s">
        <v>1257</v>
      </c>
      <c r="C16" s="4279">
        <f>IF(SUM(Table4.B!S13,'Table4(IV)'!J31)=0,"IE",SUM(Table4.B!S13,'Table4(IV)'!J31))</f>
        <v>17116.721364626279</v>
      </c>
      <c r="D16" s="4279">
        <f>'Table4(IV)'!K31</f>
        <v>21.166542228602228</v>
      </c>
      <c r="E16" s="4279">
        <f>IF(SUM('Table4(III)'!I21,'Table4(IV)'!L31)=0,"IE",SUM('Table4(III)'!I21,'Table4(IV)'!L31))</f>
        <v>0.48927027215859376</v>
      </c>
      <c r="F16" s="4280">
        <v>15.937902332846321</v>
      </c>
      <c r="G16" s="4280">
        <v>624.21700924164907</v>
      </c>
      <c r="H16" s="4281">
        <v>75.454803314924604</v>
      </c>
      <c r="I16" s="4282">
        <f t="shared" si="2"/>
        <v>17839.041169149168</v>
      </c>
    </row>
    <row r="17" spans="2:9" ht="18" customHeight="1" x14ac:dyDescent="0.2">
      <c r="B17" s="464" t="s">
        <v>1258</v>
      </c>
      <c r="C17" s="4272">
        <f>IF(SUM(C18:C19)=0,"NO",SUM(C18:C19))</f>
        <v>111128.53882818409</v>
      </c>
      <c r="D17" s="4272">
        <f t="shared" ref="D17" si="8">IF(SUM(D18:D19)=0,"NO",SUM(D18:D19))</f>
        <v>354.55499461487636</v>
      </c>
      <c r="E17" s="4272">
        <f t="shared" ref="E17" si="9">IF(SUM(E18:E19)=0,"NO",SUM(E18:E19))</f>
        <v>9.3603791686527771</v>
      </c>
      <c r="F17" s="4272">
        <f t="shared" ref="F17" si="10">IF(SUM(F18:F19)=0,"NO",SUM(F18:F19))</f>
        <v>468.37266544236388</v>
      </c>
      <c r="G17" s="4272">
        <f t="shared" ref="G17" si="11">IF(SUM(G18:G19)=0,"NO",SUM(G18:G19))</f>
        <v>13375.271025542568</v>
      </c>
      <c r="H17" s="4273">
        <f t="shared" ref="H17" si="12">IF(SUM(H18:H19)=0,"NO",SUM(H18:H19))</f>
        <v>672.55122326475782</v>
      </c>
      <c r="I17" s="4283">
        <f t="shared" si="2"/>
        <v>123536.57915709361</v>
      </c>
    </row>
    <row r="18" spans="2:9" ht="18" customHeight="1" x14ac:dyDescent="0.2">
      <c r="B18" s="465" t="s">
        <v>1259</v>
      </c>
      <c r="C18" s="4275">
        <f>IF(SUM(Table4.C!S11,'Table4(IV)'!J37)=0,"IE",SUM(Table4.C!S11,'Table4(IV)'!J37))</f>
        <v>-11286.097063915708</v>
      </c>
      <c r="D18" s="4275">
        <f>'Table4(IV)'!K37</f>
        <v>171.74333327393742</v>
      </c>
      <c r="E18" s="4275">
        <f>IF(SUM('Table4(III)'!I29,'Table4(IV)'!L37)=0,"NO",SUM('Table4(III)'!I29,'Table4(IV)'!L37))</f>
        <v>5.8775202459351634</v>
      </c>
      <c r="F18" s="4276">
        <v>329.84579228957432</v>
      </c>
      <c r="G18" s="4276">
        <v>7973.7151296263237</v>
      </c>
      <c r="H18" s="4277">
        <v>24.158569157631867</v>
      </c>
      <c r="I18" s="4278">
        <f t="shared" si="2"/>
        <v>-4919.7408670726418</v>
      </c>
    </row>
    <row r="19" spans="2:9" ht="18" customHeight="1" thickBot="1" x14ac:dyDescent="0.25">
      <c r="B19" s="466" t="s">
        <v>1260</v>
      </c>
      <c r="C19" s="4279">
        <f>IF(SUM(Table4.C!S15,'Table4(IV)'!J42)=0,"IE",SUM(Table4.C!S15,'Table4(IV)'!J42))</f>
        <v>122414.63589209979</v>
      </c>
      <c r="D19" s="4279">
        <f>'Table4(IV)'!K42</f>
        <v>182.81166134093894</v>
      </c>
      <c r="E19" s="4279">
        <f>IF(SUM('Table4(III)'!I30,'Table4(IV)'!L42)=0,"NO",SUM('Table4(III)'!I30,'Table4(IV)'!L42))</f>
        <v>3.4828589227176145</v>
      </c>
      <c r="F19" s="4280">
        <v>138.52687315278953</v>
      </c>
      <c r="G19" s="4280">
        <v>5401.5558959162445</v>
      </c>
      <c r="H19" s="4281">
        <v>648.39265410712596</v>
      </c>
      <c r="I19" s="4282">
        <f t="shared" si="2"/>
        <v>128456.32002416626</v>
      </c>
    </row>
    <row r="20" spans="2:9" ht="18" customHeight="1" x14ac:dyDescent="0.2">
      <c r="B20" s="464" t="s">
        <v>1261</v>
      </c>
      <c r="C20" s="4272">
        <f>IF(SUM(C21:C22)=0,"NO",SUM(C21:C22))</f>
        <v>2094.5991809202014</v>
      </c>
      <c r="D20" s="4272">
        <f t="shared" ref="D20" si="13">IF(SUM(D21:D22)=0,"NO",SUM(D21:D22))</f>
        <v>86.175365470539688</v>
      </c>
      <c r="E20" s="4272">
        <f t="shared" ref="E20" si="14">IF(SUM(E21:E22)=0,"NO",SUM(E21:E22))</f>
        <v>0.27359551914462499</v>
      </c>
      <c r="F20" s="4272">
        <f t="shared" ref="F20" si="15">IF(SUM(F21:F22)=0,"NO",SUM(F21:F22))</f>
        <v>19.538282784923634</v>
      </c>
      <c r="G20" s="4272">
        <f t="shared" ref="G20" si="16">IF(SUM(G21:G22)=0,"NO",SUM(G21:G22))</f>
        <v>468.50691262926244</v>
      </c>
      <c r="H20" s="4273">
        <f t="shared" ref="H20" si="17">IF(SUM(H21:H22)=0,"NO",SUM(H21:H22))</f>
        <v>0.30062526893711006</v>
      </c>
      <c r="I20" s="4283">
        <f t="shared" si="2"/>
        <v>4580.0122266686394</v>
      </c>
    </row>
    <row r="21" spans="2:9" ht="18" customHeight="1" x14ac:dyDescent="0.2">
      <c r="B21" s="465" t="s">
        <v>1262</v>
      </c>
      <c r="C21" s="4275">
        <f>IF(SUM(Table4.D!S11,'Table4(IV)'!J49)=0,"IE",SUM(Table4.D!S11,'Table4(IV)'!J49))</f>
        <v>508.83376485950544</v>
      </c>
      <c r="D21" s="4275">
        <f>IF(SUM('Table4(IV)'!K49,'Table4(II)'!J270)=0,"NO",SUM('Table4(IV)'!K49,'Table4(II)'!J270))</f>
        <v>43.601190936379318</v>
      </c>
      <c r="E21" s="4275">
        <f>IF(SUM('Table4(II)'!I270,'Table4(III)'!I38,'Table4(IV)'!L49)=0,"NO",SUM('Table4(II)'!I270,'Table4(III)'!I38,'Table4(IV)'!L49))</f>
        <v>0.27359551914462499</v>
      </c>
      <c r="F21" s="4276">
        <v>19.538282784923634</v>
      </c>
      <c r="G21" s="4276">
        <v>468.50691262926244</v>
      </c>
      <c r="H21" s="4277">
        <v>0.30062526893711006</v>
      </c>
      <c r="I21" s="4278">
        <f t="shared" si="2"/>
        <v>1802.1699236514519</v>
      </c>
    </row>
    <row r="22" spans="2:9" ht="18" customHeight="1" thickBot="1" x14ac:dyDescent="0.25">
      <c r="B22" s="466" t="s">
        <v>1263</v>
      </c>
      <c r="C22" s="4279">
        <f>IF(SUM(Table4.D!S23,'Table4(II)'!H320,'Table4(IV)'!J54)=0,"NO",SUM(Table4.D!S23,'Table4(II)'!H320,'Table4(IV)'!J54))</f>
        <v>1585.7654160606962</v>
      </c>
      <c r="D22" s="4279">
        <f>IF(SUM('Table4(IV)'!K54,'Table4(II)'!J320)=0,"NO",SUM('Table4(IV)'!K54,'Table4(II)'!J320))</f>
        <v>42.57417453416037</v>
      </c>
      <c r="E22" s="4279" t="str">
        <f>IF(SUM('Table4(II)'!I320,'Table4(III)'!I39,'Table4(IV)'!L54)=0,"NO",SUM('Table4(II)'!I320,'Table4(III)'!I39,'Table4(IV)'!L54))</f>
        <v>NO</v>
      </c>
      <c r="F22" s="4280" t="s">
        <v>274</v>
      </c>
      <c r="G22" s="4280" t="s">
        <v>274</v>
      </c>
      <c r="H22" s="4281" t="s">
        <v>274</v>
      </c>
      <c r="I22" s="4282">
        <f t="shared" si="2"/>
        <v>2777.8423030171866</v>
      </c>
    </row>
    <row r="23" spans="2:9" ht="18" customHeight="1" x14ac:dyDescent="0.2">
      <c r="B23" s="464" t="s">
        <v>1264</v>
      </c>
      <c r="C23" s="4272">
        <f>IF(SUM(C24:C25)=0,"NO",SUM(C24:C25))</f>
        <v>6665.9078443745493</v>
      </c>
      <c r="D23" s="4272">
        <f t="shared" ref="D23" si="18">IF(SUM(D24:D25)=0,"NO",SUM(D24:D25))</f>
        <v>5.6581291052196079</v>
      </c>
      <c r="E23" s="4272">
        <f t="shared" ref="E23" si="19">IF(SUM(E24:E25)=0,"NO",SUM(E24:E25))</f>
        <v>0.11938574358599241</v>
      </c>
      <c r="F23" s="4272">
        <f>IF(SUM(F24:F25)=0,"NO",SUM(F24:F25))</f>
        <v>4.2604364988707166</v>
      </c>
      <c r="G23" s="4272">
        <f t="shared" ref="G23" si="20">IF(SUM(G24:G25)=0,"NO",SUM(G24:G25))</f>
        <v>166.86241851967085</v>
      </c>
      <c r="H23" s="4273">
        <f t="shared" ref="H23" si="21">IF(SUM(H24:H25)=0,"NO",SUM(H24:H25))</f>
        <v>20.170182458421749</v>
      </c>
      <c r="I23" s="4283">
        <f t="shared" si="2"/>
        <v>6855.9726813709867</v>
      </c>
    </row>
    <row r="24" spans="2:9" ht="18" customHeight="1" thickBot="1" x14ac:dyDescent="0.25">
      <c r="B24" s="465" t="s">
        <v>1265</v>
      </c>
      <c r="C24" s="4275">
        <f>IF(SUM(Table4.E!S11,'Table4(IV)'!J60)=0,"IE",SUM(Table4.E!S11,'Table4(IV)'!J60))</f>
        <v>-14.05719106762602</v>
      </c>
      <c r="D24" s="4275" t="str">
        <f>'Table4(IV)'!K60</f>
        <v>IE</v>
      </c>
      <c r="E24" s="4275">
        <f>IF(SUM('Table4(III)'!I47,'Table4(IV)'!L60)=0,"IE",SUM('Table4(III)'!I47,'Table4(IV)'!L60))</f>
        <v>3.6579004661690907E-4</v>
      </c>
      <c r="F24" s="4280" t="s">
        <v>274</v>
      </c>
      <c r="G24" s="4280" t="s">
        <v>274</v>
      </c>
      <c r="H24" s="4281" t="s">
        <v>274</v>
      </c>
      <c r="I24" s="4278">
        <f t="shared" si="2"/>
        <v>-13.960256705272538</v>
      </c>
    </row>
    <row r="25" spans="2:9" ht="18" customHeight="1" thickBot="1" x14ac:dyDescent="0.25">
      <c r="B25" s="466" t="s">
        <v>1266</v>
      </c>
      <c r="C25" s="4279">
        <f>IF(SUM(Table4.E!S13,'Table4(IV)'!J65)=0,"IE",SUM(Table4.E!S13,'Table4(IV)'!J65))</f>
        <v>6679.9650354421756</v>
      </c>
      <c r="D25" s="4279">
        <f>'Table4(IV)'!K65</f>
        <v>5.6581291052196079</v>
      </c>
      <c r="E25" s="4279">
        <f>IF(SUM('Table4(III)'!I48,'Table4(IV)'!L65)=0,"NO",SUM('Table4(III)'!I48,'Table4(IV)'!L65))</f>
        <v>0.1190199535393755</v>
      </c>
      <c r="F25" s="4280">
        <v>4.2604364988707166</v>
      </c>
      <c r="G25" s="4280">
        <v>166.86241851967085</v>
      </c>
      <c r="H25" s="4281">
        <v>20.170182458421749</v>
      </c>
      <c r="I25" s="4282">
        <f t="shared" si="2"/>
        <v>6869.9329380762592</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-6572.2454977899288</v>
      </c>
      <c r="D29" s="4288"/>
      <c r="E29" s="4288"/>
      <c r="F29" s="4288"/>
      <c r="G29" s="4288"/>
      <c r="H29" s="4289"/>
      <c r="I29" s="4290">
        <f t="shared" si="2"/>
        <v>-6572.2454977899288</v>
      </c>
    </row>
    <row r="30" spans="2:9" ht="18" customHeight="1" x14ac:dyDescent="0.2">
      <c r="B30" s="1167" t="s">
        <v>1271</v>
      </c>
      <c r="C30" s="4291" t="str">
        <f>IF(SUM(C31:C32)=0,"NO",SUM(C31:C32))</f>
        <v>NO</v>
      </c>
      <c r="D30" s="4291" t="str">
        <f t="shared" ref="D30" si="27">IF(SUM(D31:D32)=0,"NO",SUM(D31:D32))</f>
        <v>NO</v>
      </c>
      <c r="E30" s="4291">
        <f t="shared" ref="E30" si="28">IF(SUM(E31:E32)=0,"NO",SUM(E31:E32))</f>
        <v>1.6037858571428573E-2</v>
      </c>
      <c r="F30" s="4291" t="str">
        <f t="shared" ref="F30" si="29">IF(SUM(F31:F32)=0,"NO",SUM(F31:F32))</f>
        <v>NO</v>
      </c>
      <c r="G30" s="4291" t="str">
        <f t="shared" ref="G30" si="30">IF(SUM(G31:G32)=0,"NO",SUM(G31:G32))</f>
        <v>NO</v>
      </c>
      <c r="H30" s="4292" t="str">
        <f t="shared" ref="H30" si="31">IF(SUM(H31:H32)=0,"NO",SUM(H31:H32))</f>
        <v>NO</v>
      </c>
      <c r="I30" s="4293">
        <f t="shared" si="2"/>
        <v>4.2500325214285715</v>
      </c>
    </row>
    <row r="31" spans="2:9" ht="18" customHeight="1" x14ac:dyDescent="0.2">
      <c r="B31" s="2693" t="s">
        <v>1272</v>
      </c>
      <c r="C31" s="4294" t="s">
        <v>199</v>
      </c>
      <c r="D31" s="4294" t="s">
        <v>199</v>
      </c>
      <c r="E31" s="4294">
        <v>1.6037858571428573E-2</v>
      </c>
      <c r="F31" s="4294" t="s">
        <v>199</v>
      </c>
      <c r="G31" s="4294" t="s">
        <v>199</v>
      </c>
      <c r="H31" s="4295" t="s">
        <v>199</v>
      </c>
      <c r="I31" s="4296">
        <f t="shared" si="2"/>
        <v>4.2500325214285715</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t="s">
        <v>199</v>
      </c>
      <c r="D35" s="4297" t="s">
        <v>199</v>
      </c>
      <c r="E35" s="4297" t="s">
        <v>199</v>
      </c>
      <c r="F35" s="4297" t="s">
        <v>199</v>
      </c>
      <c r="G35" s="4297" t="s">
        <v>199</v>
      </c>
      <c r="H35" s="4297" t="s">
        <v>199</v>
      </c>
      <c r="I35" s="4302"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D13" sqref="D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260937.39761643976</v>
      </c>
      <c r="D10" s="4489">
        <f t="shared" ref="D10:I10" si="0">IF(SUM(D11,D37,D47)=0,"NO",SUM(D11,D37,D47))</f>
        <v>1299.2201626582212</v>
      </c>
      <c r="E10" s="4489">
        <f t="shared" si="0"/>
        <v>6.6985612369461691</v>
      </c>
      <c r="F10" s="4489">
        <f t="shared" si="0"/>
        <v>1531.7060092690283</v>
      </c>
      <c r="G10" s="4489">
        <f t="shared" si="0"/>
        <v>5287.7693337574365</v>
      </c>
      <c r="H10" s="4489">
        <f t="shared" si="0"/>
        <v>790.86032233113099</v>
      </c>
      <c r="I10" s="4490">
        <f t="shared" si="0"/>
        <v>559.69869001546454</v>
      </c>
      <c r="J10" s="4427">
        <f t="shared" ref="J10:J40" si="1">IF(SUM(C10:E10)=0,"NO",SUM(C10,IFERROR(28*D10,0),IFERROR(265*E10,0)))</f>
        <v>299090.68089866068</v>
      </c>
    </row>
    <row r="11" spans="2:10" s="83" customFormat="1" ht="18" customHeight="1" thickBot="1" x14ac:dyDescent="0.25">
      <c r="B11" s="18" t="s">
        <v>174</v>
      </c>
      <c r="C11" s="3010">
        <f>IF(SUM(C12,C16,C24,C30,C34)=0,"NO",SUM(C12,C16,C24,C30,C34))</f>
        <v>253935.97573652302</v>
      </c>
      <c r="D11" s="3010">
        <f t="shared" ref="D11:I11" si="2">IF(SUM(D12,D16,D24,D30,D34)=0,"NO",SUM(D12,D16,D24,D30,D34))</f>
        <v>134.01977686044216</v>
      </c>
      <c r="E11" s="3010">
        <f t="shared" si="2"/>
        <v>6.5736259448986516</v>
      </c>
      <c r="F11" s="3010">
        <f t="shared" si="2"/>
        <v>1527.855247170884</v>
      </c>
      <c r="G11" s="3010">
        <f t="shared" si="2"/>
        <v>5265.4329135881999</v>
      </c>
      <c r="H11" s="3010">
        <f t="shared" si="2"/>
        <v>615.87240249080128</v>
      </c>
      <c r="I11" s="3011">
        <f t="shared" si="2"/>
        <v>559.69869001546454</v>
      </c>
      <c r="J11" s="3012">
        <f t="shared" si="1"/>
        <v>259430.54036401355</v>
      </c>
    </row>
    <row r="12" spans="2:10" s="83" customFormat="1" ht="18" customHeight="1" x14ac:dyDescent="0.2">
      <c r="B12" s="26" t="s">
        <v>175</v>
      </c>
      <c r="C12" s="3010">
        <f>IF(SUM(C13:C15)=0,"NO",SUM(C13:C15))</f>
        <v>145798.89301365922</v>
      </c>
      <c r="D12" s="3010">
        <f t="shared" ref="D12:I12" si="3">IF(SUM(D13:D15)=0,"NO",SUM(D13:D15))</f>
        <v>5.9268696876790408</v>
      </c>
      <c r="E12" s="3010">
        <f t="shared" si="3"/>
        <v>1.6290682412384687</v>
      </c>
      <c r="F12" s="3010">
        <f t="shared" si="3"/>
        <v>500.44882848646728</v>
      </c>
      <c r="G12" s="3010">
        <f t="shared" si="3"/>
        <v>71.673453178922742</v>
      </c>
      <c r="H12" s="3010">
        <f>IF(SUM(H13:H15)=0,"NO",SUM(H13:H15))</f>
        <v>10.412912143563176</v>
      </c>
      <c r="I12" s="3011">
        <f t="shared" si="3"/>
        <v>421.22909481238281</v>
      </c>
      <c r="J12" s="3012">
        <f t="shared" si="1"/>
        <v>146396.54844884243</v>
      </c>
    </row>
    <row r="13" spans="2:10" s="83" customFormat="1" ht="18" customHeight="1" x14ac:dyDescent="0.2">
      <c r="B13" s="20" t="s">
        <v>176</v>
      </c>
      <c r="C13" s="3013">
        <f>'Table1.A(a)s1'!H24</f>
        <v>131266.4980468491</v>
      </c>
      <c r="D13" s="3013">
        <f>'Table1.A(a)s1'!I24</f>
        <v>1.3000256251768831</v>
      </c>
      <c r="E13" s="3013">
        <f>'Table1.A(a)s1'!J24</f>
        <v>1.4237274972144647</v>
      </c>
      <c r="F13" s="3014">
        <v>394.52906692524766</v>
      </c>
      <c r="G13" s="3014">
        <v>46.504332712781519</v>
      </c>
      <c r="H13" s="3014">
        <v>3.5377459763063253</v>
      </c>
      <c r="I13" s="3015">
        <v>401.58742232143067</v>
      </c>
      <c r="J13" s="3016">
        <f t="shared" si="1"/>
        <v>131680.18655111588</v>
      </c>
    </row>
    <row r="14" spans="2:10" s="83" customFormat="1" ht="18" customHeight="1" x14ac:dyDescent="0.2">
      <c r="B14" s="20" t="s">
        <v>177</v>
      </c>
      <c r="C14" s="3013">
        <f>'Table1.A(a)s1'!H53</f>
        <v>5741.4770526762031</v>
      </c>
      <c r="D14" s="3013">
        <f>'Table1.A(a)s1'!I53</f>
        <v>6.3974759272727194E-2</v>
      </c>
      <c r="E14" s="3013">
        <f>'Table1.A(a)s1'!J53</f>
        <v>4.7297509187878735E-2</v>
      </c>
      <c r="F14" s="3014">
        <v>32.310278067878762</v>
      </c>
      <c r="G14" s="3014">
        <v>4.4837437963636315</v>
      </c>
      <c r="H14" s="3014">
        <v>7.4701940896969618E-2</v>
      </c>
      <c r="I14" s="3015">
        <v>4.5898659649122751</v>
      </c>
      <c r="J14" s="3016">
        <f t="shared" si="1"/>
        <v>5755.802185870627</v>
      </c>
    </row>
    <row r="15" spans="2:10" s="83" customFormat="1" ht="18" customHeight="1" thickBot="1" x14ac:dyDescent="0.25">
      <c r="B15" s="21" t="s">
        <v>178</v>
      </c>
      <c r="C15" s="3017">
        <f>'Table1.A(a)s1'!H60</f>
        <v>8790.9179141339337</v>
      </c>
      <c r="D15" s="3017">
        <f>'Table1.A(a)s1'!I60</f>
        <v>4.5628693032294301</v>
      </c>
      <c r="E15" s="3017">
        <f>'Table1.A(a)s1'!J60</f>
        <v>0.15804323483612537</v>
      </c>
      <c r="F15" s="3018">
        <v>73.609483493340889</v>
      </c>
      <c r="G15" s="3018">
        <v>20.68537666977759</v>
      </c>
      <c r="H15" s="3018">
        <v>6.8004642263598818</v>
      </c>
      <c r="I15" s="3019">
        <v>15.051806526039879</v>
      </c>
      <c r="J15" s="3020">
        <f t="shared" si="1"/>
        <v>8960.5597118559308</v>
      </c>
    </row>
    <row r="16" spans="2:10" s="83" customFormat="1" ht="18" customHeight="1" x14ac:dyDescent="0.2">
      <c r="B16" s="25" t="s">
        <v>179</v>
      </c>
      <c r="C16" s="3010">
        <f>IF(SUM(C17:C23)=0,"NO",SUM(C17:C23))</f>
        <v>35411.642792381535</v>
      </c>
      <c r="D16" s="3010">
        <f t="shared" ref="D16:I16" si="4">IF(SUM(D17:D23)=0,"NO",SUM(D17:D23))</f>
        <v>1.9969221605944103</v>
      </c>
      <c r="E16" s="3010">
        <f t="shared" si="4"/>
        <v>1.1069438707977839</v>
      </c>
      <c r="F16" s="3010">
        <f t="shared" si="4"/>
        <v>473.24682207908074</v>
      </c>
      <c r="G16" s="3010">
        <f t="shared" si="4"/>
        <v>157.40624631822902</v>
      </c>
      <c r="H16" s="3010">
        <f t="shared" si="4"/>
        <v>67.830929665484291</v>
      </c>
      <c r="I16" s="3011">
        <f t="shared" si="4"/>
        <v>99.568597093550835</v>
      </c>
      <c r="J16" s="3012">
        <f t="shared" si="1"/>
        <v>35760.896738639589</v>
      </c>
    </row>
    <row r="17" spans="2:10" s="83" customFormat="1" ht="18" customHeight="1" x14ac:dyDescent="0.2">
      <c r="B17" s="20" t="s">
        <v>180</v>
      </c>
      <c r="C17" s="3013">
        <f>'Table1.A(a)s2'!H17</f>
        <v>2563.0038993119929</v>
      </c>
      <c r="D17" s="3013">
        <f>'Table1.A(a)s2'!I17</f>
        <v>8.7453920647880448E-2</v>
      </c>
      <c r="E17" s="3013">
        <f>'Table1.A(a)s2'!J17</f>
        <v>3.2962293845005319E-2</v>
      </c>
      <c r="F17" s="3014">
        <v>28.106932270641021</v>
      </c>
      <c r="G17" s="3014">
        <v>6.8214855130682031</v>
      </c>
      <c r="H17" s="3014">
        <v>2.6199764306308255</v>
      </c>
      <c r="I17" s="3015">
        <v>11.823044303643726</v>
      </c>
      <c r="J17" s="3016">
        <f t="shared" si="1"/>
        <v>2574.1876169590601</v>
      </c>
    </row>
    <row r="18" spans="2:10" s="83" customFormat="1" ht="18" customHeight="1" x14ac:dyDescent="0.2">
      <c r="B18" s="20" t="s">
        <v>181</v>
      </c>
      <c r="C18" s="3013">
        <f>'Table1.A(a)s2'!H24</f>
        <v>11594.361165315668</v>
      </c>
      <c r="D18" s="3013">
        <f>'Table1.A(a)s2'!I24</f>
        <v>0.22628862040433323</v>
      </c>
      <c r="E18" s="3013">
        <f>'Table1.A(a)s2'!J24</f>
        <v>0.13251215009317313</v>
      </c>
      <c r="F18" s="3014">
        <v>72.821510959790061</v>
      </c>
      <c r="G18" s="3014">
        <v>12.687625671188652</v>
      </c>
      <c r="H18" s="3014">
        <v>1.4729244200512568</v>
      </c>
      <c r="I18" s="3015">
        <v>54.977422333263021</v>
      </c>
      <c r="J18" s="3016">
        <f t="shared" si="1"/>
        <v>11635.812966461679</v>
      </c>
    </row>
    <row r="19" spans="2:10" s="83" customFormat="1" ht="18" customHeight="1" x14ac:dyDescent="0.2">
      <c r="B19" s="20" t="s">
        <v>182</v>
      </c>
      <c r="C19" s="3013">
        <f>'Table1.A(a)s2'!H31</f>
        <v>5778.9643242434813</v>
      </c>
      <c r="D19" s="3013">
        <f>'Table1.A(a)s2'!I31</f>
        <v>0.36630313985659657</v>
      </c>
      <c r="E19" s="3013">
        <f>'Table1.A(a)s2'!J31</f>
        <v>8.692184959490748E-2</v>
      </c>
      <c r="F19" s="3014">
        <v>45.149821337821479</v>
      </c>
      <c r="G19" s="3014">
        <v>28.604110957223668</v>
      </c>
      <c r="H19" s="3014">
        <v>22.102002812909056</v>
      </c>
      <c r="I19" s="3015">
        <v>4.5699653683078658</v>
      </c>
      <c r="J19" s="3016">
        <f t="shared" si="1"/>
        <v>5812.255102302116</v>
      </c>
    </row>
    <row r="20" spans="2:10" s="83" customFormat="1" ht="18" customHeight="1" x14ac:dyDescent="0.2">
      <c r="B20" s="20" t="s">
        <v>183</v>
      </c>
      <c r="C20" s="3013">
        <f>'Table1.A(a)s2'!H38</f>
        <v>1153.6984139456579</v>
      </c>
      <c r="D20" s="3013">
        <f>'Table1.A(a)s2'!I38</f>
        <v>0.16622620779220781</v>
      </c>
      <c r="E20" s="3013">
        <f>'Table1.A(a)s2'!J38</f>
        <v>0.11113160779220781</v>
      </c>
      <c r="F20" s="3014">
        <v>4.7278387532467532</v>
      </c>
      <c r="G20" s="3014">
        <v>3.967272077922078</v>
      </c>
      <c r="H20" s="3014">
        <v>0.13283599220779219</v>
      </c>
      <c r="I20" s="3015">
        <v>1.4269711740890687</v>
      </c>
      <c r="J20" s="3016">
        <f t="shared" si="1"/>
        <v>1187.8026238287748</v>
      </c>
    </row>
    <row r="21" spans="2:10" s="83" customFormat="1" ht="18" customHeight="1" x14ac:dyDescent="0.2">
      <c r="B21" s="20" t="s">
        <v>184</v>
      </c>
      <c r="C21" s="3013">
        <f>'Table1.A(a)s2'!H45</f>
        <v>3005.066006979403</v>
      </c>
      <c r="D21" s="3013">
        <f>'Table1.A(a)s2'!I45</f>
        <v>0.68955586916671419</v>
      </c>
      <c r="E21" s="3013">
        <f>'Table1.A(a)s2'!J45</f>
        <v>0.45377165844644329</v>
      </c>
      <c r="F21" s="3014">
        <v>19.365657443335895</v>
      </c>
      <c r="G21" s="3014">
        <v>17.760494086082776</v>
      </c>
      <c r="H21" s="3014">
        <v>0.94323511273558591</v>
      </c>
      <c r="I21" s="3015">
        <v>7.799169794903178</v>
      </c>
      <c r="J21" s="3016">
        <f t="shared" si="1"/>
        <v>3144.6230608043784</v>
      </c>
    </row>
    <row r="22" spans="2:10" s="83" customFormat="1" ht="18" customHeight="1" x14ac:dyDescent="0.2">
      <c r="B22" s="20" t="s">
        <v>185</v>
      </c>
      <c r="C22" s="3013">
        <f>'Table1.A(a)s2'!H52</f>
        <v>4972.9678353025156</v>
      </c>
      <c r="D22" s="3013">
        <f>'Table1.A(a)s2'!I52</f>
        <v>0.13761178533589485</v>
      </c>
      <c r="E22" s="3013">
        <f>'Table1.A(a)s2'!J52</f>
        <v>3.8504889596952495E-2</v>
      </c>
      <c r="F22" s="3014">
        <v>68.983078038201285</v>
      </c>
      <c r="G22" s="3014">
        <v>11.425920106988412</v>
      </c>
      <c r="H22" s="3014">
        <v>4.4474666758927146</v>
      </c>
      <c r="I22" s="3015">
        <v>9.6493767611336061</v>
      </c>
      <c r="J22" s="3016">
        <f t="shared" si="1"/>
        <v>4987.0247610351125</v>
      </c>
    </row>
    <row r="23" spans="2:10" s="83" customFormat="1" ht="18" customHeight="1" thickBot="1" x14ac:dyDescent="0.25">
      <c r="B23" s="3039" t="s">
        <v>186</v>
      </c>
      <c r="C23" s="3013">
        <f>'Table1.A(a)s2'!H59</f>
        <v>6343.5811472828163</v>
      </c>
      <c r="D23" s="3013">
        <f>'Table1.A(a)s2'!I59</f>
        <v>0.32348261739078288</v>
      </c>
      <c r="E23" s="3013">
        <f>'Table1.A(a)s2'!J59</f>
        <v>0.25113942142909451</v>
      </c>
      <c r="F23" s="3014">
        <v>234.09198327604426</v>
      </c>
      <c r="G23" s="3014">
        <v>76.139337905755255</v>
      </c>
      <c r="H23" s="3014">
        <v>36.112488221057063</v>
      </c>
      <c r="I23" s="3015">
        <v>9.3226473582103644</v>
      </c>
      <c r="J23" s="3016">
        <f t="shared" si="1"/>
        <v>6419.190607248468</v>
      </c>
    </row>
    <row r="24" spans="2:10" s="83" customFormat="1" ht="18" customHeight="1" x14ac:dyDescent="0.2">
      <c r="B24" s="25" t="s">
        <v>187</v>
      </c>
      <c r="C24" s="3010">
        <f>IF(SUM(C25:C29)=0,"NO",SUM(C25:C29))</f>
        <v>59194.713824602695</v>
      </c>
      <c r="D24" s="3010">
        <f t="shared" ref="D24:I24" si="5">IF(SUM(D25:D29)=0,"NO",SUM(D25:D29))</f>
        <v>26.299583078796019</v>
      </c>
      <c r="E24" s="3010">
        <f t="shared" si="5"/>
        <v>3.2846479580695087</v>
      </c>
      <c r="F24" s="3010">
        <f t="shared" si="5"/>
        <v>351.13605560725233</v>
      </c>
      <c r="G24" s="3010">
        <f t="shared" si="5"/>
        <v>3920.6312323594684</v>
      </c>
      <c r="H24" s="3010">
        <f t="shared" si="5"/>
        <v>373.79258534057078</v>
      </c>
      <c r="I24" s="3011">
        <f t="shared" si="5"/>
        <v>31.734117178368464</v>
      </c>
      <c r="J24" s="3012">
        <f t="shared" si="1"/>
        <v>60801.533859697403</v>
      </c>
    </row>
    <row r="25" spans="2:10" s="83" customFormat="1" ht="18" customHeight="1" x14ac:dyDescent="0.2">
      <c r="B25" s="20" t="s">
        <v>188</v>
      </c>
      <c r="C25" s="1884">
        <f>'Table1.A(a)s3'!H16</f>
        <v>3245.8447855142881</v>
      </c>
      <c r="D25" s="1884">
        <f>'Table1.A(a)s3'!I16</f>
        <v>2.4563887590651694E-2</v>
      </c>
      <c r="E25" s="1884">
        <f>'Table1.A(a)s3'!J16</f>
        <v>3.4162472217304299E-2</v>
      </c>
      <c r="F25" s="3014">
        <v>11.111401659294753</v>
      </c>
      <c r="G25" s="3014">
        <v>7.339244565518654</v>
      </c>
      <c r="H25" s="3014">
        <v>0.71778370999549046</v>
      </c>
      <c r="I25" s="3015">
        <v>0.38345887795492417</v>
      </c>
      <c r="J25" s="3016">
        <f t="shared" si="1"/>
        <v>3255.5856295044118</v>
      </c>
    </row>
    <row r="26" spans="2:10" s="83" customFormat="1" ht="18" customHeight="1" x14ac:dyDescent="0.2">
      <c r="B26" s="20" t="s">
        <v>189</v>
      </c>
      <c r="C26" s="1884">
        <f>'Table1.A(a)s3'!H20</f>
        <v>51703.655051459158</v>
      </c>
      <c r="D26" s="1884">
        <f>'Table1.A(a)s3'!I20</f>
        <v>22.459105494263305</v>
      </c>
      <c r="E26" s="1884">
        <f>'Table1.A(a)s3'!J20</f>
        <v>2.4589283739782752</v>
      </c>
      <c r="F26" s="3014">
        <v>264.98746203471279</v>
      </c>
      <c r="G26" s="3014">
        <v>3710.2389809951696</v>
      </c>
      <c r="H26" s="3014">
        <v>337.97676057632879</v>
      </c>
      <c r="I26" s="3015">
        <v>8.7377133220463943</v>
      </c>
      <c r="J26" s="3016">
        <f t="shared" si="1"/>
        <v>52984.126024402773</v>
      </c>
    </row>
    <row r="27" spans="2:10" s="83" customFormat="1" ht="18" customHeight="1" x14ac:dyDescent="0.2">
      <c r="B27" s="20" t="s">
        <v>190</v>
      </c>
      <c r="C27" s="1884">
        <f>'Table1.A(a)s3'!H81</f>
        <v>1734.548238366785</v>
      </c>
      <c r="D27" s="1884">
        <f>'Table1.A(a)s3'!I81</f>
        <v>9.9199999999999983E-2</v>
      </c>
      <c r="E27" s="1884">
        <f>'Table1.A(a)s3'!J81</f>
        <v>0.74399999999999988</v>
      </c>
      <c r="F27" s="3014">
        <v>37.943999999999996</v>
      </c>
      <c r="G27" s="3014">
        <v>5.0095999999999989</v>
      </c>
      <c r="H27" s="3014">
        <v>1.7607999999999995</v>
      </c>
      <c r="I27" s="3015">
        <v>1.4140810877192977</v>
      </c>
      <c r="J27" s="3016">
        <f t="shared" si="1"/>
        <v>1934.4858383667847</v>
      </c>
    </row>
    <row r="28" spans="2:10" s="83" customFormat="1" ht="18" customHeight="1" x14ac:dyDescent="0.2">
      <c r="B28" s="20" t="s">
        <v>191</v>
      </c>
      <c r="C28" s="1884">
        <f>'Table1.A(a)s3'!H88</f>
        <v>2245.6168417796589</v>
      </c>
      <c r="D28" s="1884">
        <f>'Table1.A(a)s3'!I88</f>
        <v>3.6541319717361089</v>
      </c>
      <c r="E28" s="1884">
        <f>'Table1.A(a)s3'!J88</f>
        <v>4.7004852553014342E-2</v>
      </c>
      <c r="F28" s="3014">
        <v>36.05865372206317</v>
      </c>
      <c r="G28" s="3014">
        <v>193.91193056675044</v>
      </c>
      <c r="H28" s="3014">
        <v>32.720390310345834</v>
      </c>
      <c r="I28" s="3015">
        <v>21.19425113849033</v>
      </c>
      <c r="J28" s="3016">
        <f t="shared" si="1"/>
        <v>2360.3888229148188</v>
      </c>
    </row>
    <row r="29" spans="2:10" s="83" customFormat="1" ht="18" customHeight="1" thickBot="1" x14ac:dyDescent="0.25">
      <c r="B29" s="22" t="s">
        <v>192</v>
      </c>
      <c r="C29" s="1888">
        <f>'Table1.A(a)s3'!H99</f>
        <v>265.04890748280781</v>
      </c>
      <c r="D29" s="1888">
        <f>'Table1.A(a)s3'!I99</f>
        <v>6.2581725205952315E-2</v>
      </c>
      <c r="E29" s="1888">
        <f>'Table1.A(a)s3'!J99</f>
        <v>5.5225932091513348E-4</v>
      </c>
      <c r="F29" s="3021">
        <v>1.0345381911815825</v>
      </c>
      <c r="G29" s="3021">
        <v>4.1314762320296703</v>
      </c>
      <c r="H29" s="3021">
        <v>0.61685074390062467</v>
      </c>
      <c r="I29" s="3022">
        <v>4.612752157520471E-3</v>
      </c>
      <c r="J29" s="3023">
        <f t="shared" si="1"/>
        <v>266.947544508617</v>
      </c>
    </row>
    <row r="30" spans="2:10" ht="18" customHeight="1" x14ac:dyDescent="0.2">
      <c r="B30" s="26" t="s">
        <v>193</v>
      </c>
      <c r="C30" s="3010">
        <f>IF(SUM(C31:C33)=0,"NO",SUM(C31:C33))</f>
        <v>13119.622313292621</v>
      </c>
      <c r="D30" s="3010">
        <f t="shared" ref="D30" si="6">IF(SUM(D31:D33)=0,"NO",SUM(D31:D33))</f>
        <v>99.776396301818579</v>
      </c>
      <c r="E30" s="3010">
        <f t="shared" ref="E30" si="7">IF(SUM(E31:E33)=0,"NO",SUM(E31:E33))</f>
        <v>0.54180638504574496</v>
      </c>
      <c r="F30" s="3010">
        <f t="shared" ref="F30" si="8">IF(SUM(F31:F33)=0,"NO",SUM(F31:F33))</f>
        <v>199.63500866203975</v>
      </c>
      <c r="G30" s="3010">
        <f t="shared" ref="G30" si="9">IF(SUM(G31:G33)=0,"NO",SUM(G31:G33))</f>
        <v>1111.1459277610145</v>
      </c>
      <c r="H30" s="3010">
        <f t="shared" ref="H30" si="10">IF(SUM(H31:H33)=0,"NO",SUM(H31:H33))</f>
        <v>163.42475254547335</v>
      </c>
      <c r="I30" s="3011">
        <f t="shared" ref="I30" si="11">IF(SUM(I31:I33)=0,"NO",SUM(I31:I33))</f>
        <v>7.0272387887537615</v>
      </c>
      <c r="J30" s="3024">
        <f t="shared" si="1"/>
        <v>16056.940101780665</v>
      </c>
    </row>
    <row r="31" spans="2:10" ht="18" customHeight="1" x14ac:dyDescent="0.2">
      <c r="B31" s="20" t="s">
        <v>194</v>
      </c>
      <c r="C31" s="3013">
        <f>'Table1.A(a)s4'!H17</f>
        <v>3650.3461010439078</v>
      </c>
      <c r="D31" s="3013">
        <f>'Table1.A(a)s4'!I17</f>
        <v>5.8236242099567098E-2</v>
      </c>
      <c r="E31" s="3013">
        <f>'Table1.A(a)s4'!J17</f>
        <v>7.3182380194805191E-2</v>
      </c>
      <c r="F31" s="3014">
        <v>6.8602332334415577</v>
      </c>
      <c r="G31" s="3014">
        <v>2.1315704551948049</v>
      </c>
      <c r="H31" s="3014">
        <v>0.4919933734956709</v>
      </c>
      <c r="I31" s="3015">
        <v>3.3197943765182196</v>
      </c>
      <c r="J31" s="3016">
        <f t="shared" si="1"/>
        <v>3671.3700465743191</v>
      </c>
    </row>
    <row r="32" spans="2:10" ht="18" customHeight="1" x14ac:dyDescent="0.2">
      <c r="B32" s="20" t="s">
        <v>195</v>
      </c>
      <c r="C32" s="3013">
        <f>'Table1.A(a)s4'!H38</f>
        <v>6042.3762122487115</v>
      </c>
      <c r="D32" s="3013">
        <f>'Table1.A(a)s4'!I38</f>
        <v>99.537112440671393</v>
      </c>
      <c r="E32" s="3013">
        <f>'Table1.A(a)s4'!J38</f>
        <v>0.28649067151760638</v>
      </c>
      <c r="F32" s="3014">
        <v>8.3381087619315384</v>
      </c>
      <c r="G32" s="3014">
        <v>1051.9475001629626</v>
      </c>
      <c r="H32" s="3014">
        <v>137.42837821959674</v>
      </c>
      <c r="I32" s="3015">
        <v>0.94063153504255781</v>
      </c>
      <c r="J32" s="3016">
        <f t="shared" si="1"/>
        <v>8905.3353885396773</v>
      </c>
    </row>
    <row r="33" spans="2:10" ht="18" customHeight="1" thickBot="1" x14ac:dyDescent="0.25">
      <c r="B33" s="20" t="s">
        <v>196</v>
      </c>
      <c r="C33" s="3013">
        <f>'Table1.A(a)s4'!H59</f>
        <v>3426.9000000000005</v>
      </c>
      <c r="D33" s="3013">
        <f>'Table1.A(a)s4'!I59</f>
        <v>0.18104761904761904</v>
      </c>
      <c r="E33" s="3013">
        <f>'Table1.A(a)s4'!J59</f>
        <v>0.18213333333333334</v>
      </c>
      <c r="F33" s="3014">
        <v>184.43666666666667</v>
      </c>
      <c r="G33" s="3014">
        <v>57.066857142857152</v>
      </c>
      <c r="H33" s="3014">
        <v>25.504380952380952</v>
      </c>
      <c r="I33" s="3015">
        <v>2.7668128771929834</v>
      </c>
      <c r="J33" s="3016">
        <f t="shared" si="1"/>
        <v>3480.2346666666672</v>
      </c>
    </row>
    <row r="34" spans="2:10" ht="18" customHeight="1" x14ac:dyDescent="0.2">
      <c r="B34" s="25" t="s">
        <v>197</v>
      </c>
      <c r="C34" s="3010">
        <f>IF(SUM(C35:C36)=0,"NO",SUM(C35:C36))</f>
        <v>411.10379258697043</v>
      </c>
      <c r="D34" s="3010">
        <f t="shared" ref="D34:E34" si="12">IF(SUM(D35:D36)=0,"NO",SUM(D35:D36))</f>
        <v>2.0005631554104654E-2</v>
      </c>
      <c r="E34" s="3010">
        <f t="shared" si="12"/>
        <v>1.1159489747144877E-2</v>
      </c>
      <c r="F34" s="3010">
        <f t="shared" ref="F34:I34" si="13">IF(SUM(F35:F36)=0,"NO",SUM(F35:F36))</f>
        <v>3.3885323360439097</v>
      </c>
      <c r="G34" s="3010">
        <f t="shared" si="13"/>
        <v>4.5760539705648036</v>
      </c>
      <c r="H34" s="3010">
        <f t="shared" si="13"/>
        <v>0.41122279570969167</v>
      </c>
      <c r="I34" s="3011">
        <f t="shared" si="13"/>
        <v>0.13964214240868872</v>
      </c>
      <c r="J34" s="3012">
        <f t="shared" si="1"/>
        <v>414.62121505347875</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411.10379258697043</v>
      </c>
      <c r="D36" s="3025">
        <f>'Table1.A(a)s4'!I108</f>
        <v>2.0005631554104654E-2</v>
      </c>
      <c r="E36" s="3025">
        <f>'Table1.A(a)s4'!J108</f>
        <v>1.1159489747144877E-2</v>
      </c>
      <c r="F36" s="3021">
        <v>3.3885323360439097</v>
      </c>
      <c r="G36" s="3021">
        <v>4.5760539705648036</v>
      </c>
      <c r="H36" s="3021">
        <v>0.41122279570969167</v>
      </c>
      <c r="I36" s="3022">
        <v>0.13964214240868872</v>
      </c>
      <c r="J36" s="3023">
        <f t="shared" si="1"/>
        <v>414.62121505347875</v>
      </c>
    </row>
    <row r="37" spans="2:10" ht="18" customHeight="1" thickBot="1" x14ac:dyDescent="0.25">
      <c r="B37" s="18" t="s">
        <v>201</v>
      </c>
      <c r="C37" s="3010">
        <f>IF(SUM(C38,C42)=0,"NO",SUM(C38,C42))</f>
        <v>7001.4218799167465</v>
      </c>
      <c r="D37" s="3010">
        <f t="shared" ref="D37:I37" si="14">IF(SUM(D38,D42)=0,"NO",SUM(D38,D42))</f>
        <v>1165.2003857977791</v>
      </c>
      <c r="E37" s="3010">
        <f t="shared" si="14"/>
        <v>0.12493529204751767</v>
      </c>
      <c r="F37" s="3010">
        <f t="shared" si="14"/>
        <v>3.8507620981442696</v>
      </c>
      <c r="G37" s="3010">
        <f t="shared" si="14"/>
        <v>22.33642016923676</v>
      </c>
      <c r="H37" s="3010">
        <f t="shared" si="14"/>
        <v>174.98791984032974</v>
      </c>
      <c r="I37" s="3011" t="str">
        <f t="shared" si="14"/>
        <v>NO</v>
      </c>
      <c r="J37" s="3012">
        <f t="shared" si="1"/>
        <v>39660.140534647151</v>
      </c>
    </row>
    <row r="38" spans="2:10" ht="18" customHeight="1" x14ac:dyDescent="0.2">
      <c r="B38" s="26" t="s">
        <v>202</v>
      </c>
      <c r="C38" s="3010">
        <f>IF(SUM(C39:C41)=0,"NO",SUM(C39:C41))</f>
        <v>1171.7683050721826</v>
      </c>
      <c r="D38" s="3010">
        <f t="shared" ref="D38" si="15">IF(SUM(D39:D41)=0,"NO",SUM(D39:D41))</f>
        <v>885.67165362847061</v>
      </c>
      <c r="E38" s="3010">
        <f t="shared" ref="E38" si="16">IF(SUM(E39:E41)=0,"NO",SUM(E39:E41))</f>
        <v>7.2957855859744115E-7</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25970.574800007678</v>
      </c>
    </row>
    <row r="39" spans="2:10" ht="18" customHeight="1" x14ac:dyDescent="0.2">
      <c r="B39" s="20" t="s">
        <v>203</v>
      </c>
      <c r="C39" s="3013">
        <f>'Table1.B.1'!G10</f>
        <v>1171.7683050721826</v>
      </c>
      <c r="D39" s="3013">
        <f>'Table1.B.1'!F10</f>
        <v>885.67165362847061</v>
      </c>
      <c r="E39" s="3014">
        <v>7.2957855859744115E-7</v>
      </c>
      <c r="F39" s="3014" t="s">
        <v>199</v>
      </c>
      <c r="G39" s="3014" t="s">
        <v>199</v>
      </c>
      <c r="H39" s="3014" t="s">
        <v>199</v>
      </c>
      <c r="I39" s="2940"/>
      <c r="J39" s="3016">
        <f t="shared" si="1"/>
        <v>25970.574800007678</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5829.653574844564</v>
      </c>
      <c r="D42" s="3010">
        <f t="shared" ref="D42:I42" si="21">IF(SUM(D43:D46)=0,"NO",SUM(D43:D46))</f>
        <v>279.52873216930846</v>
      </c>
      <c r="E42" s="4491">
        <f t="shared" si="21"/>
        <v>0.12493456246895908</v>
      </c>
      <c r="F42" s="3010">
        <f t="shared" si="21"/>
        <v>3.8507620981442696</v>
      </c>
      <c r="G42" s="3010">
        <f t="shared" si="21"/>
        <v>22.33642016923676</v>
      </c>
      <c r="H42" s="3010">
        <f t="shared" si="21"/>
        <v>174.98791984032974</v>
      </c>
      <c r="I42" s="3011" t="str">
        <f t="shared" si="21"/>
        <v>NO</v>
      </c>
      <c r="J42" s="3012">
        <f t="shared" ref="J42:J59" si="22">IF(SUM(C42:E42)=0,"NO",SUM(C42,IFERROR(28*D42,0),IFERROR(265*E42,0)))</f>
        <v>13689.565734639475</v>
      </c>
    </row>
    <row r="43" spans="2:10" ht="18" customHeight="1" x14ac:dyDescent="0.2">
      <c r="B43" s="20" t="s">
        <v>208</v>
      </c>
      <c r="C43" s="3013">
        <f>'Table1.B.2'!I10</f>
        <v>402.08005523101002</v>
      </c>
      <c r="D43" s="3013">
        <f>'Table1.B.2'!J10</f>
        <v>3.0825717712754521</v>
      </c>
      <c r="E43" s="4492">
        <f>'Table1.B.2'!K10</f>
        <v>1.2096326738209708E-2</v>
      </c>
      <c r="F43" s="3014">
        <v>0.22363360000000004</v>
      </c>
      <c r="G43" s="3014">
        <v>1.29707488</v>
      </c>
      <c r="H43" s="3014">
        <v>88.335426799999993</v>
      </c>
      <c r="I43" s="3015" t="s">
        <v>199</v>
      </c>
      <c r="J43" s="3016">
        <f t="shared" si="22"/>
        <v>491.59759141234827</v>
      </c>
    </row>
    <row r="44" spans="2:10" ht="18" customHeight="1" x14ac:dyDescent="0.2">
      <c r="B44" s="20" t="s">
        <v>209</v>
      </c>
      <c r="C44" s="3013">
        <f>SUM('Table1.B.2'!I21)</f>
        <v>21.164843940787183</v>
      </c>
      <c r="D44" s="3013">
        <f>'Table1.B.2'!J21</f>
        <v>166.84111168467214</v>
      </c>
      <c r="E44" s="4492">
        <f>'Table1.B.2'!K21</f>
        <v>3.1269559349611514E-4</v>
      </c>
      <c r="F44" s="3014">
        <v>5.7906591388169467E-3</v>
      </c>
      <c r="G44" s="3014">
        <v>3.3585823005138293E-2</v>
      </c>
      <c r="H44" s="3014">
        <v>50.435614650275227</v>
      </c>
      <c r="I44" s="3015" t="s">
        <v>199</v>
      </c>
      <c r="J44" s="3016">
        <f t="shared" si="22"/>
        <v>4692.7988354438839</v>
      </c>
    </row>
    <row r="45" spans="2:10" ht="18" customHeight="1" x14ac:dyDescent="0.2">
      <c r="B45" s="20" t="s">
        <v>210</v>
      </c>
      <c r="C45" s="3013">
        <f>'Table1.B.2'!I31</f>
        <v>5406.4086756727665</v>
      </c>
      <c r="D45" s="3013">
        <f>'Table1.B.2'!J31</f>
        <v>109.6050487133609</v>
      </c>
      <c r="E45" s="4492">
        <f>'Table1.B.2'!K31</f>
        <v>0.11252554013725326</v>
      </c>
      <c r="F45" s="3014">
        <v>3.6213378390054527</v>
      </c>
      <c r="G45" s="3014">
        <v>21.005759466231623</v>
      </c>
      <c r="H45" s="3014">
        <v>36.216878390054525</v>
      </c>
      <c r="I45" s="3015" t="s">
        <v>199</v>
      </c>
      <c r="J45" s="3016">
        <f t="shared" si="22"/>
        <v>8505.1693077832442</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6436.1739999999991</v>
      </c>
      <c r="D52" s="3013">
        <f t="shared" ref="D52:I52" si="23">IF(SUM(D53:D54)=0,"NO",SUM(D53:D54))</f>
        <v>0.18826561</v>
      </c>
      <c r="E52" s="3013">
        <f t="shared" si="23"/>
        <v>7.5386837384210537E-2</v>
      </c>
      <c r="F52" s="3013">
        <f t="shared" si="23"/>
        <v>72.714301753157898</v>
      </c>
      <c r="G52" s="3013">
        <f t="shared" si="23"/>
        <v>8.8676910121052614</v>
      </c>
      <c r="H52" s="3013">
        <f t="shared" si="23"/>
        <v>5.026976773736842</v>
      </c>
      <c r="I52" s="3034">
        <f t="shared" si="23"/>
        <v>28.109630364372471</v>
      </c>
      <c r="J52" s="3016">
        <f t="shared" si="22"/>
        <v>6461.4229489868148</v>
      </c>
    </row>
    <row r="53" spans="2:10" ht="18" customHeight="1" x14ac:dyDescent="0.2">
      <c r="B53" s="164" t="s">
        <v>218</v>
      </c>
      <c r="C53" s="3013">
        <f>Table1.D!G10</f>
        <v>4558.7999999999993</v>
      </c>
      <c r="D53" s="3013">
        <f>Table1.D!H10</f>
        <v>8.1556099999999989E-3</v>
      </c>
      <c r="E53" s="3013">
        <f>Table1.D!I10</f>
        <v>2.3926837384210527E-2</v>
      </c>
      <c r="F53" s="3014">
        <v>23.11070175315789</v>
      </c>
      <c r="G53" s="3014">
        <v>7.2095910121052622</v>
      </c>
      <c r="H53" s="3014">
        <v>3.4811267737368423</v>
      </c>
      <c r="I53" s="3015">
        <v>0.53710000000000013</v>
      </c>
      <c r="J53" s="3016">
        <f t="shared" si="22"/>
        <v>4565.3689689868152</v>
      </c>
    </row>
    <row r="54" spans="2:10" ht="18" customHeight="1" x14ac:dyDescent="0.2">
      <c r="B54" s="164" t="s">
        <v>219</v>
      </c>
      <c r="C54" s="3013">
        <f>Table1.D!G14</f>
        <v>1877.374</v>
      </c>
      <c r="D54" s="3013">
        <f>Table1.D!H14</f>
        <v>0.18010999999999999</v>
      </c>
      <c r="E54" s="3013">
        <f>Table1.D!I14</f>
        <v>5.1460000000000006E-2</v>
      </c>
      <c r="F54" s="3014">
        <v>49.603600000000007</v>
      </c>
      <c r="G54" s="3014">
        <v>1.6581000000000001</v>
      </c>
      <c r="H54" s="3014">
        <v>1.5458499999999999</v>
      </c>
      <c r="I54" s="3015">
        <v>27.572530364372472</v>
      </c>
      <c r="J54" s="3016">
        <f t="shared" si="22"/>
        <v>1896.0539799999999</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15017.922219999999</v>
      </c>
      <c r="D56" s="3035"/>
      <c r="E56" s="3035"/>
      <c r="F56" s="3035"/>
      <c r="G56" s="3035"/>
      <c r="H56" s="3035"/>
      <c r="I56" s="2976"/>
      <c r="J56" s="3020">
        <f t="shared" si="22"/>
        <v>15017.922219999999</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137736.55837017999</v>
      </c>
      <c r="D10" s="3491" t="s">
        <v>199</v>
      </c>
      <c r="E10" s="3491">
        <v>67.991992306</v>
      </c>
      <c r="F10" s="3491">
        <v>738.04630924499997</v>
      </c>
      <c r="G10" s="3491" t="s">
        <v>199</v>
      </c>
      <c r="H10" s="3491">
        <v>2.072980501</v>
      </c>
      <c r="I10" s="3491" t="s">
        <v>199</v>
      </c>
      <c r="J10" s="3491">
        <v>27.307347563</v>
      </c>
      <c r="K10" s="3491" t="s">
        <v>199</v>
      </c>
      <c r="L10" s="3491" t="s">
        <v>199</v>
      </c>
      <c r="M10" s="3492">
        <f>IF(SUM(C10:L10)=0,"NO",SUM(C10:L10))</f>
        <v>138571.97699979498</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12.318608691</v>
      </c>
      <c r="D12" s="3491" t="s">
        <v>199</v>
      </c>
      <c r="E12" s="3491">
        <v>39601.480183781001</v>
      </c>
      <c r="F12" s="3491" t="s">
        <v>274</v>
      </c>
      <c r="G12" s="3491" t="s">
        <v>199</v>
      </c>
      <c r="H12" s="3491" t="s">
        <v>274</v>
      </c>
      <c r="I12" s="3491" t="s">
        <v>199</v>
      </c>
      <c r="J12" s="3491" t="s">
        <v>274</v>
      </c>
      <c r="K12" s="3491" t="s">
        <v>199</v>
      </c>
      <c r="L12" s="3491" t="s">
        <v>199</v>
      </c>
      <c r="M12" s="3492">
        <f t="shared" si="0"/>
        <v>39613.798792472</v>
      </c>
    </row>
    <row r="13" spans="2:13" ht="18" customHeight="1" x14ac:dyDescent="0.2">
      <c r="B13" s="2303" t="s">
        <v>1296</v>
      </c>
      <c r="C13" s="3491">
        <v>538.44752472499999</v>
      </c>
      <c r="D13" s="3491" t="s">
        <v>199</v>
      </c>
      <c r="E13" s="3491" t="s">
        <v>274</v>
      </c>
      <c r="F13" s="3491">
        <v>514835.94629152602</v>
      </c>
      <c r="G13" s="3491" t="s">
        <v>199</v>
      </c>
      <c r="H13" s="3491" t="s">
        <v>274</v>
      </c>
      <c r="I13" s="3491" t="s">
        <v>199</v>
      </c>
      <c r="J13" s="3491" t="s">
        <v>274</v>
      </c>
      <c r="K13" s="3491" t="s">
        <v>199</v>
      </c>
      <c r="L13" s="3491" t="s">
        <v>199</v>
      </c>
      <c r="M13" s="3492">
        <f t="shared" si="0"/>
        <v>515374.39381625102</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5.9352659980000002</v>
      </c>
      <c r="D15" s="3491" t="s">
        <v>199</v>
      </c>
      <c r="E15" s="3491">
        <v>0.63304705100000003</v>
      </c>
      <c r="F15" s="3491">
        <v>2.443871627</v>
      </c>
      <c r="G15" s="3491" t="s">
        <v>199</v>
      </c>
      <c r="H15" s="3491">
        <v>13451.064574202999</v>
      </c>
      <c r="I15" s="3491" t="s">
        <v>199</v>
      </c>
      <c r="J15" s="3491" t="s">
        <v>199</v>
      </c>
      <c r="K15" s="3491" t="s">
        <v>199</v>
      </c>
      <c r="L15" s="3491" t="s">
        <v>199</v>
      </c>
      <c r="M15" s="3492">
        <f t="shared" si="0"/>
        <v>13460.076758878999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4.6861771699999997</v>
      </c>
      <c r="D17" s="3491" t="s">
        <v>199</v>
      </c>
      <c r="E17" s="3491" t="s">
        <v>199</v>
      </c>
      <c r="F17" s="3491" t="s">
        <v>199</v>
      </c>
      <c r="G17" s="3491" t="s">
        <v>199</v>
      </c>
      <c r="H17" s="3491" t="s">
        <v>199</v>
      </c>
      <c r="I17" s="3491" t="s">
        <v>199</v>
      </c>
      <c r="J17" s="3491">
        <v>1111.4386096119999</v>
      </c>
      <c r="K17" s="3491" t="s">
        <v>199</v>
      </c>
      <c r="L17" s="3491" t="s">
        <v>199</v>
      </c>
      <c r="M17" s="3492">
        <f t="shared" si="0"/>
        <v>1116.124786782</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138297.945946764</v>
      </c>
      <c r="D20" s="3493" t="str">
        <f t="shared" ref="D20:L20" si="1">IF(SUM(D10:D19)=0,"NO",SUM(D10:D19))</f>
        <v>NO</v>
      </c>
      <c r="E20" s="3493">
        <f t="shared" si="1"/>
        <v>39670.105223138002</v>
      </c>
      <c r="F20" s="3493">
        <f t="shared" si="1"/>
        <v>515576.436472398</v>
      </c>
      <c r="G20" s="3493" t="str">
        <f t="shared" si="1"/>
        <v>NO</v>
      </c>
      <c r="H20" s="3493">
        <f t="shared" si="1"/>
        <v>13453.137554703999</v>
      </c>
      <c r="I20" s="3493" t="str">
        <f t="shared" si="1"/>
        <v>NO</v>
      </c>
      <c r="J20" s="3493">
        <f t="shared" si="1"/>
        <v>1138.7459571749998</v>
      </c>
      <c r="K20" s="3493">
        <f t="shared" si="1"/>
        <v>60692.328845821001</v>
      </c>
      <c r="L20" s="3493" t="str">
        <f t="shared" si="1"/>
        <v>NO</v>
      </c>
      <c r="M20" s="3492">
        <f t="shared" si="0"/>
        <v>768828.7</v>
      </c>
    </row>
    <row r="21" spans="2:13" ht="18" customHeight="1" thickBot="1" x14ac:dyDescent="0.25">
      <c r="B21" s="2305" t="s">
        <v>1304</v>
      </c>
      <c r="C21" s="3494">
        <f>IF(SUM(C20)=0,"NO",C20-M10)</f>
        <v>-274.03105303097982</v>
      </c>
      <c r="D21" s="3494" t="str">
        <f>IF(SUM(D20)=0,"NO",D20-M11)</f>
        <v>NO</v>
      </c>
      <c r="E21" s="3494">
        <f>IF(SUM(E20)=0,"NO",E20-M12)</f>
        <v>56.306430666001688</v>
      </c>
      <c r="F21" s="3494">
        <f>IF(SUM(F20)=0,"NO",F20-M13)</f>
        <v>202.04265614697943</v>
      </c>
      <c r="G21" s="3494" t="str">
        <f>IF(SUM(G20)=0,"NO",G20-M14)</f>
        <v>NO</v>
      </c>
      <c r="H21" s="3494">
        <f>IF(SUM(H20)=0,"NO",H20-M15)</f>
        <v>-6.9392041749997588</v>
      </c>
      <c r="I21" s="3494" t="str">
        <f>IF(SUM(I20)=0,"NO",I20-M16)</f>
        <v>NO</v>
      </c>
      <c r="J21" s="3494">
        <f>IF(SUM(J20)=0,"NO",J20-M17)</f>
        <v>22.621170392999829</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138398.20507721032</v>
      </c>
      <c r="E10" s="3498">
        <f t="shared" ref="E10:U10" si="0">IF(SUM(E11,E16)=0,"IE",SUM(E11,E16))</f>
        <v>138297.94594676336</v>
      </c>
      <c r="F10" s="3499">
        <f t="shared" si="0"/>
        <v>100.25913044697458</v>
      </c>
      <c r="G10" s="3500">
        <f t="shared" ref="G10:K11" si="1">IFERROR(IF(SUM($D10)=0,"NA",N10/$D10),"NA")</f>
        <v>3.285772596812335E-2</v>
      </c>
      <c r="H10" s="3057">
        <f t="shared" si="1"/>
        <v>-1.5046608460064724E-2</v>
      </c>
      <c r="I10" s="3057">
        <f t="shared" si="1"/>
        <v>1.7811117508058624E-2</v>
      </c>
      <c r="J10" s="3057">
        <f t="shared" si="1"/>
        <v>2.2460288479904767E-2</v>
      </c>
      <c r="K10" s="3057">
        <f t="shared" si="1"/>
        <v>1.0137333693933248E-2</v>
      </c>
      <c r="L10" s="3057">
        <f>IFERROR(IF(SUM(E10)=0,"NA",S10/E10),"NA")</f>
        <v>-2.2854033701186771E-2</v>
      </c>
      <c r="M10" s="3106">
        <f>IFERROR(IF(SUM(F10)=0,"NA",T10/F10),"NA")</f>
        <v>-0.29149198566141643</v>
      </c>
      <c r="N10" s="3501">
        <f t="shared" si="0"/>
        <v>4547.4502969071145</v>
      </c>
      <c r="O10" s="3502">
        <f t="shared" si="0"/>
        <v>-2082.4236033725256</v>
      </c>
      <c r="P10" s="3502">
        <f t="shared" si="0"/>
        <v>2465.026693534589</v>
      </c>
      <c r="Q10" s="3502">
        <f t="shared" si="0"/>
        <v>3108.4636111351647</v>
      </c>
      <c r="R10" s="3502">
        <f t="shared" si="0"/>
        <v>1402.9887875090876</v>
      </c>
      <c r="S10" s="3502">
        <f t="shared" si="0"/>
        <v>-3160.6659174722363</v>
      </c>
      <c r="T10" s="3503">
        <f t="shared" si="0"/>
        <v>-29.224733014675596</v>
      </c>
      <c r="U10" s="4260">
        <f t="shared" si="0"/>
        <v>-13884.157619537076</v>
      </c>
      <c r="W10" s="2422"/>
    </row>
    <row r="11" spans="2:23" ht="18" customHeight="1" x14ac:dyDescent="0.2">
      <c r="B11" s="492" t="s">
        <v>1253</v>
      </c>
      <c r="C11" s="2282"/>
      <c r="D11" s="3504">
        <f>IF(SUM(D12:D15)=0,"IE",SUM(D12:D15))</f>
        <v>134421.25689922101</v>
      </c>
      <c r="E11" s="3505">
        <f t="shared" ref="E11:U11" si="2">IF(SUM(E12:E15)=0,"IE",SUM(E12:E15))</f>
        <v>134421.25689922101</v>
      </c>
      <c r="F11" s="3506" t="str">
        <f t="shared" si="2"/>
        <v>IE</v>
      </c>
      <c r="G11" s="3500">
        <f t="shared" si="1"/>
        <v>1.1488884902857138E-2</v>
      </c>
      <c r="H11" s="3057">
        <f t="shared" si="1"/>
        <v>-1.5485245363790994E-2</v>
      </c>
      <c r="I11" s="3057">
        <f t="shared" si="1"/>
        <v>-3.9963604609338562E-3</v>
      </c>
      <c r="J11" s="3057">
        <f t="shared" si="1"/>
        <v>1.9103375374439707E-2</v>
      </c>
      <c r="K11" s="3057">
        <f t="shared" si="1"/>
        <v>9.3796813866138719E-3</v>
      </c>
      <c r="L11" s="3057">
        <f t="shared" ref="L11:L28" si="3">IFERROR(IF(SUM(E11)=0,"NA",S11/E11),"NA")</f>
        <v>-9.4541120006782966E-3</v>
      </c>
      <c r="M11" s="3106" t="str">
        <f t="shared" ref="M11:M28" si="4">IFERROR(IF(SUM(F11)=0,"NA",T11/F11),"NA")</f>
        <v>NA</v>
      </c>
      <c r="N11" s="3087">
        <f t="shared" si="2"/>
        <v>1544.3503490125411</v>
      </c>
      <c r="O11" s="3087">
        <f t="shared" si="2"/>
        <v>-2081.5461451936203</v>
      </c>
      <c r="P11" s="3087">
        <f t="shared" si="2"/>
        <v>-537.19579618107923</v>
      </c>
      <c r="Q11" s="3087">
        <f t="shared" si="2"/>
        <v>2567.8997288498122</v>
      </c>
      <c r="R11" s="3507">
        <f t="shared" si="2"/>
        <v>1260.828561302865</v>
      </c>
      <c r="S11" s="3507">
        <f t="shared" si="2"/>
        <v>-1270.8336179971857</v>
      </c>
      <c r="T11" s="3507" t="str">
        <f t="shared" si="2"/>
        <v>IE</v>
      </c>
      <c r="U11" s="4261">
        <f t="shared" si="2"/>
        <v>-7409.2292119061794</v>
      </c>
      <c r="W11" s="2423"/>
    </row>
    <row r="12" spans="2:23" ht="18" customHeight="1" x14ac:dyDescent="0.2">
      <c r="B12" s="490"/>
      <c r="C12" s="498" t="s">
        <v>1339</v>
      </c>
      <c r="D12" s="3509">
        <f>IF(SUM(E12:F12)=0,E12,SUM(E12:F12))</f>
        <v>17569.022913244153</v>
      </c>
      <c r="E12" s="3510">
        <v>17569.022913244153</v>
      </c>
      <c r="F12" s="3496" t="s">
        <v>274</v>
      </c>
      <c r="G12" s="3500">
        <f>IFERROR(IF(SUM($D12)=0,"NA",N12/$D12),"NA")</f>
        <v>5.6799253394268966E-2</v>
      </c>
      <c r="H12" s="3057" t="str">
        <f>IFERROR(IF(SUM($D12)=0,"NA",O12/$D12),"NA")</f>
        <v>NA</v>
      </c>
      <c r="I12" s="3057">
        <f>IFERROR(IF(SUM($D12)=0,"NA",P12/$D12),"NA")</f>
        <v>5.6799253394268966E-2</v>
      </c>
      <c r="J12" s="3057">
        <f>IFERROR(IF(SUM($D12)=0,"NA",Q12/$D12),"NA")</f>
        <v>9.4317995565628851E-2</v>
      </c>
      <c r="K12" s="3057">
        <f>IFERROR(IF(SUM($D12)=0,"NA",R12/$D12),"NA")</f>
        <v>4.7224963384002824E-2</v>
      </c>
      <c r="L12" s="3057">
        <f t="shared" si="3"/>
        <v>-8.8873180527367604E-2</v>
      </c>
      <c r="M12" s="3106" t="str">
        <f t="shared" si="4"/>
        <v>NA</v>
      </c>
      <c r="N12" s="2917">
        <v>997.90738433907222</v>
      </c>
      <c r="O12" s="2917" t="s">
        <v>274</v>
      </c>
      <c r="P12" s="3087">
        <f>IF(SUM(N12:O12)=0,N12,SUM(N12:O12))</f>
        <v>997.90738433907222</v>
      </c>
      <c r="Q12" s="2917">
        <v>1657.0750252237938</v>
      </c>
      <c r="R12" s="2918">
        <v>829.69646377066169</v>
      </c>
      <c r="S12" s="2918">
        <v>-1561.4149450582056</v>
      </c>
      <c r="T12" s="2918" t="s">
        <v>274</v>
      </c>
      <c r="U12" s="4262">
        <f>IF(SUM(P12:T12)=0,P12,SUM(P12:T12)*-44/12)</f>
        <v>-7051.9677370095151</v>
      </c>
      <c r="W12" s="2424"/>
    </row>
    <row r="13" spans="2:23" ht="18" customHeight="1" x14ac:dyDescent="0.2">
      <c r="B13" s="490"/>
      <c r="C13" s="498" t="s">
        <v>1340</v>
      </c>
      <c r="D13" s="3509">
        <f t="shared" ref="D13:D15" si="5">IF(SUM(E13:F13)=0,E13,SUM(E13:F13))</f>
        <v>681.45988290815001</v>
      </c>
      <c r="E13" s="3510">
        <v>681.45988290815001</v>
      </c>
      <c r="F13" s="3496" t="s">
        <v>274</v>
      </c>
      <c r="G13" s="3500">
        <f t="shared" ref="G13:K28" si="6">IFERROR(IF(SUM($D13)=0,"NA",N13/$D13),"NA")</f>
        <v>0.68309072479217847</v>
      </c>
      <c r="H13" s="3057" t="str">
        <f t="shared" si="6"/>
        <v>NA</v>
      </c>
      <c r="I13" s="3057">
        <f t="shared" si="6"/>
        <v>0.68309072479217847</v>
      </c>
      <c r="J13" s="3057">
        <f t="shared" si="6"/>
        <v>1.1831152033483447</v>
      </c>
      <c r="K13" s="3057">
        <f t="shared" si="6"/>
        <v>0.55944881644179267</v>
      </c>
      <c r="L13" s="3057">
        <f t="shared" si="3"/>
        <v>0.42641002698640967</v>
      </c>
      <c r="M13" s="3106" t="str">
        <f t="shared" si="4"/>
        <v>NA</v>
      </c>
      <c r="N13" s="2917">
        <v>465.49892533252125</v>
      </c>
      <c r="O13" s="2917" t="s">
        <v>274</v>
      </c>
      <c r="P13" s="3087">
        <f t="shared" ref="P13:P15" si="7">IF(SUM(N13:O13)=0,N13,SUM(N13:O13))</f>
        <v>465.49892533252125</v>
      </c>
      <c r="Q13" s="2917">
        <v>806.2455479406151</v>
      </c>
      <c r="R13" s="2918">
        <v>381.24192494552716</v>
      </c>
      <c r="S13" s="2918">
        <v>290.58132706101981</v>
      </c>
      <c r="T13" s="2918" t="s">
        <v>274</v>
      </c>
      <c r="U13" s="4262">
        <f t="shared" ref="U13:U15" si="8">IF(SUM(P13:T13)=0,P13,SUM(P13:T13)*-44/12)</f>
        <v>-7126.4149926921737</v>
      </c>
      <c r="W13" s="2424"/>
    </row>
    <row r="14" spans="2:23" ht="18" customHeight="1" x14ac:dyDescent="0.2">
      <c r="B14" s="490"/>
      <c r="C14" s="498" t="s">
        <v>1341</v>
      </c>
      <c r="D14" s="3509">
        <f t="shared" si="5"/>
        <v>116170.77410306872</v>
      </c>
      <c r="E14" s="3510">
        <v>116170.77410306872</v>
      </c>
      <c r="F14" s="3496" t="s">
        <v>274</v>
      </c>
      <c r="G14" s="3500">
        <f t="shared" si="6"/>
        <v>6.9676766782265258E-4</v>
      </c>
      <c r="H14" s="3057" t="str">
        <f t="shared" si="6"/>
        <v>NA</v>
      </c>
      <c r="I14" s="3057">
        <f t="shared" si="6"/>
        <v>6.9676766782265258E-4</v>
      </c>
      <c r="J14" s="3057">
        <f t="shared" si="6"/>
        <v>-8.0064433257281433E-4</v>
      </c>
      <c r="K14" s="3057">
        <f t="shared" si="6"/>
        <v>4.294554544537391E-4</v>
      </c>
      <c r="L14" s="3057" t="str">
        <f t="shared" si="3"/>
        <v>NA</v>
      </c>
      <c r="M14" s="3106" t="str">
        <f t="shared" si="4"/>
        <v>NA</v>
      </c>
      <c r="N14" s="2917">
        <v>80.944039340947398</v>
      </c>
      <c r="O14" s="2917" t="s">
        <v>274</v>
      </c>
      <c r="P14" s="3087">
        <f t="shared" si="7"/>
        <v>80.944039340947398</v>
      </c>
      <c r="Q14" s="2917">
        <v>-93.011471896218637</v>
      </c>
      <c r="R14" s="2918">
        <v>49.890172586676044</v>
      </c>
      <c r="S14" s="2918" t="s">
        <v>205</v>
      </c>
      <c r="T14" s="2918" t="s">
        <v>205</v>
      </c>
      <c r="U14" s="4262">
        <f t="shared" si="8"/>
        <v>-138.68338011515095</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-2081.5461451936203</v>
      </c>
      <c r="P15" s="3087">
        <f t="shared" si="7"/>
        <v>-2081.5461451936203</v>
      </c>
      <c r="Q15" s="2917">
        <v>197.59062758162199</v>
      </c>
      <c r="R15" s="2918" t="s">
        <v>205</v>
      </c>
      <c r="S15" s="2918" t="s">
        <v>205</v>
      </c>
      <c r="T15" s="2918" t="s">
        <v>205</v>
      </c>
      <c r="U15" s="4262">
        <f t="shared" si="8"/>
        <v>6907.8368979106608</v>
      </c>
      <c r="W15" s="2424"/>
    </row>
    <row r="16" spans="2:23" ht="18" customHeight="1" x14ac:dyDescent="0.2">
      <c r="B16" s="475" t="s">
        <v>1343</v>
      </c>
      <c r="C16" s="494"/>
      <c r="D16" s="3509">
        <f>IF(SUM(D17,D19,D23,D25,D27)=0,"IE",SUM(D17,D19,D23,D25,D27))</f>
        <v>3976.9481779893049</v>
      </c>
      <c r="E16" s="3512">
        <f t="shared" ref="E16:T16" si="9">IF(SUM(E17,E19,E23,E25,E27)=0,"IE",SUM(E17,E19,E23,E25,E27))</f>
        <v>3876.6890475423302</v>
      </c>
      <c r="F16" s="3513">
        <f t="shared" si="9"/>
        <v>100.25913044697458</v>
      </c>
      <c r="G16" s="3500">
        <f t="shared" si="6"/>
        <v>0.75512674882600628</v>
      </c>
      <c r="H16" s="3057">
        <f t="shared" si="6"/>
        <v>-2.2063606052540421E-4</v>
      </c>
      <c r="I16" s="3057">
        <f t="shared" si="6"/>
        <v>0.75490611276548103</v>
      </c>
      <c r="J16" s="3057">
        <f t="shared" si="6"/>
        <v>0.13592429624231481</v>
      </c>
      <c r="K16" s="3057">
        <f t="shared" si="6"/>
        <v>3.5746059501860841E-2</v>
      </c>
      <c r="L16" s="3057">
        <f t="shared" si="3"/>
        <v>-0.4874861708790213</v>
      </c>
      <c r="M16" s="3106">
        <f t="shared" si="4"/>
        <v>-0.29149198566141643</v>
      </c>
      <c r="N16" s="3057">
        <f t="shared" si="9"/>
        <v>3003.0999478945732</v>
      </c>
      <c r="O16" s="3057">
        <f t="shared" si="9"/>
        <v>-0.87745817890524425</v>
      </c>
      <c r="P16" s="3057">
        <f t="shared" si="9"/>
        <v>3002.2224897156684</v>
      </c>
      <c r="Q16" s="3057">
        <f t="shared" si="9"/>
        <v>540.56388228535241</v>
      </c>
      <c r="R16" s="3514">
        <f t="shared" si="9"/>
        <v>142.16022620622275</v>
      </c>
      <c r="S16" s="3514">
        <f t="shared" si="9"/>
        <v>-1889.8322994750506</v>
      </c>
      <c r="T16" s="3514">
        <f t="shared" si="9"/>
        <v>-29.224733014675596</v>
      </c>
      <c r="U16" s="4262">
        <f>IF(SUM(U17,U19,U23,U25,U27)=0,"IE",SUM(U17,U19,U23,U25,U27))</f>
        <v>-6474.9284076308977</v>
      </c>
      <c r="W16" s="2048"/>
    </row>
    <row r="17" spans="2:23" ht="18" customHeight="1" x14ac:dyDescent="0.2">
      <c r="B17" s="477" t="s">
        <v>1344</v>
      </c>
      <c r="C17" s="494"/>
      <c r="D17" s="3509">
        <f>D18</f>
        <v>37.642176775836113</v>
      </c>
      <c r="E17" s="3512">
        <f t="shared" ref="E17:U17" si="10">E18</f>
        <v>37.642176775836113</v>
      </c>
      <c r="F17" s="3513" t="str">
        <f t="shared" si="10"/>
        <v>NO</v>
      </c>
      <c r="G17" s="3500">
        <f t="shared" si="6"/>
        <v>1.2868294296311205</v>
      </c>
      <c r="H17" s="3057" t="str">
        <f t="shared" si="6"/>
        <v>NA</v>
      </c>
      <c r="I17" s="3057">
        <f t="shared" si="6"/>
        <v>1.2868294296311205</v>
      </c>
      <c r="J17" s="3057">
        <f t="shared" si="6"/>
        <v>-0.10100403242476257</v>
      </c>
      <c r="K17" s="3057">
        <f t="shared" si="6"/>
        <v>-2.9482564093457946E-2</v>
      </c>
      <c r="L17" s="3057">
        <f t="shared" si="3"/>
        <v>-0.47493256623968472</v>
      </c>
      <c r="M17" s="3106" t="str">
        <f t="shared" si="4"/>
        <v>NA</v>
      </c>
      <c r="N17" s="3057">
        <f t="shared" si="10"/>
        <v>48.439060870522994</v>
      </c>
      <c r="O17" s="3057" t="str">
        <f t="shared" si="10"/>
        <v>IE</v>
      </c>
      <c r="P17" s="3057">
        <f t="shared" si="10"/>
        <v>48.439060870522994</v>
      </c>
      <c r="Q17" s="3057">
        <f t="shared" si="10"/>
        <v>-3.8020116436051952</v>
      </c>
      <c r="R17" s="3514">
        <f t="shared" si="10"/>
        <v>-1.1097878894108624</v>
      </c>
      <c r="S17" s="3514">
        <f t="shared" si="10"/>
        <v>-17.877495614995706</v>
      </c>
      <c r="T17" s="3514" t="str">
        <f t="shared" si="10"/>
        <v>NO</v>
      </c>
      <c r="U17" s="4262">
        <f t="shared" si="10"/>
        <v>-94.049140982541175</v>
      </c>
      <c r="W17" s="2048"/>
    </row>
    <row r="18" spans="2:23" ht="18" customHeight="1" x14ac:dyDescent="0.2">
      <c r="B18" s="478"/>
      <c r="C18" s="498" t="s">
        <v>409</v>
      </c>
      <c r="D18" s="3509">
        <f>IF(SUM(E18:F18)=0,E18,SUM(E18:F18))</f>
        <v>37.642176775836113</v>
      </c>
      <c r="E18" s="3510">
        <v>37.642176775836113</v>
      </c>
      <c r="F18" s="3496" t="s">
        <v>199</v>
      </c>
      <c r="G18" s="3500">
        <f t="shared" si="6"/>
        <v>1.2868294296311205</v>
      </c>
      <c r="H18" s="3057" t="str">
        <f t="shared" si="6"/>
        <v>NA</v>
      </c>
      <c r="I18" s="3057">
        <f t="shared" si="6"/>
        <v>1.2868294296311205</v>
      </c>
      <c r="J18" s="3057">
        <f t="shared" si="6"/>
        <v>-0.10100403242476257</v>
      </c>
      <c r="K18" s="3057">
        <f t="shared" si="6"/>
        <v>-2.9482564093457946E-2</v>
      </c>
      <c r="L18" s="3057">
        <f t="shared" si="3"/>
        <v>-0.47493256623968472</v>
      </c>
      <c r="M18" s="3106" t="str">
        <f t="shared" si="4"/>
        <v>NA</v>
      </c>
      <c r="N18" s="2917">
        <v>48.439060870522994</v>
      </c>
      <c r="O18" s="2917" t="s">
        <v>274</v>
      </c>
      <c r="P18" s="3087">
        <f>IF(SUM(N18:O18)=0,N18,SUM(N18:O18))</f>
        <v>48.439060870522994</v>
      </c>
      <c r="Q18" s="2917">
        <v>-3.8020116436051952</v>
      </c>
      <c r="R18" s="2918">
        <v>-1.1097878894108624</v>
      </c>
      <c r="S18" s="2918">
        <v>-17.877495614995706</v>
      </c>
      <c r="T18" s="2918" t="s">
        <v>199</v>
      </c>
      <c r="U18" s="4262">
        <f t="shared" ref="U18" si="11">IF(SUM(P18:T18)=0,P18,SUM(P18:T18)*-44/12)</f>
        <v>-94.049140982541175</v>
      </c>
      <c r="W18" s="2424"/>
    </row>
    <row r="19" spans="2:23" ht="18" customHeight="1" x14ac:dyDescent="0.2">
      <c r="B19" s="477" t="s">
        <v>1345</v>
      </c>
      <c r="C19" s="494"/>
      <c r="D19" s="3504">
        <f>IF(SUM(D20:D22)=0,"IE",SUM(D20:D22))</f>
        <v>3822.3511396639979</v>
      </c>
      <c r="E19" s="3512">
        <f t="shared" ref="E19:U19" si="12">IF(SUM(E20:E22)=0,"IE",SUM(E20:E22))</f>
        <v>3822.3511396639979</v>
      </c>
      <c r="F19" s="3513" t="str">
        <f t="shared" si="12"/>
        <v>IE</v>
      </c>
      <c r="G19" s="3500">
        <f t="shared" si="6"/>
        <v>0.55911425713047913</v>
      </c>
      <c r="H19" s="3057">
        <f t="shared" si="6"/>
        <v>-2.2955980412160063E-4</v>
      </c>
      <c r="I19" s="3057">
        <f t="shared" si="6"/>
        <v>0.55888469732635759</v>
      </c>
      <c r="J19" s="3057">
        <f t="shared" si="6"/>
        <v>0.15716677117375724</v>
      </c>
      <c r="K19" s="3057">
        <f t="shared" si="6"/>
        <v>2.578738278251717E-2</v>
      </c>
      <c r="L19" s="3057">
        <f t="shared" si="3"/>
        <v>-0.48554863622069211</v>
      </c>
      <c r="M19" s="3106" t="str">
        <f t="shared" si="4"/>
        <v>NA</v>
      </c>
      <c r="N19" s="3057">
        <f t="shared" si="12"/>
        <v>2137.1310179450766</v>
      </c>
      <c r="O19" s="3057">
        <f t="shared" si="12"/>
        <v>-0.87745817890524425</v>
      </c>
      <c r="P19" s="3057">
        <f t="shared" si="12"/>
        <v>2136.2535597661713</v>
      </c>
      <c r="Q19" s="3057">
        <f t="shared" si="12"/>
        <v>600.74658691332172</v>
      </c>
      <c r="R19" s="3514">
        <f t="shared" si="12"/>
        <v>98.56843196770626</v>
      </c>
      <c r="S19" s="3514">
        <f t="shared" si="12"/>
        <v>-1855.9373830204624</v>
      </c>
      <c r="T19" s="3514" t="str">
        <f t="shared" si="12"/>
        <v>IE</v>
      </c>
      <c r="U19" s="4262">
        <f t="shared" si="12"/>
        <v>-3591.9810506313706</v>
      </c>
      <c r="W19" s="2048"/>
    </row>
    <row r="20" spans="2:23" ht="18" customHeight="1" x14ac:dyDescent="0.2">
      <c r="B20" s="486"/>
      <c r="C20" s="498" t="s">
        <v>1346</v>
      </c>
      <c r="D20" s="3509">
        <f>IF(SUM(E20:F20)=0,E20,SUM(E20:F20))</f>
        <v>912.40265259476837</v>
      </c>
      <c r="E20" s="3510">
        <v>912.40265259476837</v>
      </c>
      <c r="F20" s="3496" t="s">
        <v>199</v>
      </c>
      <c r="G20" s="3500">
        <f t="shared" si="6"/>
        <v>1.1606735039844853</v>
      </c>
      <c r="H20" s="3057" t="str">
        <f t="shared" si="6"/>
        <v>NA</v>
      </c>
      <c r="I20" s="3057">
        <f t="shared" si="6"/>
        <v>1.1606735039844853</v>
      </c>
      <c r="J20" s="3057">
        <f t="shared" si="6"/>
        <v>-6.1317486159296601E-2</v>
      </c>
      <c r="K20" s="3057">
        <f t="shared" si="6"/>
        <v>-9.7845909020898986E-3</v>
      </c>
      <c r="L20" s="3057">
        <f t="shared" si="3"/>
        <v>-0.59171938954012304</v>
      </c>
      <c r="M20" s="3106" t="str">
        <f t="shared" si="4"/>
        <v>NA</v>
      </c>
      <c r="N20" s="2917">
        <v>1059.0015838319089</v>
      </c>
      <c r="O20" s="2917" t="s">
        <v>274</v>
      </c>
      <c r="P20" s="3087">
        <f>IF(SUM(N20:O20)=0,N20,SUM(N20:O20))</f>
        <v>1059.0015838319089</v>
      </c>
      <c r="Q20" s="2917">
        <v>-55.946237022185215</v>
      </c>
      <c r="R20" s="2918">
        <v>-8.9274866936214607</v>
      </c>
      <c r="S20" s="2918">
        <v>-539.88634060816526</v>
      </c>
      <c r="T20" s="2918" t="s">
        <v>199</v>
      </c>
      <c r="U20" s="4262">
        <f t="shared" ref="U20:U22" si="13">IF(SUM(P20:T20)=0,P20,SUM(P20:T20)*-44/12)</f>
        <v>-1665.552238195769</v>
      </c>
      <c r="W20" s="2424"/>
    </row>
    <row r="21" spans="2:23" ht="18" customHeight="1" x14ac:dyDescent="0.2">
      <c r="B21" s="490"/>
      <c r="C21" s="498" t="s">
        <v>1347</v>
      </c>
      <c r="D21" s="3509">
        <f>IF(SUM(E21:F21)=0,E21,SUM(E21:F21))</f>
        <v>2909.9484870692295</v>
      </c>
      <c r="E21" s="3510">
        <v>2909.9484870692295</v>
      </c>
      <c r="F21" s="3496" t="s">
        <v>199</v>
      </c>
      <c r="G21" s="3500">
        <f t="shared" si="6"/>
        <v>0.37049777303756048</v>
      </c>
      <c r="H21" s="3057" t="str">
        <f t="shared" si="6"/>
        <v>NA</v>
      </c>
      <c r="I21" s="3057">
        <f t="shared" si="6"/>
        <v>0.37049777303756048</v>
      </c>
      <c r="J21" s="3057">
        <f t="shared" si="6"/>
        <v>0.22569264227322594</v>
      </c>
      <c r="K21" s="3057">
        <f t="shared" si="6"/>
        <v>3.6940832162150342E-2</v>
      </c>
      <c r="L21" s="3057">
        <f t="shared" si="3"/>
        <v>-0.45225922323379864</v>
      </c>
      <c r="M21" s="3106" t="str">
        <f t="shared" si="4"/>
        <v>NA</v>
      </c>
      <c r="N21" s="2917">
        <v>1078.1294341131679</v>
      </c>
      <c r="O21" s="2917" t="s">
        <v>274</v>
      </c>
      <c r="P21" s="3087">
        <f t="shared" ref="P21:P28" si="14">IF(SUM(N21:O21)=0,N21,SUM(N21:O21))</f>
        <v>1078.1294341131679</v>
      </c>
      <c r="Q21" s="2917">
        <v>656.75396292563062</v>
      </c>
      <c r="R21" s="2918">
        <v>107.49591866132772</v>
      </c>
      <c r="S21" s="2918">
        <v>-1316.0510424122972</v>
      </c>
      <c r="T21" s="2918" t="s">
        <v>199</v>
      </c>
      <c r="U21" s="4262">
        <f t="shared" si="13"/>
        <v>-1929.8703353887074</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-0.87745817890524425</v>
      </c>
      <c r="P22" s="3087">
        <f t="shared" si="14"/>
        <v>-0.87745817890524425</v>
      </c>
      <c r="Q22" s="2917">
        <v>-6.1138990123706029E-2</v>
      </c>
      <c r="R22" s="2918" t="s">
        <v>205</v>
      </c>
      <c r="S22" s="2918" t="s">
        <v>205</v>
      </c>
      <c r="T22" s="2918" t="s">
        <v>205</v>
      </c>
      <c r="U22" s="4262">
        <f t="shared" si="13"/>
        <v>3.4415229531061513</v>
      </c>
      <c r="W22" s="2424"/>
    </row>
    <row r="23" spans="2:23" ht="18" customHeight="1" x14ac:dyDescent="0.2">
      <c r="B23" s="477" t="s">
        <v>1348</v>
      </c>
      <c r="C23" s="494"/>
      <c r="D23" s="3509">
        <f>D24</f>
        <v>100.25913044697458</v>
      </c>
      <c r="E23" s="3512" t="str">
        <f t="shared" ref="E23" si="15">E24</f>
        <v>NO</v>
      </c>
      <c r="F23" s="3513">
        <f t="shared" ref="F23" si="16">F24</f>
        <v>100.25913044697458</v>
      </c>
      <c r="G23" s="3500">
        <f t="shared" si="6"/>
        <v>7.9118408145489756</v>
      </c>
      <c r="H23" s="3057" t="str">
        <f t="shared" si="6"/>
        <v>NA</v>
      </c>
      <c r="I23" s="3057">
        <f t="shared" si="6"/>
        <v>7.9118408145489756</v>
      </c>
      <c r="J23" s="3057">
        <f t="shared" si="6"/>
        <v>-0.53993964879220691</v>
      </c>
      <c r="K23" s="3057">
        <f t="shared" si="6"/>
        <v>0.45079608519457748</v>
      </c>
      <c r="L23" s="3057" t="str">
        <f t="shared" si="3"/>
        <v>NA</v>
      </c>
      <c r="M23" s="3106">
        <f t="shared" si="4"/>
        <v>-0.29149198566141643</v>
      </c>
      <c r="N23" s="3057">
        <f t="shared" ref="N23" si="17">N24</f>
        <v>793.23428030156333</v>
      </c>
      <c r="O23" s="3057" t="str">
        <f t="shared" ref="O23" si="18">O24</f>
        <v>IE</v>
      </c>
      <c r="P23" s="3057">
        <f t="shared" ref="P23" si="19">P24</f>
        <v>793.23428030156333</v>
      </c>
      <c r="Q23" s="3057">
        <f t="shared" ref="Q23" si="20">Q24</f>
        <v>-54.133879681751516</v>
      </c>
      <c r="R23" s="3514">
        <f t="shared" ref="R23" si="21">R24</f>
        <v>45.196423510508609</v>
      </c>
      <c r="S23" s="3514" t="str">
        <f t="shared" ref="S23" si="22">S24</f>
        <v>NO</v>
      </c>
      <c r="T23" s="3514">
        <f t="shared" ref="T23" si="23">T24</f>
        <v>-29.224733014675596</v>
      </c>
      <c r="U23" s="4262">
        <f t="shared" ref="U23" si="24">U24</f>
        <v>-2768.5976674240305</v>
      </c>
      <c r="W23" s="2048"/>
    </row>
    <row r="24" spans="2:23" ht="18" customHeight="1" x14ac:dyDescent="0.2">
      <c r="B24" s="478"/>
      <c r="C24" s="498" t="s">
        <v>409</v>
      </c>
      <c r="D24" s="3509">
        <f>IF(SUM(E24:F24)=0,E24,SUM(E24:F24))</f>
        <v>100.25913044697458</v>
      </c>
      <c r="E24" s="3510" t="s">
        <v>199</v>
      </c>
      <c r="F24" s="3496">
        <v>100.25913044697458</v>
      </c>
      <c r="G24" s="3500">
        <f t="shared" si="6"/>
        <v>7.9118408145489756</v>
      </c>
      <c r="H24" s="3057" t="str">
        <f t="shared" si="6"/>
        <v>NA</v>
      </c>
      <c r="I24" s="3057">
        <f t="shared" si="6"/>
        <v>7.9118408145489756</v>
      </c>
      <c r="J24" s="3057">
        <f t="shared" si="6"/>
        <v>-0.53993964879220691</v>
      </c>
      <c r="K24" s="3057">
        <f t="shared" si="6"/>
        <v>0.45079608519457748</v>
      </c>
      <c r="L24" s="3057" t="str">
        <f t="shared" si="3"/>
        <v>NA</v>
      </c>
      <c r="M24" s="3106">
        <f t="shared" si="4"/>
        <v>-0.29149198566141643</v>
      </c>
      <c r="N24" s="2917">
        <v>793.23428030156333</v>
      </c>
      <c r="O24" s="2917" t="s">
        <v>274</v>
      </c>
      <c r="P24" s="3087">
        <f t="shared" si="14"/>
        <v>793.23428030156333</v>
      </c>
      <c r="Q24" s="2917">
        <v>-54.133879681751516</v>
      </c>
      <c r="R24" s="2918">
        <v>45.196423510508609</v>
      </c>
      <c r="S24" s="2918" t="s">
        <v>199</v>
      </c>
      <c r="T24" s="2918">
        <v>-29.224733014675596</v>
      </c>
      <c r="U24" s="4262">
        <f t="shared" ref="U24" si="25">IF(SUM(P24:T24)=0,P24,SUM(P24:T24)*-44/12)</f>
        <v>-2768.5976674240305</v>
      </c>
      <c r="W24" s="2424"/>
    </row>
    <row r="25" spans="2:23" ht="18" customHeight="1" x14ac:dyDescent="0.2">
      <c r="B25" s="477" t="s">
        <v>1349</v>
      </c>
      <c r="C25" s="494"/>
      <c r="D25" s="3509">
        <f>D26</f>
        <v>16.695731102496236</v>
      </c>
      <c r="E25" s="3512">
        <f t="shared" ref="E25" si="26">E26</f>
        <v>16.695731102496236</v>
      </c>
      <c r="F25" s="3513" t="str">
        <f t="shared" ref="F25" si="27">F26</f>
        <v>NO</v>
      </c>
      <c r="G25" s="3500">
        <f t="shared" si="6"/>
        <v>1.4551976567098535</v>
      </c>
      <c r="H25" s="3057" t="str">
        <f t="shared" si="6"/>
        <v>NA</v>
      </c>
      <c r="I25" s="3057">
        <f t="shared" si="6"/>
        <v>1.4551976567098535</v>
      </c>
      <c r="J25" s="3057">
        <f t="shared" si="6"/>
        <v>-0.13457411890615892</v>
      </c>
      <c r="K25" s="3057">
        <f t="shared" si="6"/>
        <v>-2.963879686031139E-2</v>
      </c>
      <c r="L25" s="3057">
        <f t="shared" si="3"/>
        <v>-0.95937223361231616</v>
      </c>
      <c r="M25" s="3106" t="str">
        <f t="shared" si="4"/>
        <v>NA</v>
      </c>
      <c r="N25" s="3057">
        <f t="shared" ref="N25" si="28">N26</f>
        <v>24.295588777410341</v>
      </c>
      <c r="O25" s="3057" t="str">
        <f t="shared" ref="O25" si="29">O26</f>
        <v>IE</v>
      </c>
      <c r="P25" s="3057">
        <f t="shared" ref="P25" si="30">P26</f>
        <v>24.295588777410341</v>
      </c>
      <c r="Q25" s="3057">
        <f t="shared" ref="Q25" si="31">Q26</f>
        <v>-2.2468133026125843</v>
      </c>
      <c r="R25" s="3514">
        <f t="shared" ref="R25" si="32">R26</f>
        <v>-0.49484138258126864</v>
      </c>
      <c r="S25" s="3514">
        <f t="shared" ref="S25" si="33">S26</f>
        <v>-16.017420839592432</v>
      </c>
      <c r="T25" s="3514" t="str">
        <f t="shared" ref="T25" si="34">T26</f>
        <v>NO</v>
      </c>
      <c r="U25" s="4262">
        <f t="shared" ref="U25" si="35">U26</f>
        <v>-20.300548592954879</v>
      </c>
      <c r="W25" s="2048"/>
    </row>
    <row r="26" spans="2:23" ht="18" customHeight="1" x14ac:dyDescent="0.2">
      <c r="B26" s="478"/>
      <c r="C26" s="498" t="s">
        <v>409</v>
      </c>
      <c r="D26" s="3509">
        <f>IF(SUM(E26:F26)=0,E26,SUM(E26:F26))</f>
        <v>16.695731102496236</v>
      </c>
      <c r="E26" s="3510">
        <v>16.695731102496236</v>
      </c>
      <c r="F26" s="3496" t="s">
        <v>199</v>
      </c>
      <c r="G26" s="3500">
        <f t="shared" si="6"/>
        <v>1.4551976567098535</v>
      </c>
      <c r="H26" s="3057" t="str">
        <f t="shared" si="6"/>
        <v>NA</v>
      </c>
      <c r="I26" s="3057">
        <f t="shared" si="6"/>
        <v>1.4551976567098535</v>
      </c>
      <c r="J26" s="3057">
        <f t="shared" si="6"/>
        <v>-0.13457411890615892</v>
      </c>
      <c r="K26" s="3057">
        <f t="shared" si="6"/>
        <v>-2.963879686031139E-2</v>
      </c>
      <c r="L26" s="3057">
        <f t="shared" si="3"/>
        <v>-0.95937223361231616</v>
      </c>
      <c r="M26" s="3106" t="str">
        <f t="shared" si="4"/>
        <v>NA</v>
      </c>
      <c r="N26" s="2917">
        <v>24.295588777410341</v>
      </c>
      <c r="O26" s="2917" t="s">
        <v>274</v>
      </c>
      <c r="P26" s="3087">
        <f t="shared" si="14"/>
        <v>24.295588777410341</v>
      </c>
      <c r="Q26" s="2917">
        <v>-2.2468133026125843</v>
      </c>
      <c r="R26" s="2918">
        <v>-0.49484138258126864</v>
      </c>
      <c r="S26" s="2918">
        <v>-16.017420839592432</v>
      </c>
      <c r="T26" s="2918" t="s">
        <v>199</v>
      </c>
      <c r="U26" s="4262">
        <f t="shared" ref="U26" si="36">IF(SUM(P26:T26)=0,P26,SUM(P26:T26)*-44/12)</f>
        <v>-20.300548592954879</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39670.105223137987</v>
      </c>
      <c r="E10" s="3523">
        <f t="shared" ref="E10:F10" si="0">IF(SUM(E11,E13)=0,"IE",SUM(E11,E13))</f>
        <v>39667.105223137987</v>
      </c>
      <c r="F10" s="3524">
        <f t="shared" si="0"/>
        <v>3</v>
      </c>
      <c r="G10" s="3500">
        <f>IFERROR(IF(SUM($D10)=0,"NA",M10/$D10),"NA")</f>
        <v>1.4185802095249757E-4</v>
      </c>
      <c r="H10" s="3523">
        <f t="shared" ref="H10:J10" si="1">IFERROR(IF(SUM($D10)=0,"NA",N10/$D10),"NA")</f>
        <v>-7.2949684110971746E-2</v>
      </c>
      <c r="I10" s="3523">
        <f t="shared" si="1"/>
        <v>-7.2807826090019248E-2</v>
      </c>
      <c r="J10" s="3523">
        <f t="shared" si="1"/>
        <v>-3.3453827839768205E-2</v>
      </c>
      <c r="K10" s="3525">
        <f>IFERROR(IF(SUM(E10)=0,"NA",Q10/E10),"NA")</f>
        <v>-0.12896770923742074</v>
      </c>
      <c r="L10" s="3524">
        <f>IFERROR(IF(SUM(F10)=0,"NA",R10/F10),"NA")</f>
        <v>-12.475</v>
      </c>
      <c r="M10" s="3526">
        <f>IF(SUM(M11,M13)=0,"IE",SUM(M11,M13))</f>
        <v>5.6275226179316924</v>
      </c>
      <c r="N10" s="3523">
        <f t="shared" ref="N10:S10" si="2">IF(SUM(N11,N13)=0,"IE",SUM(N11,N13))</f>
        <v>-2893.9216446769265</v>
      </c>
      <c r="O10" s="3527">
        <f t="shared" si="2"/>
        <v>-2888.2941220589946</v>
      </c>
      <c r="P10" s="3523">
        <f t="shared" si="2"/>
        <v>-1327.1168705203477</v>
      </c>
      <c r="Q10" s="3525">
        <f t="shared" si="2"/>
        <v>-5115.7756927078335</v>
      </c>
      <c r="R10" s="3525">
        <f t="shared" si="2"/>
        <v>-37.424999999999997</v>
      </c>
      <c r="S10" s="3528">
        <f t="shared" si="2"/>
        <v>34351.57617938632</v>
      </c>
      <c r="U10" s="2287"/>
    </row>
    <row r="11" spans="2:21" ht="18" customHeight="1" x14ac:dyDescent="0.2">
      <c r="B11" s="489" t="s">
        <v>1256</v>
      </c>
      <c r="C11" s="2282"/>
      <c r="D11" s="3529">
        <f>D12</f>
        <v>37687.721045799997</v>
      </c>
      <c r="E11" s="3057">
        <f t="shared" ref="E11" si="3">E12</f>
        <v>37687.721045799997</v>
      </c>
      <c r="F11" s="3057" t="str">
        <f t="shared" ref="F11" si="4">F12</f>
        <v>IE</v>
      </c>
      <c r="G11" s="3500">
        <f t="shared" ref="G11:G23" si="5">IFERROR(IF(SUM($D11)=0,"NA",M11/$D11),"NA")</f>
        <v>1.4931979068442071E-4</v>
      </c>
      <c r="H11" s="3057" t="str">
        <f t="shared" ref="H11:H23" si="6">IFERROR(IF(SUM($D11)=0,"NA",N11/$D11),"NA")</f>
        <v>NA</v>
      </c>
      <c r="I11" s="3057">
        <f t="shared" ref="I11:I23" si="7">IFERROR(IF(SUM($D11)=0,"NA",O11/$D11),"NA")</f>
        <v>1.4931979068442071E-4</v>
      </c>
      <c r="J11" s="3057" t="str">
        <f t="shared" ref="J11:J23" si="8">IFERROR(IF(SUM($D11)=0,"NA",P11/$D11),"NA")</f>
        <v>NA</v>
      </c>
      <c r="K11" s="3514">
        <f t="shared" ref="K11:K23" si="9">IFERROR(IF(SUM(E11)=0,"NA",Q11/E11),"NA")</f>
        <v>-0.12486938295841567</v>
      </c>
      <c r="L11" s="3106" t="str">
        <f t="shared" ref="L11:L23" si="10">IFERROR(IF(SUM(F11)=0,"NA",R11/F11),"NA")</f>
        <v>NA</v>
      </c>
      <c r="M11" s="3530">
        <f t="shared" ref="M11" si="11">M12</f>
        <v>5.6275226179316924</v>
      </c>
      <c r="N11" s="3531" t="str">
        <f t="shared" ref="N11" si="12">N12</f>
        <v>IE</v>
      </c>
      <c r="O11" s="3532">
        <f t="shared" ref="O11" si="13">O12</f>
        <v>5.6275226179316924</v>
      </c>
      <c r="P11" s="3531" t="str">
        <f t="shared" ref="P11" si="14">P12</f>
        <v>NA</v>
      </c>
      <c r="Q11" s="3533">
        <f t="shared" ref="Q11" si="15">Q12</f>
        <v>-4706.0424720979418</v>
      </c>
      <c r="R11" s="3533" t="str">
        <f t="shared" ref="R11" si="16">R12</f>
        <v>IE</v>
      </c>
      <c r="S11" s="3534">
        <f t="shared" ref="S11" si="17">S12</f>
        <v>17234.854814760038</v>
      </c>
      <c r="U11" s="2284"/>
    </row>
    <row r="12" spans="2:21" ht="18" customHeight="1" x14ac:dyDescent="0.2">
      <c r="B12" s="491"/>
      <c r="C12" s="498" t="s">
        <v>409</v>
      </c>
      <c r="D12" s="3509">
        <f>IF(SUM(E12:F12)=0,E12,SUM(E12:F12))</f>
        <v>37687.721045799997</v>
      </c>
      <c r="E12" s="3510">
        <v>37687.721045799997</v>
      </c>
      <c r="F12" s="3496" t="s">
        <v>274</v>
      </c>
      <c r="G12" s="3500">
        <f t="shared" si="5"/>
        <v>1.4931979068442071E-4</v>
      </c>
      <c r="H12" s="3057" t="str">
        <f t="shared" si="6"/>
        <v>NA</v>
      </c>
      <c r="I12" s="3057">
        <f t="shared" si="7"/>
        <v>1.4931979068442071E-4</v>
      </c>
      <c r="J12" s="3057" t="str">
        <f t="shared" si="8"/>
        <v>NA</v>
      </c>
      <c r="K12" s="3514">
        <f t="shared" si="9"/>
        <v>-0.12486938295841567</v>
      </c>
      <c r="L12" s="3106" t="str">
        <f t="shared" si="10"/>
        <v>NA</v>
      </c>
      <c r="M12" s="2917">
        <v>5.6275226179316924</v>
      </c>
      <c r="N12" s="2917" t="s">
        <v>274</v>
      </c>
      <c r="O12" s="3087">
        <f>IF(SUM(M12:N12)=0,M12,SUM(M12:N12))</f>
        <v>5.6275226179316924</v>
      </c>
      <c r="P12" s="2917" t="s">
        <v>205</v>
      </c>
      <c r="Q12" s="2918">
        <v>-4706.0424720979418</v>
      </c>
      <c r="R12" s="2918" t="s">
        <v>274</v>
      </c>
      <c r="S12" s="3534">
        <f>IF(SUM(O12:R12)=0,Q12,SUM(O12:R12)*-44/12)</f>
        <v>17234.854814760038</v>
      </c>
      <c r="U12" s="2424"/>
    </row>
    <row r="13" spans="2:21" ht="18" customHeight="1" x14ac:dyDescent="0.2">
      <c r="B13" s="475" t="s">
        <v>1375</v>
      </c>
      <c r="C13" s="494"/>
      <c r="D13" s="3529">
        <f>IF(SUM(D14,D16,D18,D20,D22)=0,"IE",SUM(D14,D16,D18,D20,D22))</f>
        <v>1982.3841773379897</v>
      </c>
      <c r="E13" s="3531">
        <f t="shared" ref="E13:F13" si="18">IF(SUM(E14,E16,E18,E20,E22)=0,"IE",SUM(E14,E16,E18,E20,E22))</f>
        <v>1979.3841773379897</v>
      </c>
      <c r="F13" s="3535">
        <f t="shared" si="18"/>
        <v>3</v>
      </c>
      <c r="G13" s="3500" t="str">
        <f t="shared" si="5"/>
        <v>NA</v>
      </c>
      <c r="H13" s="3057">
        <f t="shared" si="6"/>
        <v>-1.4598187766828219</v>
      </c>
      <c r="I13" s="3057">
        <f t="shared" si="7"/>
        <v>-1.4598187766828219</v>
      </c>
      <c r="J13" s="3057">
        <f t="shared" si="8"/>
        <v>-0.6694549349674711</v>
      </c>
      <c r="K13" s="3514">
        <f t="shared" si="9"/>
        <v>-0.20700035157446225</v>
      </c>
      <c r="L13" s="3106">
        <f t="shared" si="10"/>
        <v>-12.475</v>
      </c>
      <c r="M13" s="3530" t="str">
        <f>IF(SUM(M14,M16,M18,M20,M22)=0,"IE",SUM(M14,M16,M18,M20,M22))</f>
        <v>IE</v>
      </c>
      <c r="N13" s="3531">
        <f t="shared" ref="N13" si="19">IF(SUM(N14,N16,N18,N20,N22)=0,"IE",SUM(N14,N16,N18,N20,N22))</f>
        <v>-2893.9216446769265</v>
      </c>
      <c r="O13" s="3532">
        <f t="shared" ref="O13" si="20">IF(SUM(O14,O16,O18,O20,O22)=0,"IE",SUM(O14,O16,O18,O20,O22))</f>
        <v>-2893.9216446769265</v>
      </c>
      <c r="P13" s="3532">
        <f t="shared" ref="P13" si="21">IF(SUM(P14,P16,P18,P20,P22)=0,"IE",SUM(P14,P16,P18,P20,P22))</f>
        <v>-1327.1168705203477</v>
      </c>
      <c r="Q13" s="3532">
        <f t="shared" ref="Q13" si="22">IF(SUM(Q14,Q16,Q18,Q20,Q22)=0,"IE",SUM(Q14,Q16,Q18,Q20,Q22))</f>
        <v>-409.73322060989165</v>
      </c>
      <c r="R13" s="3532">
        <f t="shared" ref="R13" si="23">IF(SUM(R14,R16,R18,R20,R22)=0,"IE",SUM(R14,R16,R18,R20,R22))</f>
        <v>-37.424999999999997</v>
      </c>
      <c r="S13" s="3534">
        <f t="shared" ref="S13" si="24">IF(SUM(S14,S16,S18,S20,S22)=0,"IE",SUM(S14,S16,S18,S20,S22))</f>
        <v>17116.721364626279</v>
      </c>
      <c r="U13" s="493"/>
    </row>
    <row r="14" spans="2:21" ht="18" customHeight="1" x14ac:dyDescent="0.2">
      <c r="B14" s="477" t="s">
        <v>1376</v>
      </c>
      <c r="C14" s="494"/>
      <c r="D14" s="3529">
        <f>D15</f>
        <v>1969.7232363101775</v>
      </c>
      <c r="E14" s="3057">
        <f t="shared" ref="E14" si="25">E15</f>
        <v>1969.7232363101775</v>
      </c>
      <c r="F14" s="3057" t="str">
        <f t="shared" ref="F14" si="26">F15</f>
        <v>IE</v>
      </c>
      <c r="G14" s="3500" t="str">
        <f t="shared" si="5"/>
        <v>NA</v>
      </c>
      <c r="H14" s="3057">
        <f t="shared" si="6"/>
        <v>-1.4692021657306646</v>
      </c>
      <c r="I14" s="3057">
        <f t="shared" si="7"/>
        <v>-1.4692021657306646</v>
      </c>
      <c r="J14" s="3057">
        <f t="shared" si="8"/>
        <v>-0.6737580417675304</v>
      </c>
      <c r="K14" s="3514">
        <f t="shared" si="9"/>
        <v>-0.19368682817615449</v>
      </c>
      <c r="L14" s="3106" t="str">
        <f t="shared" si="10"/>
        <v>NA</v>
      </c>
      <c r="M14" s="3530" t="str">
        <f t="shared" ref="M14" si="27">M15</f>
        <v>IE</v>
      </c>
      <c r="N14" s="3531">
        <f t="shared" ref="N14" si="28">N15</f>
        <v>-2893.9216446769265</v>
      </c>
      <c r="O14" s="3532">
        <f t="shared" ref="O14" si="29">O15</f>
        <v>-2893.9216446769265</v>
      </c>
      <c r="P14" s="3531">
        <f t="shared" ref="P14" si="30">P15</f>
        <v>-1327.1168705203477</v>
      </c>
      <c r="Q14" s="3533">
        <f t="shared" ref="Q14" si="31">Q15</f>
        <v>-381.50944602578829</v>
      </c>
      <c r="R14" s="3533" t="str">
        <f t="shared" ref="R14" si="32">R15</f>
        <v>IE</v>
      </c>
      <c r="S14" s="3534">
        <f t="shared" ref="S14" si="33">S15</f>
        <v>16876.009191151232</v>
      </c>
      <c r="U14" s="493"/>
    </row>
    <row r="15" spans="2:21" ht="18" customHeight="1" x14ac:dyDescent="0.2">
      <c r="B15" s="491"/>
      <c r="C15" s="498" t="s">
        <v>409</v>
      </c>
      <c r="D15" s="3509">
        <f>IF(SUM(E15:F15)=0,E15,SUM(E15:F15))</f>
        <v>1969.7232363101775</v>
      </c>
      <c r="E15" s="3510">
        <v>1969.7232363101775</v>
      </c>
      <c r="F15" s="3496" t="s">
        <v>274</v>
      </c>
      <c r="G15" s="3500" t="str">
        <f t="shared" si="5"/>
        <v>NA</v>
      </c>
      <c r="H15" s="3057">
        <f t="shared" si="6"/>
        <v>-1.4692021657306646</v>
      </c>
      <c r="I15" s="3057">
        <f t="shared" si="7"/>
        <v>-1.4692021657306646</v>
      </c>
      <c r="J15" s="3057">
        <f t="shared" si="8"/>
        <v>-0.6737580417675304</v>
      </c>
      <c r="K15" s="3514">
        <f t="shared" si="9"/>
        <v>-0.19368682817615449</v>
      </c>
      <c r="L15" s="3106" t="str">
        <f t="shared" si="10"/>
        <v>NA</v>
      </c>
      <c r="M15" s="2917" t="s">
        <v>274</v>
      </c>
      <c r="N15" s="2917">
        <v>-2893.9216446769265</v>
      </c>
      <c r="O15" s="3087">
        <f>IF(SUM(M15:N15)=0,M15,SUM(M15:N15))</f>
        <v>-2893.9216446769265</v>
      </c>
      <c r="P15" s="2917">
        <v>-1327.1168705203477</v>
      </c>
      <c r="Q15" s="2918">
        <v>-381.50944602578829</v>
      </c>
      <c r="R15" s="2918" t="s">
        <v>274</v>
      </c>
      <c r="S15" s="3534">
        <f>IF(SUM(O15:R15)=0,Q15,SUM(O15:R15)*-44/12)</f>
        <v>16876.009191151232</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515576.43647239794</v>
      </c>
      <c r="E10" s="3523">
        <f t="shared" ref="E10:F10" si="0">IF(SUM(E11,E15)=0,"IE",SUM(E11,E15))</f>
        <v>515575.43647239794</v>
      </c>
      <c r="F10" s="3524">
        <f t="shared" si="0"/>
        <v>1</v>
      </c>
      <c r="G10" s="3500">
        <f>IFERROR(IF(SUM($D10)=0,"NA",M10/$D10),"NA")</f>
        <v>4.4312767912558701E-4</v>
      </c>
      <c r="H10" s="3523">
        <f t="shared" ref="H10:J10" si="1">IFERROR(IF(SUM($D10)=0,"NA",N10/$D10),"NA")</f>
        <v>-5.3051564330536663E-2</v>
      </c>
      <c r="I10" s="3523">
        <f t="shared" si="1"/>
        <v>-5.2608436651411072E-2</v>
      </c>
      <c r="J10" s="3523">
        <f t="shared" si="1"/>
        <v>-1.1409301337432216E-2</v>
      </c>
      <c r="K10" s="3525">
        <f>IFERROR(IF(SUM(E10)=0,"NA",Q10/E10),"NA")</f>
        <v>5.2504031709798603E-3</v>
      </c>
      <c r="L10" s="3524">
        <f>IFERROR(IF(SUM(F10)=0,"NA",R10/F10),"NA")</f>
        <v>-8.7249999999999996</v>
      </c>
      <c r="M10" s="3526">
        <f>IF(SUM(M11,M15)=0,"IE",SUM(M11,M15))</f>
        <v>228.46618970585436</v>
      </c>
      <c r="N10" s="3523">
        <f t="shared" ref="N10:S10" si="2">IF(SUM(N11,N15)=0,"IE",SUM(N11,N15))</f>
        <v>-27352.136486824267</v>
      </c>
      <c r="O10" s="3527">
        <f t="shared" si="2"/>
        <v>-27123.670297118413</v>
      </c>
      <c r="P10" s="3523">
        <f t="shared" si="2"/>
        <v>-5882.3669261930654</v>
      </c>
      <c r="Q10" s="3525">
        <f t="shared" si="2"/>
        <v>2706.9789065340037</v>
      </c>
      <c r="R10" s="3525">
        <f t="shared" si="2"/>
        <v>-8.7249999999999996</v>
      </c>
      <c r="S10" s="3528">
        <f t="shared" si="2"/>
        <v>111128.53882818409</v>
      </c>
      <c r="U10" s="2287"/>
    </row>
    <row r="11" spans="2:21" ht="18" customHeight="1" x14ac:dyDescent="0.2">
      <c r="B11" s="483" t="s">
        <v>1259</v>
      </c>
      <c r="C11" s="473"/>
      <c r="D11" s="3539">
        <f>IF(SUM(D12:D14)=0,"IE",SUM(D12:D14))</f>
        <v>508112.26697042299</v>
      </c>
      <c r="E11" s="3505">
        <f t="shared" ref="E11:F11" si="3">IF(SUM(E12:E14)=0,"IE",SUM(E12:E14))</f>
        <v>508112.26697042299</v>
      </c>
      <c r="F11" s="3506" t="str">
        <f t="shared" si="3"/>
        <v>IE</v>
      </c>
      <c r="G11" s="3539">
        <f t="shared" ref="G11:G26" si="4">IFERROR(IF(SUM($D11)=0,"NA",M11/$D11),"NA")</f>
        <v>4.4045578645660738E-4</v>
      </c>
      <c r="H11" s="3087">
        <f t="shared" ref="H11:H26" si="5">IFERROR(IF(SUM($D11)=0,"NA",N11/$D11),"NA")</f>
        <v>-1.1155776278982466E-3</v>
      </c>
      <c r="I11" s="3087">
        <f t="shared" ref="I11:I26" si="6">IFERROR(IF(SUM($D11)=0,"NA",O11/$D11),"NA")</f>
        <v>-6.7512184144163912E-4</v>
      </c>
      <c r="J11" s="3087">
        <f t="shared" ref="J11:J26" si="7">IFERROR(IF(SUM($D11)=0,"NA",P11/$D11),"NA")</f>
        <v>4.0138627411613663E-4</v>
      </c>
      <c r="K11" s="3507">
        <f t="shared" ref="K11:K26" si="8">IFERROR(IF(SUM(E11)=0,"NA",Q11/E11),"NA")</f>
        <v>6.3315040410714483E-3</v>
      </c>
      <c r="L11" s="3216" t="str">
        <f t="shared" ref="L11:L26" si="9">IFERROR(IF(SUM(F11)=0,"NA",R11/F11),"NA")</f>
        <v>NA</v>
      </c>
      <c r="M11" s="3087">
        <f>IF(SUM(M12:M14)=0,"IE",SUM(M12:M14))</f>
        <v>223.80098815670732</v>
      </c>
      <c r="N11" s="3087">
        <f t="shared" ref="N11:O11" si="10">IF(SUM(N12:N14)=0,"IE",SUM(N12:N14))</f>
        <v>-566.83867749286503</v>
      </c>
      <c r="O11" s="3087">
        <f t="shared" si="10"/>
        <v>-343.03768933615771</v>
      </c>
      <c r="P11" s="3087">
        <f t="shared" ref="P11" si="11">IF(SUM(P12:P14)=0,"IE",SUM(P12:P14))</f>
        <v>203.94928967196179</v>
      </c>
      <c r="Q11" s="3507">
        <f t="shared" ref="Q11" si="12">IF(SUM(Q12:Q14)=0,"IE",SUM(Q12:Q14))</f>
        <v>3217.1148716412076</v>
      </c>
      <c r="R11" s="3507" t="str">
        <f t="shared" ref="R11" si="13">IF(SUM(R12:R14)=0,"IE",SUM(R12:R14))</f>
        <v>IE</v>
      </c>
      <c r="S11" s="3508">
        <f t="shared" ref="S11" si="14">IF(SUM(S12:S14)=0,"IE",SUM(S12:S14))</f>
        <v>-11286.097063915708</v>
      </c>
      <c r="U11" s="2423"/>
    </row>
    <row r="12" spans="2:21" ht="18" customHeight="1" x14ac:dyDescent="0.2">
      <c r="B12" s="489"/>
      <c r="C12" s="474" t="s">
        <v>1391</v>
      </c>
      <c r="D12" s="3500">
        <f>IF(SUM(E12:F12)=0,E12,SUM(E12:F12))</f>
        <v>69820.727480068104</v>
      </c>
      <c r="E12" s="3510">
        <v>69820.727480068104</v>
      </c>
      <c r="F12" s="3496" t="s">
        <v>274</v>
      </c>
      <c r="G12" s="3500">
        <f t="shared" si="4"/>
        <v>3.2053660314638852E-3</v>
      </c>
      <c r="H12" s="3057" t="str">
        <f t="shared" si="5"/>
        <v>NA</v>
      </c>
      <c r="I12" s="3057">
        <f t="shared" si="6"/>
        <v>3.2053660314638852E-3</v>
      </c>
      <c r="J12" s="3057">
        <f t="shared" si="7"/>
        <v>6.4107320629277706E-4</v>
      </c>
      <c r="K12" s="3514">
        <f t="shared" si="8"/>
        <v>2.5642928251711082E-3</v>
      </c>
      <c r="L12" s="3106" t="str">
        <f t="shared" si="9"/>
        <v>NA</v>
      </c>
      <c r="M12" s="2917">
        <v>223.80098815670732</v>
      </c>
      <c r="N12" s="2917" t="s">
        <v>274</v>
      </c>
      <c r="O12" s="3087">
        <f>IF(SUM(M12:N12)=0,M12,SUM(M12:N12))</f>
        <v>223.80098815670732</v>
      </c>
      <c r="P12" s="2917">
        <v>44.76019763134147</v>
      </c>
      <c r="Q12" s="2918">
        <v>179.04079052536588</v>
      </c>
      <c r="R12" s="2918" t="s">
        <v>274</v>
      </c>
      <c r="S12" s="3511">
        <f>IF(SUM(O12:R12)=0,Q12,SUM(O12:R12)*-44/12)</f>
        <v>-1641.2072464825203</v>
      </c>
      <c r="U12" s="2424"/>
    </row>
    <row r="13" spans="2:21" ht="18" customHeight="1" x14ac:dyDescent="0.2">
      <c r="B13" s="489"/>
      <c r="C13" s="474" t="s">
        <v>1392</v>
      </c>
      <c r="D13" s="3500">
        <f>IF(SUM(E13:F13)=0,E13,SUM(E13:F13))</f>
        <v>438291.53949035489</v>
      </c>
      <c r="E13" s="3510">
        <v>438291.53949035489</v>
      </c>
      <c r="F13" s="3496" t="s">
        <v>274</v>
      </c>
      <c r="G13" s="3500" t="str">
        <f t="shared" si="4"/>
        <v>NA</v>
      </c>
      <c r="H13" s="3057" t="str">
        <f t="shared" si="5"/>
        <v>NA</v>
      </c>
      <c r="I13" s="3057" t="str">
        <f t="shared" si="6"/>
        <v>NA</v>
      </c>
      <c r="J13" s="3057" t="str">
        <f t="shared" si="7"/>
        <v>NA</v>
      </c>
      <c r="K13" s="3514">
        <f t="shared" si="8"/>
        <v>6.9316283965885177E-3</v>
      </c>
      <c r="L13" s="3106" t="str">
        <f t="shared" si="9"/>
        <v>NA</v>
      </c>
      <c r="M13" s="2917" t="s">
        <v>205</v>
      </c>
      <c r="N13" s="2917" t="s">
        <v>205</v>
      </c>
      <c r="O13" s="3087" t="str">
        <f>IF(SUM(M13:N13)=0,M13,SUM(M13:N13))</f>
        <v>NA</v>
      </c>
      <c r="P13" s="2917" t="s">
        <v>205</v>
      </c>
      <c r="Q13" s="2918">
        <v>3038.0740811158416</v>
      </c>
      <c r="R13" s="2918" t="s">
        <v>274</v>
      </c>
      <c r="S13" s="3511">
        <f>IF(SUM(O13:R13)=0,Q13,SUM(O13:R13)*-44/12)</f>
        <v>-11139.604964091419</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-566.83867749286503</v>
      </c>
      <c r="O14" s="3087">
        <f>IF(SUM(M14:N14)=0,M14,SUM(M14:N14))</f>
        <v>-566.83867749286503</v>
      </c>
      <c r="P14" s="2917">
        <v>159.18909204062032</v>
      </c>
      <c r="Q14" s="2918" t="s">
        <v>205</v>
      </c>
      <c r="R14" s="2918" t="s">
        <v>205</v>
      </c>
      <c r="S14" s="3511">
        <f>IF(SUM(O14:R14)=0,Q14,SUM(O14:R14)*-44/12)</f>
        <v>1494.7151466582307</v>
      </c>
      <c r="U14" s="2424"/>
    </row>
    <row r="15" spans="2:21" ht="18" customHeight="1" x14ac:dyDescent="0.2">
      <c r="B15" s="475" t="s">
        <v>1394</v>
      </c>
      <c r="C15" s="476"/>
      <c r="D15" s="3529">
        <f>IF(SUM(D16,D19,D21,D23,D25)=0,"IE",SUM(D16,D19,D21,D23,D25))</f>
        <v>7464.1695019749204</v>
      </c>
      <c r="E15" s="3531">
        <f t="shared" ref="E15:F15" si="15">IF(SUM(E16,E19,E21,E23,E25)=0,"IE",SUM(E16,E19,E21,E23,E25))</f>
        <v>7463.1695019749204</v>
      </c>
      <c r="F15" s="3535">
        <f t="shared" si="15"/>
        <v>1</v>
      </c>
      <c r="G15" s="3500">
        <f t="shared" si="4"/>
        <v>6.2501280924993647E-4</v>
      </c>
      <c r="H15" s="3057">
        <f t="shared" si="5"/>
        <v>-3.5885168205577815</v>
      </c>
      <c r="I15" s="3057">
        <f t="shared" si="6"/>
        <v>-3.587891807748532</v>
      </c>
      <c r="J15" s="3057">
        <f t="shared" si="7"/>
        <v>-0.81540434126725936</v>
      </c>
      <c r="K15" s="3514">
        <f t="shared" si="8"/>
        <v>-6.8353795927080366E-2</v>
      </c>
      <c r="L15" s="3106">
        <f t="shared" si="9"/>
        <v>-8.7249999999999996</v>
      </c>
      <c r="M15" s="3530">
        <f>IF(SUM(M16,M19,M21,M23,M25)=0,"IE",SUM(M16,M19,M21,M23,M25))</f>
        <v>4.665201549147044</v>
      </c>
      <c r="N15" s="3531">
        <f t="shared" ref="N15:S15" si="16">IF(SUM(N16,N19,N21,N23,N25)=0,"IE",SUM(N16,N19,N21,N23,N25))</f>
        <v>-26785.297809331401</v>
      </c>
      <c r="O15" s="3532">
        <f t="shared" si="16"/>
        <v>-26780.632607782256</v>
      </c>
      <c r="P15" s="3532">
        <f t="shared" si="16"/>
        <v>-6086.3162158650275</v>
      </c>
      <c r="Q15" s="3532">
        <f t="shared" si="16"/>
        <v>-510.13596510720367</v>
      </c>
      <c r="R15" s="3532">
        <f t="shared" si="16"/>
        <v>-8.7249999999999996</v>
      </c>
      <c r="S15" s="3534">
        <f t="shared" si="16"/>
        <v>122414.63589209979</v>
      </c>
      <c r="U15" s="2048"/>
    </row>
    <row r="16" spans="2:21" ht="18" customHeight="1" x14ac:dyDescent="0.2">
      <c r="B16" s="490" t="s">
        <v>1395</v>
      </c>
      <c r="C16" s="476"/>
      <c r="D16" s="3539">
        <f>IF(SUM(D17:D18)=0,"IE",SUM(D17:D18))</f>
        <v>7415.2920694383738</v>
      </c>
      <c r="E16" s="3505">
        <f t="shared" ref="E16:F16" si="17">IF(SUM(E17:E18)=0,"IE",SUM(E17:E18))</f>
        <v>7415.2920694383738</v>
      </c>
      <c r="F16" s="3506" t="str">
        <f t="shared" si="17"/>
        <v>IE</v>
      </c>
      <c r="G16" s="3500">
        <f t="shared" si="4"/>
        <v>6.291325419769179E-4</v>
      </c>
      <c r="H16" s="3057">
        <f t="shared" si="5"/>
        <v>-3.6121703040835302</v>
      </c>
      <c r="I16" s="3057">
        <f t="shared" si="6"/>
        <v>-3.6115411715415537</v>
      </c>
      <c r="J16" s="3057">
        <f t="shared" si="7"/>
        <v>-0.82077902783484002</v>
      </c>
      <c r="K16" s="3514">
        <f t="shared" si="8"/>
        <v>-5.2828959994947397E-2</v>
      </c>
      <c r="L16" s="3106" t="str">
        <f t="shared" si="9"/>
        <v>NA</v>
      </c>
      <c r="M16" s="3057">
        <f>IF(SUM(M17:M18)=0,"IE",SUM(M17:M18))</f>
        <v>4.665201549147044</v>
      </c>
      <c r="N16" s="3057">
        <f t="shared" ref="N16:O16" si="18">IF(SUM(N17:N18)=0,"IE",SUM(N17:N18))</f>
        <v>-26785.297809331401</v>
      </c>
      <c r="O16" s="3057">
        <f t="shared" si="18"/>
        <v>-26780.632607782256</v>
      </c>
      <c r="P16" s="3057">
        <f t="shared" ref="P16" si="19">IF(SUM(P17:P18)=0,"IE",SUM(P17:P18))</f>
        <v>-6086.3162158650275</v>
      </c>
      <c r="Q16" s="3514">
        <f t="shared" ref="Q16" si="20">IF(SUM(Q17:Q18)=0,"IE",SUM(Q17:Q18))</f>
        <v>-391.74216808721053</v>
      </c>
      <c r="R16" s="3514" t="str">
        <f t="shared" ref="R16" si="21">IF(SUM(R17:R18)=0,"IE",SUM(R17:R18))</f>
        <v>IE</v>
      </c>
      <c r="S16" s="3511">
        <f t="shared" ref="S16" si="22">IF(SUM(S17:S18)=0,"IE",SUM(S17:S18))</f>
        <v>121948.53363635982</v>
      </c>
      <c r="U16" s="2048"/>
    </row>
    <row r="17" spans="2:21" ht="18" customHeight="1" x14ac:dyDescent="0.2">
      <c r="B17" s="490"/>
      <c r="C17" s="474" t="s">
        <v>1396</v>
      </c>
      <c r="D17" s="3500">
        <f>IF(SUM(E17:F17)=0,E17,SUM(E17:F17))</f>
        <v>7415.2920694383738</v>
      </c>
      <c r="E17" s="3510">
        <v>7415.2920694383738</v>
      </c>
      <c r="F17" s="3496" t="s">
        <v>274</v>
      </c>
      <c r="G17" s="3500" t="str">
        <f t="shared" si="4"/>
        <v>NA</v>
      </c>
      <c r="H17" s="3057">
        <f t="shared" si="5"/>
        <v>-3.6121703040835302</v>
      </c>
      <c r="I17" s="3057">
        <f t="shared" si="6"/>
        <v>-3.6121703040835302</v>
      </c>
      <c r="J17" s="3057">
        <f t="shared" si="7"/>
        <v>-0.82114555540505751</v>
      </c>
      <c r="K17" s="3514">
        <f t="shared" si="8"/>
        <v>-5.2828959994947397E-2</v>
      </c>
      <c r="L17" s="3106" t="str">
        <f t="shared" si="9"/>
        <v>NA</v>
      </c>
      <c r="M17" s="2917" t="s">
        <v>274</v>
      </c>
      <c r="N17" s="2917">
        <v>-26785.297809331401</v>
      </c>
      <c r="O17" s="3087">
        <f>IF(SUM(M17:N17)=0,M17,SUM(M17:N17))</f>
        <v>-26785.297809331401</v>
      </c>
      <c r="P17" s="2917">
        <v>-6089.0341248496916</v>
      </c>
      <c r="Q17" s="2918">
        <v>-391.74216808721053</v>
      </c>
      <c r="R17" s="2918" t="s">
        <v>274</v>
      </c>
      <c r="S17" s="3511">
        <f>IF(SUM(O17:R17)=0,Q17,SUM(O17:R17)*-44/12)</f>
        <v>121975.60504165046</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v>4.665201549147044</v>
      </c>
      <c r="N18" s="2917" t="s">
        <v>274</v>
      </c>
      <c r="O18" s="3087">
        <f>IF(SUM(M18:N18)=0,M18,SUM(M18:N18))</f>
        <v>4.665201549147044</v>
      </c>
      <c r="P18" s="2917">
        <v>2.7179089846643096</v>
      </c>
      <c r="Q18" s="2918" t="s">
        <v>205</v>
      </c>
      <c r="R18" s="2918" t="s">
        <v>205</v>
      </c>
      <c r="S18" s="3511">
        <f>IF(SUM(O18:R18)=0,Q18,SUM(O18:R18)*-44/12)</f>
        <v>-27.071405290641632</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13453.137554703915</v>
      </c>
      <c r="E10" s="3523">
        <f>IF(SUM(E11,E23)=0,"IE",SUM(E11,E23))</f>
        <v>13351.498468880205</v>
      </c>
      <c r="F10" s="3524">
        <f>IF(SUM(F11,F23)=0,"IE",SUM(F11,F23))</f>
        <v>101.63908582370942</v>
      </c>
      <c r="G10" s="4317" t="str">
        <f>IFERROR(IF(SUM($D10)=0,"NA",M10/$D10),"NA")</f>
        <v>NA</v>
      </c>
      <c r="H10" s="4318">
        <f t="shared" ref="H10:J10" si="0">IFERROR(IF(SUM($D10)=0,"NA",N10/$D10),"NA")</f>
        <v>-4.1150620766597631E-2</v>
      </c>
      <c r="I10" s="4319">
        <f t="shared" si="0"/>
        <v>-4.1150620766597631E-2</v>
      </c>
      <c r="J10" s="4318">
        <f t="shared" si="0"/>
        <v>1.5800529937136044E-3</v>
      </c>
      <c r="K10" s="4318">
        <f>IFERROR(IF(SUM(E10)=0,"NA",Q10/E10),"NA")</f>
        <v>-2.9139823364011069E-3</v>
      </c>
      <c r="L10" s="4320" t="str">
        <f>IFERROR(IF(SUM(F10)=0,"NA",R10/F10),"NA")</f>
        <v>NA</v>
      </c>
      <c r="M10" s="4319" t="str">
        <f t="shared" ref="M10:S10" si="1">IF(SUM(M11,M23)=0,"IE",SUM(M11,M23))</f>
        <v>IE</v>
      </c>
      <c r="N10" s="4318">
        <f t="shared" si="1"/>
        <v>-553.60496163449341</v>
      </c>
      <c r="O10" s="4319">
        <f t="shared" si="1"/>
        <v>-553.60496163449341</v>
      </c>
      <c r="P10" s="4318">
        <f t="shared" si="1"/>
        <v>21.256670268150842</v>
      </c>
      <c r="Q10" s="4321">
        <f t="shared" si="1"/>
        <v>-38.906030702803342</v>
      </c>
      <c r="R10" s="4321" t="str">
        <f t="shared" si="1"/>
        <v>IE</v>
      </c>
      <c r="S10" s="3528">
        <f t="shared" si="1"/>
        <v>2094.5991809202014</v>
      </c>
      <c r="U10" s="4322"/>
    </row>
    <row r="11" spans="1:23" ht="18" customHeight="1" x14ac:dyDescent="0.2">
      <c r="B11" s="491" t="s">
        <v>1262</v>
      </c>
      <c r="C11" s="473"/>
      <c r="D11" s="4323">
        <f>IF(SUM(D12,D14,D17)=0,"IE",SUM(D12,D14,D17))</f>
        <v>13208.700963486002</v>
      </c>
      <c r="E11" s="3542">
        <f t="shared" ref="E11:S11" si="2">IF(SUM(E12,E14,E17)=0,"IE",SUM(E12,E14,E17))</f>
        <v>13107.061877662292</v>
      </c>
      <c r="F11" s="3543">
        <f t="shared" si="2"/>
        <v>101.63908582370942</v>
      </c>
      <c r="G11" s="4324" t="str">
        <f t="shared" ref="G11:G56" si="3">IFERROR(IF(SUM($D11)=0,"NA",M11/$D11),"NA")</f>
        <v>NA</v>
      </c>
      <c r="H11" s="4325">
        <f t="shared" ref="H11:H56" si="4">IFERROR(IF(SUM($D11)=0,"NA",N11/$D11),"NA")</f>
        <v>-9.1699770372471387E-3</v>
      </c>
      <c r="I11" s="4326">
        <f t="shared" ref="I11:I56" si="5">IFERROR(IF(SUM($D11)=0,"NA",O11/$D11),"NA")</f>
        <v>-9.1699770372471387E-3</v>
      </c>
      <c r="J11" s="4325">
        <f t="shared" ref="J11:J56" si="6">IFERROR(IF(SUM($D11)=0,"NA",P11/$D11),"NA")</f>
        <v>1.609293020328991E-3</v>
      </c>
      <c r="K11" s="4325">
        <f t="shared" ref="K11:K56" si="7">IFERROR(IF(SUM(E11)=0,"NA",Q11/E11),"NA")</f>
        <v>-2.9683258586814896E-3</v>
      </c>
      <c r="L11" s="4327" t="str">
        <f t="shared" ref="L11:L56" si="8">IFERROR(IF(SUM(F11)=0,"NA",R11/F11),"NA")</f>
        <v>NA</v>
      </c>
      <c r="M11" s="4326" t="str">
        <f t="shared" si="2"/>
        <v>IE</v>
      </c>
      <c r="N11" s="4325">
        <f t="shared" si="2"/>
        <v>-121.1234845270308</v>
      </c>
      <c r="O11" s="4326">
        <f t="shared" si="2"/>
        <v>-121.1234845270308</v>
      </c>
      <c r="P11" s="4325">
        <f t="shared" si="2"/>
        <v>21.256670268150842</v>
      </c>
      <c r="Q11" s="4328">
        <f t="shared" si="2"/>
        <v>-38.906030702803342</v>
      </c>
      <c r="R11" s="4328" t="str">
        <f t="shared" si="2"/>
        <v>IE</v>
      </c>
      <c r="S11" s="3544">
        <f t="shared" si="2"/>
        <v>508.83376485950544</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492.20809083423183</v>
      </c>
      <c r="E14" s="3505">
        <f>IF(SUM(E15:E16)=0,"IE",SUM(E15:E16))</f>
        <v>492.20809083423183</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265.03790000000004</v>
      </c>
      <c r="E15" s="3510">
        <v>265.03790000000004</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12716.49287265177</v>
      </c>
      <c r="E17" s="3505">
        <f>IF(SUM(E18:E21)=0,"IE",SUM(E18:E21))</f>
        <v>12614.85378682806</v>
      </c>
      <c r="F17" s="3506">
        <f>IF(SUM(F18:F21)=0,"IE",SUM(F18:F21))</f>
        <v>101.63908582370942</v>
      </c>
      <c r="G17" s="3545" t="str">
        <f t="shared" si="3"/>
        <v>NA</v>
      </c>
      <c r="H17" s="3531">
        <f t="shared" si="4"/>
        <v>-9.524912705099713E-3</v>
      </c>
      <c r="I17" s="3546">
        <f t="shared" si="5"/>
        <v>-9.524912705099713E-3</v>
      </c>
      <c r="J17" s="3531">
        <f t="shared" si="6"/>
        <v>1.6715827611452267E-3</v>
      </c>
      <c r="K17" s="3531">
        <f t="shared" si="7"/>
        <v>-3.0841444031184497E-3</v>
      </c>
      <c r="L17" s="3535" t="str">
        <f t="shared" si="8"/>
        <v>NA</v>
      </c>
      <c r="M17" s="3505" t="str">
        <f t="shared" ref="M17:S17" si="16">IF(SUM(M18:M21)=0,"IE",SUM(M18:M21))</f>
        <v>IE</v>
      </c>
      <c r="N17" s="4325">
        <f t="shared" si="16"/>
        <v>-121.1234845270308</v>
      </c>
      <c r="O17" s="4326">
        <f t="shared" si="16"/>
        <v>-121.1234845270308</v>
      </c>
      <c r="P17" s="4325">
        <f t="shared" si="16"/>
        <v>21.256670268150842</v>
      </c>
      <c r="Q17" s="4328">
        <f t="shared" si="16"/>
        <v>-38.906030702803342</v>
      </c>
      <c r="R17" s="4328" t="str">
        <f t="shared" si="16"/>
        <v>IE</v>
      </c>
      <c r="S17" s="4332">
        <f t="shared" si="16"/>
        <v>508.83376485950544</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-2.8322706767984589E-2</v>
      </c>
      <c r="I18" s="3554">
        <f t="shared" si="5"/>
        <v>-2.8322706767984589E-2</v>
      </c>
      <c r="J18" s="3553">
        <f t="shared" si="6"/>
        <v>-5.6645413535969169E-3</v>
      </c>
      <c r="K18" s="3553">
        <f t="shared" si="7"/>
        <v>-2.2658165414387667E-2</v>
      </c>
      <c r="L18" s="3555" t="str">
        <f t="shared" si="8"/>
        <v>NA</v>
      </c>
      <c r="M18" s="3547" t="s">
        <v>274</v>
      </c>
      <c r="N18" s="3548">
        <v>-48.632538378504186</v>
      </c>
      <c r="O18" s="3087">
        <f>IF(SUM(M18:N18)=0,M18,SUM(M18:N18))</f>
        <v>-48.632538378504186</v>
      </c>
      <c r="P18" s="3548">
        <v>-9.7265076757008355</v>
      </c>
      <c r="Q18" s="3549">
        <v>-38.906030702803342</v>
      </c>
      <c r="R18" s="3556" t="s">
        <v>274</v>
      </c>
      <c r="S18" s="3511">
        <f>IF(SUM(O18:R18)=0,Q18,SUM(O18:R18)*-44/12)</f>
        <v>356.63861477569731</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-72.490946148526618</v>
      </c>
      <c r="O19" s="3087">
        <f t="shared" ref="O19:O22" si="18">IF(SUM(M19:N19)=0,M19,SUM(M19:N19))</f>
        <v>-72.490946148526618</v>
      </c>
      <c r="P19" s="3548">
        <v>30.983177943851679</v>
      </c>
      <c r="Q19" s="3551" t="s">
        <v>205</v>
      </c>
      <c r="R19" s="3550" t="s">
        <v>205</v>
      </c>
      <c r="S19" s="3511">
        <f t="shared" ref="S19:S22" si="19">IF(SUM(O19:R19)=0,Q19,SUM(O19:R19)*-44/12)</f>
        <v>152.1951500838081</v>
      </c>
      <c r="T19" s="2519"/>
      <c r="U19" s="2699"/>
      <c r="V19" s="2519"/>
      <c r="W19" s="2519"/>
    </row>
    <row r="20" spans="1:23" ht="18" customHeight="1" x14ac:dyDescent="0.2">
      <c r="A20" s="2519"/>
      <c r="B20" s="2698"/>
      <c r="C20" s="4316" t="s">
        <v>1414</v>
      </c>
      <c r="D20" s="3500">
        <f t="shared" si="17"/>
        <v>10897.76725350712</v>
      </c>
      <c r="E20" s="4335">
        <v>10897.76725350712</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101.63908582370942</v>
      </c>
      <c r="E21" s="3505" t="str">
        <f t="shared" ref="E21:F21" si="20">E22</f>
        <v>IE</v>
      </c>
      <c r="F21" s="3506">
        <f t="shared" si="20"/>
        <v>101.63908582370942</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101.63908582370942</v>
      </c>
      <c r="E22" s="3510" t="s">
        <v>274</v>
      </c>
      <c r="F22" s="3496">
        <v>101.63908582370942</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244.43659121791362</v>
      </c>
      <c r="E23" s="3531">
        <f t="shared" ref="E23:F23" si="22">IF(SUM(E24,E35,E46)=0,"IE",SUM(E24,E35,E46))</f>
        <v>244.43659121791362</v>
      </c>
      <c r="F23" s="3535" t="str">
        <f t="shared" si="22"/>
        <v>IE</v>
      </c>
      <c r="G23" s="3545" t="str">
        <f t="shared" si="3"/>
        <v>NA</v>
      </c>
      <c r="H23" s="3531">
        <f t="shared" si="4"/>
        <v>-1.7692992483351571</v>
      </c>
      <c r="I23" s="3546">
        <f t="shared" si="5"/>
        <v>-1.7692992483351571</v>
      </c>
      <c r="J23" s="3531" t="str">
        <f t="shared" si="6"/>
        <v>NA</v>
      </c>
      <c r="K23" s="3531" t="str">
        <f t="shared" si="7"/>
        <v>NA</v>
      </c>
      <c r="L23" s="3535" t="str">
        <f t="shared" si="8"/>
        <v>NA</v>
      </c>
      <c r="M23" s="3531" t="str">
        <f t="shared" ref="M23" si="23">IF(SUM(M24,M35,M46)=0,"IE",SUM(M24,M35,M46))</f>
        <v>IE</v>
      </c>
      <c r="N23" s="3531">
        <f t="shared" ref="N23" si="24">IF(SUM(N24,N35,N46)=0,"IE",SUM(N24,N35,N46))</f>
        <v>-432.48147710746264</v>
      </c>
      <c r="O23" s="3546">
        <f t="shared" ref="O23" si="25">IF(SUM(O24,O35,O46)=0,"IE",SUM(O24,O35,O46))</f>
        <v>-432.48147710746264</v>
      </c>
      <c r="P23" s="3531" t="str">
        <f>IF(SUM(P24,P35,P46)=0,"NO",SUM(P24,P35,P46))</f>
        <v>NO</v>
      </c>
      <c r="Q23" s="3530" t="str">
        <f>IF(SUM(Q24,Q35,Q46)=0,"NO",SUM(Q24,Q35,Q46))</f>
        <v>NO</v>
      </c>
      <c r="R23" s="3530" t="str">
        <f>IF(SUM(R24,R35,R46)=0,"NO",SUM(R24,R35,R46))</f>
        <v>NO</v>
      </c>
      <c r="S23" s="3534">
        <f t="shared" ref="S23" si="26">IF(SUM(S24,S35,S46)=0,"IE",SUM(S24,S35,S46))</f>
        <v>1585.7654160606962</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244.43659121791362</v>
      </c>
      <c r="E35" s="3531">
        <f>IF(SUM(E36,E38,E40,E42,E44)=0,"IE",SUM(E36,E38,E40,E42,E44))</f>
        <v>244.43659121791362</v>
      </c>
      <c r="F35" s="3535" t="str">
        <f>IF(SUM(F36,F38,F40,F42,F44)=0,"IE",SUM(F36,F38,F40,F42,F44))</f>
        <v>IE</v>
      </c>
      <c r="G35" s="3545" t="str">
        <f t="shared" si="3"/>
        <v>NA</v>
      </c>
      <c r="H35" s="3531">
        <f t="shared" si="4"/>
        <v>-1.7692992483351571</v>
      </c>
      <c r="I35" s="3546">
        <f t="shared" si="5"/>
        <v>-1.7692992483351571</v>
      </c>
      <c r="J35" s="3531" t="str">
        <f t="shared" si="6"/>
        <v>NA</v>
      </c>
      <c r="K35" s="3531" t="str">
        <f t="shared" si="7"/>
        <v>NA</v>
      </c>
      <c r="L35" s="3535" t="str">
        <f t="shared" si="8"/>
        <v>NA</v>
      </c>
      <c r="M35" s="3531" t="str">
        <f t="shared" ref="M35:S35" si="48">IF(SUM(M36,M38,M40,M42,M44)=0,"IE",SUM(M36,M38,M40,M42,M44))</f>
        <v>IE</v>
      </c>
      <c r="N35" s="3531">
        <f t="shared" si="48"/>
        <v>-432.48147710746264</v>
      </c>
      <c r="O35" s="3546">
        <f t="shared" si="48"/>
        <v>-432.48147710746264</v>
      </c>
      <c r="P35" s="3531" t="str">
        <f>IF(SUM(P36,P38,P40,P42,P44)=0,"NO",SUM(P36,P38,P40,P42,P44))</f>
        <v>NO</v>
      </c>
      <c r="Q35" s="3530" t="str">
        <f>IF(SUM(Q36,Q38,Q40,Q42,Q44)=0,"NO",SUM(Q36,Q38,Q40,Q42,Q44))</f>
        <v>NO</v>
      </c>
      <c r="R35" s="3530" t="str">
        <f>IF(SUM(R36,R38,R40,R42,R44)=0,"NO",SUM(R36,R38,R40,R42,R44))</f>
        <v>NO</v>
      </c>
      <c r="S35" s="3534">
        <f t="shared" si="48"/>
        <v>1585.7654160606962</v>
      </c>
      <c r="U35" s="493"/>
    </row>
    <row r="36" spans="2:21" ht="18" customHeight="1" x14ac:dyDescent="0.2">
      <c r="B36" s="495" t="s">
        <v>1424</v>
      </c>
      <c r="C36" s="476"/>
      <c r="D36" s="3500">
        <f>D37</f>
        <v>244.43659121791362</v>
      </c>
      <c r="E36" s="3505">
        <f t="shared" ref="E36:F36" si="49">E37</f>
        <v>244.43659121791362</v>
      </c>
      <c r="F36" s="3506" t="str">
        <f t="shared" si="49"/>
        <v>IE</v>
      </c>
      <c r="G36" s="3500" t="str">
        <f t="shared" si="3"/>
        <v>NA</v>
      </c>
      <c r="H36" s="3057">
        <f t="shared" si="4"/>
        <v>-1.7692992483351571</v>
      </c>
      <c r="I36" s="3057">
        <f t="shared" si="5"/>
        <v>-1.7692992483351571</v>
      </c>
      <c r="J36" s="3057" t="str">
        <f t="shared" si="6"/>
        <v>NA</v>
      </c>
      <c r="K36" s="3514" t="str">
        <f t="shared" si="7"/>
        <v>NA</v>
      </c>
      <c r="L36" s="3106" t="str">
        <f t="shared" si="8"/>
        <v>NA</v>
      </c>
      <c r="M36" s="4170" t="str">
        <f t="shared" ref="M36:S36" si="50">M37</f>
        <v>IE</v>
      </c>
      <c r="N36" s="3057">
        <f t="shared" si="50"/>
        <v>-432.48147710746264</v>
      </c>
      <c r="O36" s="3057">
        <f t="shared" si="50"/>
        <v>-432.48147710746264</v>
      </c>
      <c r="P36" s="3057" t="str">
        <f t="shared" si="50"/>
        <v>NA</v>
      </c>
      <c r="Q36" s="3514" t="str">
        <f t="shared" si="50"/>
        <v>NA</v>
      </c>
      <c r="R36" s="3514" t="str">
        <f t="shared" si="50"/>
        <v>NA</v>
      </c>
      <c r="S36" s="3511">
        <f t="shared" si="50"/>
        <v>1585.7654160606962</v>
      </c>
      <c r="U36" s="4329"/>
    </row>
    <row r="37" spans="2:21" ht="18" customHeight="1" x14ac:dyDescent="0.2">
      <c r="B37" s="1478"/>
      <c r="C37" s="4330" t="s">
        <v>409</v>
      </c>
      <c r="D37" s="3500">
        <f>IF(SUM(E37:F37)=0,E37,SUM(E37:F37))</f>
        <v>244.43659121791362</v>
      </c>
      <c r="E37" s="3510">
        <v>244.43659121791362</v>
      </c>
      <c r="F37" s="3496" t="s">
        <v>274</v>
      </c>
      <c r="G37" s="3545" t="str">
        <f t="shared" si="3"/>
        <v>NA</v>
      </c>
      <c r="H37" s="3531">
        <f t="shared" si="4"/>
        <v>-1.7692992483351571</v>
      </c>
      <c r="I37" s="3546">
        <f t="shared" si="5"/>
        <v>-1.7692992483351571</v>
      </c>
      <c r="J37" s="3531" t="str">
        <f t="shared" si="6"/>
        <v>NA</v>
      </c>
      <c r="K37" s="3531" t="str">
        <f t="shared" si="7"/>
        <v>NA</v>
      </c>
      <c r="L37" s="3535" t="str">
        <f t="shared" si="8"/>
        <v>NA</v>
      </c>
      <c r="M37" s="3547" t="s">
        <v>274</v>
      </c>
      <c r="N37" s="3548">
        <v>-432.48147710746264</v>
      </c>
      <c r="O37" s="3087">
        <f t="shared" ref="O37" si="51">IF(SUM(M37:N37)=0,M37,SUM(M37:N37))</f>
        <v>-432.48147710746264</v>
      </c>
      <c r="P37" s="3548" t="s">
        <v>205</v>
      </c>
      <c r="Q37" s="3549" t="s">
        <v>205</v>
      </c>
      <c r="R37" s="3549" t="s">
        <v>205</v>
      </c>
      <c r="S37" s="3511">
        <f t="shared" ref="S37" si="52">IF(SUM(O37:R37)=0,Q37,SUM(O37:R37)*-44/12)</f>
        <v>1585.7654160606962</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1186.297155018731</v>
      </c>
      <c r="E10" s="3523">
        <f t="shared" ref="E10:F10" si="0">IF(SUM(E11,E13)=0,"IE",SUM(E11,E13))</f>
        <v>1138.7459571748673</v>
      </c>
      <c r="F10" s="3524">
        <f t="shared" si="0"/>
        <v>47.551197843863775</v>
      </c>
      <c r="G10" s="3522">
        <f>IFERROR(IF(SUM($D10)=0,"NA",M10/$D10),"NA")</f>
        <v>1.6158596376382988E-3</v>
      </c>
      <c r="H10" s="3523">
        <f t="shared" ref="H10:J10" si="1">IFERROR(IF(SUM($D10)=0,"NA",N10/$D10),"NA")</f>
        <v>-1.5558116468012744</v>
      </c>
      <c r="I10" s="3523">
        <f t="shared" si="1"/>
        <v>-1.554195787163636</v>
      </c>
      <c r="J10" s="3523">
        <f t="shared" si="1"/>
        <v>2.9147779609750606E-2</v>
      </c>
      <c r="K10" s="3525">
        <f>IFERROR(IF(SUM(E10)=0,"NA",Q10/E10),"NA")</f>
        <v>-5.0630133241954728E-2</v>
      </c>
      <c r="L10" s="3524">
        <f>IFERROR(IF(SUM(F10)=0,"NA",R10/F10),"NA")</f>
        <v>1.027105682624925</v>
      </c>
      <c r="M10" s="3526">
        <f>IF(SUM(M11,M13)=0,"IE",SUM(M11,M13))</f>
        <v>1.9168896910399116</v>
      </c>
      <c r="N10" s="3523">
        <f t="shared" ref="N10:S10" si="2">IF(SUM(N11,N13)=0,"IE",SUM(N11,N13))</f>
        <v>-1845.6549303453585</v>
      </c>
      <c r="O10" s="3527">
        <f t="shared" si="2"/>
        <v>-1843.7380406543186</v>
      </c>
      <c r="P10" s="3523">
        <f t="shared" si="2"/>
        <v>34.577928026160123</v>
      </c>
      <c r="Q10" s="3525">
        <f t="shared" si="2"/>
        <v>-57.654859540500802</v>
      </c>
      <c r="R10" s="3525">
        <f t="shared" si="2"/>
        <v>48.840105521054568</v>
      </c>
      <c r="S10" s="3528">
        <f t="shared" si="2"/>
        <v>6665.9078443745493</v>
      </c>
      <c r="U10" s="2287"/>
    </row>
    <row r="11" spans="2:21" ht="18" customHeight="1" x14ac:dyDescent="0.2">
      <c r="B11" s="483" t="s">
        <v>1265</v>
      </c>
      <c r="C11" s="2282"/>
      <c r="D11" s="3529">
        <f>D12</f>
        <v>972.36505165400001</v>
      </c>
      <c r="E11" s="3057">
        <f t="shared" ref="E11:F11" si="3">E12</f>
        <v>972.36505165400001</v>
      </c>
      <c r="F11" s="3057" t="str">
        <f t="shared" si="3"/>
        <v>IE</v>
      </c>
      <c r="G11" s="3500">
        <f t="shared" ref="G11:G24" si="4">IFERROR(IF(SUM($D11)=0,"NA",M11/$D11),"NA")</f>
        <v>1.9713683536643654E-3</v>
      </c>
      <c r="H11" s="3057" t="str">
        <f t="shared" ref="H11:H24" si="5">IFERROR(IF(SUM($D11)=0,"NA",N11/$D11),"NA")</f>
        <v>NA</v>
      </c>
      <c r="I11" s="3057">
        <f t="shared" ref="I11:I24" si="6">IFERROR(IF(SUM($D11)=0,"NA",O11/$D11),"NA")</f>
        <v>1.9713683536643654E-3</v>
      </c>
      <c r="J11" s="3057">
        <f t="shared" ref="J11:J24" si="7">IFERROR(IF(SUM($D11)=0,"NA",P11/$D11),"NA")</f>
        <v>3.942736707328731E-4</v>
      </c>
      <c r="K11" s="3514">
        <f t="shared" ref="K11:K24" si="8">IFERROR(IF(SUM(E11)=0,"NA",Q11/E11),"NA")</f>
        <v>1.5770946829314924E-3</v>
      </c>
      <c r="L11" s="3106" t="str">
        <f t="shared" ref="L11:L24" si="9">IFERROR(IF(SUM(F11)=0,"NA",R11/F11),"NA")</f>
        <v>NA</v>
      </c>
      <c r="M11" s="3530">
        <f t="shared" ref="M11:S11" si="10">M12</f>
        <v>1.9168896910399116</v>
      </c>
      <c r="N11" s="3531" t="str">
        <f t="shared" si="10"/>
        <v>IE</v>
      </c>
      <c r="O11" s="3532">
        <f t="shared" si="10"/>
        <v>1.9168896910399116</v>
      </c>
      <c r="P11" s="3531">
        <f t="shared" si="10"/>
        <v>0.38337793820798233</v>
      </c>
      <c r="Q11" s="3533">
        <f t="shared" si="10"/>
        <v>1.5335117528319293</v>
      </c>
      <c r="R11" s="3533" t="str">
        <f t="shared" si="10"/>
        <v>IE</v>
      </c>
      <c r="S11" s="3534">
        <f t="shared" si="10"/>
        <v>-14.05719106762602</v>
      </c>
      <c r="U11" s="2423"/>
    </row>
    <row r="12" spans="2:21" ht="18" customHeight="1" x14ac:dyDescent="0.2">
      <c r="B12" s="491"/>
      <c r="C12" s="4330" t="s">
        <v>409</v>
      </c>
      <c r="D12" s="3500">
        <f>IF(SUM(E12:F12)=0,E12,SUM(E12:F12))</f>
        <v>972.36505165400001</v>
      </c>
      <c r="E12" s="3510">
        <v>972.36505165400001</v>
      </c>
      <c r="F12" s="3496" t="s">
        <v>274</v>
      </c>
      <c r="G12" s="3500">
        <f t="shared" si="4"/>
        <v>1.9713683536643654E-3</v>
      </c>
      <c r="H12" s="3057" t="str">
        <f t="shared" si="5"/>
        <v>NA</v>
      </c>
      <c r="I12" s="3057">
        <f t="shared" si="6"/>
        <v>1.9713683536643654E-3</v>
      </c>
      <c r="J12" s="3057">
        <f t="shared" si="7"/>
        <v>3.942736707328731E-4</v>
      </c>
      <c r="K12" s="3514">
        <f t="shared" si="8"/>
        <v>1.5770946829314924E-3</v>
      </c>
      <c r="L12" s="3106" t="str">
        <f t="shared" si="9"/>
        <v>NA</v>
      </c>
      <c r="M12" s="2917">
        <v>1.9168896910399116</v>
      </c>
      <c r="N12" s="2917" t="s">
        <v>274</v>
      </c>
      <c r="O12" s="3087">
        <f>IF(SUM(M12:N12)=0,M12,SUM(M12:N12))</f>
        <v>1.9168896910399116</v>
      </c>
      <c r="P12" s="2917">
        <v>0.38337793820798233</v>
      </c>
      <c r="Q12" s="2918">
        <v>1.5335117528319293</v>
      </c>
      <c r="R12" s="2918" t="s">
        <v>274</v>
      </c>
      <c r="S12" s="3511">
        <f>IF(SUM(O12:R12)=0,Q12,SUM(O12:R12)*-44/12)</f>
        <v>-14.05719106762602</v>
      </c>
      <c r="U12" s="2424"/>
    </row>
    <row r="13" spans="2:21" ht="18" customHeight="1" x14ac:dyDescent="0.2">
      <c r="B13" s="483" t="s">
        <v>1266</v>
      </c>
      <c r="C13" s="494"/>
      <c r="D13" s="3529">
        <f>IF(SUM(D14,D17,D19,D21,D23)=0,"IE",SUM(D14,D17,D19,D21,D23))</f>
        <v>213.93210336473092</v>
      </c>
      <c r="E13" s="3531">
        <f t="shared" ref="E13:S13" si="11">IF(SUM(E14,E17,E19,E21,E23)=0,"IE",SUM(E14,E17,E19,E21,E23))</f>
        <v>166.38090552086715</v>
      </c>
      <c r="F13" s="3535">
        <f t="shared" si="11"/>
        <v>47.551197843863775</v>
      </c>
      <c r="G13" s="3500" t="str">
        <f t="shared" si="4"/>
        <v>NA</v>
      </c>
      <c r="H13" s="3057">
        <f t="shared" si="5"/>
        <v>-8.6272929649960854</v>
      </c>
      <c r="I13" s="3057">
        <f t="shared" si="6"/>
        <v>-8.6272929649960854</v>
      </c>
      <c r="J13" s="3057">
        <f t="shared" si="7"/>
        <v>0.1598383297791176</v>
      </c>
      <c r="K13" s="3514">
        <f t="shared" si="8"/>
        <v>-0.35574016806820086</v>
      </c>
      <c r="L13" s="3106">
        <f t="shared" si="9"/>
        <v>1.027105682624925</v>
      </c>
      <c r="M13" s="3057" t="str">
        <f t="shared" si="11"/>
        <v>IE</v>
      </c>
      <c r="N13" s="3057">
        <f t="shared" si="11"/>
        <v>-1845.6549303453585</v>
      </c>
      <c r="O13" s="3057">
        <f t="shared" si="11"/>
        <v>-1845.6549303453585</v>
      </c>
      <c r="P13" s="3057">
        <f t="shared" si="11"/>
        <v>34.194550087952138</v>
      </c>
      <c r="Q13" s="3514">
        <f t="shared" si="11"/>
        <v>-59.188371293332729</v>
      </c>
      <c r="R13" s="3514">
        <f t="shared" si="11"/>
        <v>48.840105521054568</v>
      </c>
      <c r="S13" s="3511">
        <f t="shared" si="11"/>
        <v>6679.9650354421756</v>
      </c>
      <c r="U13" s="2048"/>
    </row>
    <row r="14" spans="2:21" ht="18" customHeight="1" x14ac:dyDescent="0.2">
      <c r="B14" s="485" t="s">
        <v>1440</v>
      </c>
      <c r="C14" s="494"/>
      <c r="D14" s="3539">
        <f>IF(SUM(D15:D16)=0,"IE",SUM(D15:D16))</f>
        <v>213.93210336473092</v>
      </c>
      <c r="E14" s="3505">
        <f t="shared" ref="E14:F14" si="12">IF(SUM(E15:E16)=0,"IE",SUM(E15:E16))</f>
        <v>166.38090552086715</v>
      </c>
      <c r="F14" s="3506">
        <f t="shared" si="12"/>
        <v>47.551197843863775</v>
      </c>
      <c r="G14" s="3500" t="str">
        <f t="shared" si="4"/>
        <v>NA</v>
      </c>
      <c r="H14" s="3057">
        <f t="shared" si="5"/>
        <v>-8.6272929649960854</v>
      </c>
      <c r="I14" s="3057">
        <f t="shared" si="6"/>
        <v>-8.6272929649960854</v>
      </c>
      <c r="J14" s="3057">
        <f t="shared" si="7"/>
        <v>0.1598383297791176</v>
      </c>
      <c r="K14" s="3514">
        <f t="shared" si="8"/>
        <v>-0.35574016806820086</v>
      </c>
      <c r="L14" s="3106">
        <f t="shared" si="9"/>
        <v>1.027105682624925</v>
      </c>
      <c r="M14" s="3057" t="str">
        <f>IF(SUM(M15:M16)=0,"IE",SUM(M15:M16))</f>
        <v>IE</v>
      </c>
      <c r="N14" s="3057">
        <f t="shared" ref="N14:S14" si="13">IF(SUM(N15:N16)=0,"IE",SUM(N15:N16))</f>
        <v>-1845.6549303453585</v>
      </c>
      <c r="O14" s="3057">
        <f t="shared" si="13"/>
        <v>-1845.6549303453585</v>
      </c>
      <c r="P14" s="3057">
        <f t="shared" si="13"/>
        <v>34.194550087952138</v>
      </c>
      <c r="Q14" s="3514">
        <f t="shared" si="13"/>
        <v>-59.188371293332729</v>
      </c>
      <c r="R14" s="3514">
        <f t="shared" si="13"/>
        <v>48.840105521054568</v>
      </c>
      <c r="S14" s="3511">
        <f t="shared" si="13"/>
        <v>6679.9650354421756</v>
      </c>
      <c r="U14" s="2048"/>
    </row>
    <row r="15" spans="2:21" ht="18" customHeight="1" x14ac:dyDescent="0.2">
      <c r="B15" s="486"/>
      <c r="C15" s="498" t="s">
        <v>1441</v>
      </c>
      <c r="D15" s="3500">
        <f>IF(SUM(E15:F15)=0,E15,SUM(E15:F15))</f>
        <v>47.551197843863775</v>
      </c>
      <c r="E15" s="3510" t="s">
        <v>199</v>
      </c>
      <c r="F15" s="3496">
        <v>47.551197843863775</v>
      </c>
      <c r="G15" s="3500" t="str">
        <f t="shared" si="4"/>
        <v>NA</v>
      </c>
      <c r="H15" s="3057">
        <f t="shared" si="5"/>
        <v>-21.885722467626767</v>
      </c>
      <c r="I15" s="3057">
        <f t="shared" si="6"/>
        <v>-21.885722467626767</v>
      </c>
      <c r="J15" s="3057">
        <f t="shared" si="7"/>
        <v>3.9244797687137578</v>
      </c>
      <c r="K15" s="3514" t="str">
        <f t="shared" si="8"/>
        <v>NA</v>
      </c>
      <c r="L15" s="3106">
        <f t="shared" si="9"/>
        <v>1.027105682624925</v>
      </c>
      <c r="M15" s="2917" t="s">
        <v>274</v>
      </c>
      <c r="N15" s="2917">
        <v>-1040.6923190140149</v>
      </c>
      <c r="O15" s="3087">
        <f>IF(SUM(M15:N15)=0,M15,SUM(M15:N15))</f>
        <v>-1040.6923190140149</v>
      </c>
      <c r="P15" s="2917">
        <v>186.61371391634864</v>
      </c>
      <c r="Q15" s="2918" t="s">
        <v>199</v>
      </c>
      <c r="R15" s="2918">
        <v>48.840105521054568</v>
      </c>
      <c r="S15" s="3511">
        <f>IF(SUM(O15:R15)=0,Q15,SUM(O15:R15)*-44/12)</f>
        <v>2952.5411651142426</v>
      </c>
      <c r="U15" s="2048"/>
    </row>
    <row r="16" spans="2:21" ht="18" customHeight="1" x14ac:dyDescent="0.2">
      <c r="B16" s="484"/>
      <c r="C16" s="498" t="s">
        <v>1442</v>
      </c>
      <c r="D16" s="3500">
        <f>IF(SUM(E16:F16)=0,E16,SUM(E16:F16))</f>
        <v>166.38090552086715</v>
      </c>
      <c r="E16" s="3510">
        <v>166.38090552086715</v>
      </c>
      <c r="F16" s="3496" t="s">
        <v>274</v>
      </c>
      <c r="G16" s="3500" t="str">
        <f t="shared" si="4"/>
        <v>NA</v>
      </c>
      <c r="H16" s="3057">
        <f t="shared" si="5"/>
        <v>-4.8380708640294472</v>
      </c>
      <c r="I16" s="3057">
        <f t="shared" si="6"/>
        <v>-4.8380708640294472</v>
      </c>
      <c r="J16" s="3057">
        <f t="shared" si="7"/>
        <v>-0.91608567311998679</v>
      </c>
      <c r="K16" s="3514">
        <f t="shared" si="8"/>
        <v>-0.35574016806820086</v>
      </c>
      <c r="L16" s="3106" t="str">
        <f t="shared" si="9"/>
        <v>NA</v>
      </c>
      <c r="M16" s="2917" t="s">
        <v>274</v>
      </c>
      <c r="N16" s="2917">
        <v>-804.96261133134351</v>
      </c>
      <c r="O16" s="3087">
        <f>IF(SUM(M16:N16)=0,M16,SUM(M16:N16))</f>
        <v>-804.96261133134351</v>
      </c>
      <c r="P16" s="2917">
        <v>-152.41916382839651</v>
      </c>
      <c r="Q16" s="2918">
        <v>-59.188371293332729</v>
      </c>
      <c r="R16" s="2918" t="s">
        <v>274</v>
      </c>
      <c r="S16" s="3511">
        <f>IF(SUM(O16:R16)=0,Q16,SUM(O16:R16)*-44/12)</f>
        <v>3727.4238703279334</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74.266938687737053</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74.266938687737053</v>
      </c>
    </row>
    <row r="270" spans="2:10" ht="18" customHeight="1" x14ac:dyDescent="0.2">
      <c r="B270" s="2842" t="s">
        <v>1550</v>
      </c>
      <c r="C270" s="2843"/>
      <c r="D270" s="2823"/>
      <c r="E270" s="2824"/>
      <c r="F270" s="2825"/>
      <c r="G270" s="2826"/>
      <c r="H270" s="2834" t="s">
        <v>221</v>
      </c>
      <c r="I270" s="2830" t="s">
        <v>221</v>
      </c>
      <c r="J270" s="3659">
        <f>J277</f>
        <v>31.692764153576682</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328.56213242549131</v>
      </c>
      <c r="E277" s="2770" t="s">
        <v>205</v>
      </c>
      <c r="F277" s="2768" t="s">
        <v>205</v>
      </c>
      <c r="G277" s="3653">
        <f>IF(SUM(D277)=0,"NA",J277*1000/D277)</f>
        <v>96.458967805012378</v>
      </c>
      <c r="H277" s="2793" t="str">
        <f t="shared" ref="H277:J277" si="1">H302</f>
        <v>NE</v>
      </c>
      <c r="I277" s="2792" t="str">
        <f t="shared" si="1"/>
        <v>NE</v>
      </c>
      <c r="J277" s="3652">
        <f t="shared" si="1"/>
        <v>31.692764153576682</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171.90258139310683</v>
      </c>
      <c r="E281" s="2770" t="str">
        <f t="shared" si="2"/>
        <v>NA</v>
      </c>
      <c r="F281" s="2768" t="str">
        <f t="shared" si="2"/>
        <v>NA</v>
      </c>
      <c r="G281" s="3653">
        <f t="shared" si="2"/>
        <v>113.18365227072346</v>
      </c>
      <c r="H281" s="2795" t="str">
        <f t="shared" ref="H281" si="3">H306</f>
        <v>NA</v>
      </c>
      <c r="I281" s="2773" t="str">
        <f t="shared" ref="I281:J281" si="4">I306</f>
        <v>NA</v>
      </c>
      <c r="J281" s="3662">
        <f t="shared" si="4"/>
        <v>19.456561996837138</v>
      </c>
    </row>
    <row r="282" spans="2:10" ht="18" customHeight="1" outlineLevel="1" x14ac:dyDescent="0.2">
      <c r="B282" s="2862" t="str">
        <f>B307</f>
        <v>Other Constructed Water Bodies</v>
      </c>
      <c r="C282" s="2850" t="str">
        <f t="shared" si="2"/>
        <v>Other Constructed Water Bodies</v>
      </c>
      <c r="D282" s="3647">
        <f t="shared" si="2"/>
        <v>156.65955103238448</v>
      </c>
      <c r="E282" s="2770" t="str">
        <f t="shared" si="2"/>
        <v>NA</v>
      </c>
      <c r="F282" s="2768" t="str">
        <f t="shared" si="2"/>
        <v>NA</v>
      </c>
      <c r="G282" s="3653">
        <f t="shared" si="2"/>
        <v>78.106965557497944</v>
      </c>
      <c r="H282" s="2860" t="str">
        <f t="shared" ref="H282" si="5">H307</f>
        <v>NA</v>
      </c>
      <c r="I282" s="2861" t="str">
        <f t="shared" ref="I282:J282" si="6">I307</f>
        <v>NA</v>
      </c>
      <c r="J282" s="3662">
        <f t="shared" si="6"/>
        <v>12.236202156739546</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31.692764153576682</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328.56213242549131</v>
      </c>
      <c r="E302" s="2770" t="s">
        <v>205</v>
      </c>
      <c r="F302" s="2768" t="s">
        <v>205</v>
      </c>
      <c r="G302" s="3653">
        <f>IF(SUM(D302)=0,"NA",J302*1000/D302)</f>
        <v>96.458967805012378</v>
      </c>
      <c r="H302" s="2793" t="s">
        <v>221</v>
      </c>
      <c r="I302" s="2792" t="s">
        <v>221</v>
      </c>
      <c r="J302" s="3652">
        <f t="shared" ref="J302" si="7">IF(SUM(J306:J307)=0,"NO",SUM(J306:J307))</f>
        <v>31.692764153576682</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171.90258139310683</v>
      </c>
      <c r="E306" s="2770" t="s">
        <v>205</v>
      </c>
      <c r="F306" s="2768" t="s">
        <v>205</v>
      </c>
      <c r="G306" s="3653">
        <f>IF(SUM(D306)=0,"NA",J306*1000/D306)</f>
        <v>113.18365227072346</v>
      </c>
      <c r="H306" s="2795" t="s">
        <v>205</v>
      </c>
      <c r="I306" s="2773" t="s">
        <v>205</v>
      </c>
      <c r="J306" s="3662">
        <v>19.456561996837138</v>
      </c>
    </row>
    <row r="307" spans="2:10" ht="18" customHeight="1" outlineLevel="2" x14ac:dyDescent="0.2">
      <c r="B307" s="2862" t="s">
        <v>1554</v>
      </c>
      <c r="C307" s="2850" t="s">
        <v>1554</v>
      </c>
      <c r="D307" s="3650">
        <v>156.65955103238448</v>
      </c>
      <c r="E307" s="2770" t="s">
        <v>205</v>
      </c>
      <c r="F307" s="2768" t="s">
        <v>205</v>
      </c>
      <c r="G307" s="3653">
        <f>IF(SUM(D307)=0,"NA",J307*1000/D307)</f>
        <v>78.106965557497944</v>
      </c>
      <c r="H307" s="2795" t="s">
        <v>205</v>
      </c>
      <c r="I307" s="2773" t="s">
        <v>205</v>
      </c>
      <c r="J307" s="3662">
        <v>12.236202156739546</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42.57417453416037</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217.29397573069292</v>
      </c>
      <c r="E327" s="2791" t="str">
        <f t="shared" ref="E327:J327" si="8">E331</f>
        <v>NA</v>
      </c>
      <c r="F327" s="2792" t="str">
        <f t="shared" si="8"/>
        <v>NA</v>
      </c>
      <c r="G327" s="3655">
        <f t="shared" si="8"/>
        <v>195.92892251612815</v>
      </c>
      <c r="H327" s="2793" t="str">
        <f t="shared" si="8"/>
        <v>IE</v>
      </c>
      <c r="I327" s="2792" t="str">
        <f t="shared" si="8"/>
        <v>NA</v>
      </c>
      <c r="J327" s="3652">
        <f t="shared" si="8"/>
        <v>42.57417453416037</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217.29397573069292</v>
      </c>
      <c r="E331" s="2770" t="str">
        <f t="shared" si="9"/>
        <v>NA</v>
      </c>
      <c r="F331" s="2768" t="str">
        <f t="shared" si="9"/>
        <v>NA</v>
      </c>
      <c r="G331" s="3653">
        <f t="shared" si="9"/>
        <v>195.92892251612815</v>
      </c>
      <c r="H331" s="2780" t="str">
        <f t="shared" si="9"/>
        <v>IE</v>
      </c>
      <c r="I331" s="2773" t="str">
        <f t="shared" si="9"/>
        <v>NA</v>
      </c>
      <c r="J331" s="3662">
        <f t="shared" si="9"/>
        <v>42.57417453416037</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42.57417453416037</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217.29397573069292</v>
      </c>
      <c r="E411" s="2791" t="str">
        <f t="shared" ref="E411:J411" si="10">E415</f>
        <v>NA</v>
      </c>
      <c r="F411" s="2792" t="str">
        <f t="shared" si="10"/>
        <v>NA</v>
      </c>
      <c r="G411" s="3655">
        <f t="shared" si="10"/>
        <v>195.92892251612815</v>
      </c>
      <c r="H411" s="2793" t="str">
        <f t="shared" si="10"/>
        <v>IE</v>
      </c>
      <c r="I411" s="2792" t="str">
        <f t="shared" si="10"/>
        <v>NA</v>
      </c>
      <c r="J411" s="3652">
        <f t="shared" si="10"/>
        <v>42.57417453416037</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217.29397573069292</v>
      </c>
      <c r="E415" s="2770" t="str">
        <f>E427</f>
        <v>NA</v>
      </c>
      <c r="F415" s="2768" t="str">
        <f>F427</f>
        <v>NA</v>
      </c>
      <c r="G415" s="3653">
        <f t="shared" ref="G415:J415" si="11">G427</f>
        <v>195.92892251612815</v>
      </c>
      <c r="H415" s="2795" t="str">
        <f t="shared" si="11"/>
        <v>IE</v>
      </c>
      <c r="I415" s="2773" t="str">
        <f t="shared" si="11"/>
        <v>NA</v>
      </c>
      <c r="J415" s="3662">
        <f t="shared" si="11"/>
        <v>42.57417453416037</v>
      </c>
    </row>
    <row r="416" spans="2:10" ht="18" customHeight="1" outlineLevel="2" x14ac:dyDescent="0.2">
      <c r="B416" s="2857" t="s">
        <v>1564</v>
      </c>
      <c r="C416" s="2843"/>
      <c r="D416" s="3649"/>
      <c r="E416" s="2824"/>
      <c r="F416" s="2825"/>
      <c r="G416" s="3656"/>
      <c r="H416" s="2834" t="s">
        <v>221</v>
      </c>
      <c r="I416" s="2830" t="s">
        <v>221</v>
      </c>
      <c r="J416" s="3659">
        <f>J423</f>
        <v>42.57417453416037</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217.29397573069292</v>
      </c>
      <c r="E423" s="2791" t="str">
        <f t="shared" ref="E423:J423" si="12">E427</f>
        <v>NA</v>
      </c>
      <c r="F423" s="2792" t="str">
        <f t="shared" si="12"/>
        <v>NA</v>
      </c>
      <c r="G423" s="3655">
        <f t="shared" si="12"/>
        <v>195.92892251612815</v>
      </c>
      <c r="H423" s="2793" t="str">
        <f t="shared" si="12"/>
        <v>IE</v>
      </c>
      <c r="I423" s="2792" t="str">
        <f t="shared" si="12"/>
        <v>NA</v>
      </c>
      <c r="J423" s="3652">
        <f t="shared" si="12"/>
        <v>42.57417453416037</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217.29397573069292</v>
      </c>
      <c r="E427" s="2770" t="s">
        <v>205</v>
      </c>
      <c r="F427" s="2768" t="s">
        <v>205</v>
      </c>
      <c r="G427" s="3653">
        <f>IF(SUM(D427)=0,"NA",J427*1000/D427)</f>
        <v>195.92892251612815</v>
      </c>
      <c r="H427" s="4306" t="s">
        <v>274</v>
      </c>
      <c r="I427" s="2773" t="s">
        <v>205</v>
      </c>
      <c r="J427" s="3662">
        <v>42.57417453416037</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656933.9741801098</v>
      </c>
      <c r="D10" s="3577">
        <f>IF(SUM(D11,D20,D28,D37,D46,D55)=0,"NO",SUM(D11,D20,D28,D37,D46,D55))</f>
        <v>63385.143205555731</v>
      </c>
      <c r="E10" s="3592">
        <f t="shared" ref="E10:E12" si="0">IF(SUM(C10)=0,"NA",G10/C10*1000/(44/28))</f>
        <v>1.56105528159401E-3</v>
      </c>
      <c r="F10" s="3593">
        <f t="shared" ref="F10:F11" si="1">IF(SUM(D10)=0,"NA",H10/D10*1000/(44/28))</f>
        <v>7.4999999999999997E-3</v>
      </c>
      <c r="G10" s="4464">
        <f>IF(SUM(G11,G20,G28,G37,G46,G55)=0,"NO",SUM(G11,G20,G28,G37,G46,G55))</f>
        <v>1.6115161072252053</v>
      </c>
      <c r="H10" s="4465">
        <f>IF(SUM(H11,H20,H28,H37,H46,H55)=0,"NO",SUM(H11,H20,H28,H37,H46,H55))</f>
        <v>0.74703918777976397</v>
      </c>
      <c r="I10" s="4466">
        <f t="shared" ref="I10:I11" si="2">IF(SUM(G10:H10)=0,"NO",SUM(G10:H10))</f>
        <v>2.3585552950049693</v>
      </c>
    </row>
    <row r="11" spans="2:10" ht="18" customHeight="1" x14ac:dyDescent="0.2">
      <c r="B11" s="2863" t="s">
        <v>1605</v>
      </c>
      <c r="C11" s="3578">
        <f>IF(SUM(C12:C13)=0,"NO",SUM(C12:C13))</f>
        <v>138297.94594676336</v>
      </c>
      <c r="D11" s="3579">
        <f>IF(SUM(D12:D13)=0,"NO",SUM(D12:D13))</f>
        <v>28578.855093808143</v>
      </c>
      <c r="E11" s="3594">
        <f t="shared" si="0"/>
        <v>3.0366457362184774E-3</v>
      </c>
      <c r="F11" s="3595">
        <f t="shared" si="1"/>
        <v>7.5000000000000006E-3</v>
      </c>
      <c r="G11" s="4467">
        <f>IF(SUM(G12:G13)=0,"NO",SUM(G12:G13))</f>
        <v>0.65994007810816235</v>
      </c>
      <c r="H11" s="4468">
        <f>IF(SUM(H12:H13)=0,"NO",SUM(H12:H13))</f>
        <v>0.33682222074845314</v>
      </c>
      <c r="I11" s="4469">
        <f t="shared" si="2"/>
        <v>0.99676229885661549</v>
      </c>
    </row>
    <row r="12" spans="2:10" ht="18" customHeight="1" x14ac:dyDescent="0.2">
      <c r="B12" s="917" t="s">
        <v>1606</v>
      </c>
      <c r="C12" s="3580">
        <f>Table4.A!E11</f>
        <v>134421.25689922101</v>
      </c>
      <c r="D12" s="3581">
        <f>H12/F12*1000/(44/28)</f>
        <v>15216.984763056025</v>
      </c>
      <c r="E12" s="3596">
        <f t="shared" si="0"/>
        <v>1.4839724350215683E-3</v>
      </c>
      <c r="F12" s="3597">
        <v>7.4999999999999997E-3</v>
      </c>
      <c r="G12" s="4470">
        <v>0.31346454844476646</v>
      </c>
      <c r="H12" s="4471">
        <v>0.179343034707446</v>
      </c>
      <c r="I12" s="4472">
        <f>IF(SUM(G12:H12)=0,"NO",SUM(G12:H12))</f>
        <v>0.49280758315221246</v>
      </c>
    </row>
    <row r="13" spans="2:10" ht="18" customHeight="1" x14ac:dyDescent="0.2">
      <c r="B13" s="917" t="s">
        <v>1607</v>
      </c>
      <c r="C13" s="3582">
        <f>IF(SUM(C15:C19)=0,"NO",SUM(C15:C19))</f>
        <v>3876.6890475423302</v>
      </c>
      <c r="D13" s="3583">
        <f>IF(SUM(D15:D19)=0,"NO",SUM(D15:D19))</f>
        <v>13361.870330752117</v>
      </c>
      <c r="E13" s="3599">
        <f>IF(SUM(C13)=0,"NA",G13/C13*1000/(44/28))</f>
        <v>5.6874416612648901E-2</v>
      </c>
      <c r="F13" s="3598">
        <f>IF(SUM(D13)=0,"NA",H13/D13*1000/(44/28))</f>
        <v>7.5000000000000006E-3</v>
      </c>
      <c r="G13" s="4473">
        <f>IF(SUM(G15:G19)=0,"NO",SUM(G15:G19))</f>
        <v>0.34647552966339584</v>
      </c>
      <c r="H13" s="4474">
        <f>IF(SUM(H15:H19)=0,"NO",SUM(H15:H19))</f>
        <v>0.15747918604100711</v>
      </c>
      <c r="I13" s="4472">
        <f>IF(SUM(G13:H13)=0,"NO",SUM(G13:H13))</f>
        <v>0.50395471570440298</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37.642176775836113</v>
      </c>
      <c r="D15" s="3581">
        <f>H15/F15*1000/(44/28)</f>
        <v>89.769290826738128</v>
      </c>
      <c r="E15" s="3599">
        <f>IF(SUM(C15)=0,"NA",G15/C15*1000/(44/28))</f>
        <v>5.5408799394629858E-2</v>
      </c>
      <c r="F15" s="3597">
        <v>7.4999999999999997E-3</v>
      </c>
      <c r="G15" s="4477">
        <v>3.2775408627492113E-3</v>
      </c>
      <c r="H15" s="4478">
        <v>1.0579952133151279E-3</v>
      </c>
      <c r="I15" s="4472">
        <f>IF(SUM(G15:H15)=0,"NO",SUM(G15:H15))</f>
        <v>4.3355360760643389E-3</v>
      </c>
    </row>
    <row r="16" spans="2:10" ht="18" customHeight="1" x14ac:dyDescent="0.2">
      <c r="B16" s="518" t="s">
        <v>1609</v>
      </c>
      <c r="C16" s="3584">
        <f>Table4.A!E19</f>
        <v>3822.3511396639979</v>
      </c>
      <c r="D16" s="3581">
        <f>H16/F16*1000/(44/28)</f>
        <v>13189.314338761649</v>
      </c>
      <c r="E16" s="3599">
        <f t="shared" ref="E16:E21" si="3">IF(SUM(C16)=0,"NA",G16/C16*1000/(44/28))</f>
        <v>5.6648385544962661E-2</v>
      </c>
      <c r="F16" s="3597">
        <v>7.4999999999999997E-3</v>
      </c>
      <c r="G16" s="4477">
        <v>0.34026146164672133</v>
      </c>
      <c r="H16" s="4478">
        <v>0.15544549042111944</v>
      </c>
      <c r="I16" s="4472">
        <f t="shared" ref="I16:I21" si="4">IF(SUM(G16:H16)=0,"NO",SUM(G16:H16))</f>
        <v>0.49570695206784077</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16.695731102496236</v>
      </c>
      <c r="D18" s="3581">
        <f>H18/F18*1000/(44/28)</f>
        <v>82.786701163730697</v>
      </c>
      <c r="E18" s="3599">
        <f t="shared" si="3"/>
        <v>0.11192676058810357</v>
      </c>
      <c r="F18" s="3597">
        <v>7.4999999999999997E-3</v>
      </c>
      <c r="G18" s="4477">
        <v>2.9365271539252796E-3</v>
      </c>
      <c r="H18" s="4478">
        <v>9.7570040657254031E-4</v>
      </c>
      <c r="I18" s="4472">
        <f t="shared" si="4"/>
        <v>3.9122275604978199E-3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1969.7232363101775</v>
      </c>
      <c r="D20" s="3589">
        <f>D21</f>
        <v>2379.1364328722952</v>
      </c>
      <c r="E20" s="3602">
        <f t="shared" si="3"/>
        <v>2.2596796620551363E-2</v>
      </c>
      <c r="F20" s="3603">
        <f t="shared" si="5"/>
        <v>7.4999999999999997E-3</v>
      </c>
      <c r="G20" s="4482">
        <f>G21</f>
        <v>6.9943398438061202E-2</v>
      </c>
      <c r="H20" s="4483">
        <f>H21</f>
        <v>2.8039822244566331E-2</v>
      </c>
      <c r="I20" s="4484">
        <f t="shared" si="4"/>
        <v>9.7983220682627534E-2</v>
      </c>
    </row>
    <row r="21" spans="2:9" ht="18" customHeight="1" x14ac:dyDescent="0.2">
      <c r="B21" s="917" t="s">
        <v>1614</v>
      </c>
      <c r="C21" s="3582">
        <f>IF(SUM(C23:C27)=0,"NO",SUM(C23:C27))</f>
        <v>1969.7232363101775</v>
      </c>
      <c r="D21" s="3583">
        <f>IF(SUM(D23:D27)=0,"NO",SUM(D23:D27))</f>
        <v>2379.1364328722952</v>
      </c>
      <c r="E21" s="3599">
        <f t="shared" si="3"/>
        <v>2.2596796620551363E-2</v>
      </c>
      <c r="F21" s="3598">
        <f t="shared" si="5"/>
        <v>7.4999999999999997E-3</v>
      </c>
      <c r="G21" s="4473">
        <f>IF(SUM(G23:G27)=0,"NO",SUM(G23:G27))</f>
        <v>6.9943398438061202E-2</v>
      </c>
      <c r="H21" s="4474">
        <f>IF(SUM(H23:H27)=0,"NO",SUM(H23:H27))</f>
        <v>2.8039822244566331E-2</v>
      </c>
      <c r="I21" s="4472">
        <f t="shared" si="4"/>
        <v>9.7983220682627534E-2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1969.7232363101775</v>
      </c>
      <c r="D23" s="3581">
        <f>H23/F23*1000/(44/28)</f>
        <v>2379.1364328722952</v>
      </c>
      <c r="E23" s="3599">
        <f>IF(SUM(C23)=0,"NA",G23/C23*1000/(44/28))</f>
        <v>2.2596796620551363E-2</v>
      </c>
      <c r="F23" s="3597">
        <v>7.4999999999999997E-3</v>
      </c>
      <c r="G23" s="4477">
        <v>6.9943398438061202E-2</v>
      </c>
      <c r="H23" s="4478">
        <v>2.8039822244566331E-2</v>
      </c>
      <c r="I23" s="4472">
        <f>IF(SUM(G23:H23)=0,"NO",SUM(G23:H23))</f>
        <v>9.7983220682627534E-2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515527.55903986137</v>
      </c>
      <c r="D28" s="3579">
        <f>IF(SUM(D29:D30)=0,"NO",SUM(D29:D30))</f>
        <v>32113.687299099089</v>
      </c>
      <c r="E28" s="3594">
        <f t="shared" si="6"/>
        <v>1.0745861712421775E-3</v>
      </c>
      <c r="F28" s="3595">
        <f t="shared" si="7"/>
        <v>7.4999999999999989E-3</v>
      </c>
      <c r="G28" s="4467">
        <f>IF(SUM(G29:G30)=0,"NO",SUM(G29:G30))</f>
        <v>0.87053809203188182</v>
      </c>
      <c r="H28" s="4468">
        <f>IF(SUM(H29:H30)=0,"NO",SUM(H29:H30))</f>
        <v>0.37848274316795344</v>
      </c>
      <c r="I28" s="4484">
        <f t="shared" si="8"/>
        <v>1.2490208351998353</v>
      </c>
    </row>
    <row r="29" spans="2:9" ht="18" customHeight="1" x14ac:dyDescent="0.2">
      <c r="B29" s="917" t="s">
        <v>1621</v>
      </c>
      <c r="C29" s="3580">
        <f>Table4.C!E11</f>
        <v>508112.26697042299</v>
      </c>
      <c r="D29" s="3581">
        <f>H29/F29*1000/(44/28)</f>
        <v>29856.669769947624</v>
      </c>
      <c r="E29" s="3596">
        <f t="shared" si="6"/>
        <v>1.0003176480267177E-3</v>
      </c>
      <c r="F29" s="3597">
        <v>7.4999999999999997E-3</v>
      </c>
      <c r="G29" s="4470">
        <v>0.79871576373187836</v>
      </c>
      <c r="H29" s="4471">
        <v>0.3518821794315255</v>
      </c>
      <c r="I29" s="4472">
        <f t="shared" si="8"/>
        <v>1.1505979431634039</v>
      </c>
    </row>
    <row r="30" spans="2:9" ht="18" customHeight="1" x14ac:dyDescent="0.2">
      <c r="B30" s="917" t="s">
        <v>1622</v>
      </c>
      <c r="C30" s="3582">
        <f>IF(SUM(C32:C36)=0,"NO",SUM(C32:C36))</f>
        <v>7415.2920694383738</v>
      </c>
      <c r="D30" s="3583">
        <f>IF(SUM(D32:D36)=0,"NO",SUM(D32:D36))</f>
        <v>2257.0175291514633</v>
      </c>
      <c r="E30" s="3599">
        <f>IF(SUM(C30)=0,"NA",G30/C30*1000/(44/28))</f>
        <v>6.163630182210042E-3</v>
      </c>
      <c r="F30" s="3598">
        <f>IF(SUM(D30)=0,"NA",H30/D30*1000/(44/28))</f>
        <v>7.4999999999999997E-3</v>
      </c>
      <c r="G30" s="4473">
        <f>IF(SUM(G32:G36)=0,"NO",SUM(G32:G36))</f>
        <v>7.1822328300003471E-2</v>
      </c>
      <c r="H30" s="4474">
        <f>IF(SUM(H32:H36)=0,"NO",SUM(H32:H36))</f>
        <v>2.6600563736427961E-2</v>
      </c>
      <c r="I30" s="4472">
        <f t="shared" si="8"/>
        <v>9.8422892036431425E-2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7415.2920694383738</v>
      </c>
      <c r="D32" s="3581">
        <f>H32/F32*1000/(44/28)</f>
        <v>2257.0175291514633</v>
      </c>
      <c r="E32" s="3599">
        <f>IF(SUM(C32)=0,"NA",G32/C32*1000/(44/28))</f>
        <v>6.163630182210042E-3</v>
      </c>
      <c r="F32" s="3597">
        <v>7.4999999999999997E-3</v>
      </c>
      <c r="G32" s="4477">
        <v>7.1822328300003471E-2</v>
      </c>
      <c r="H32" s="4478">
        <v>2.6600563736427961E-2</v>
      </c>
      <c r="I32" s="4472">
        <f t="shared" si="8"/>
        <v>9.8422892036431425E-2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1138.7459571748673</v>
      </c>
      <c r="D46" s="3579">
        <f>IF(SUM(D47:D48)=0,"NO",SUM(D47:D48))</f>
        <v>313.4643797762069</v>
      </c>
      <c r="E46" s="3594">
        <f t="shared" si="11"/>
        <v>6.1999438178126573E-3</v>
      </c>
      <c r="F46" s="3595">
        <f t="shared" si="12"/>
        <v>7.4999999999999997E-3</v>
      </c>
      <c r="G46" s="4467">
        <f>IF(SUM(G47:G48)=0,"NO",SUM(G47:G48))</f>
        <v>1.1094538647100033E-2</v>
      </c>
      <c r="H46" s="4468">
        <f>IF(SUM(H47:H48)=0,"NO",SUM(H47:H48))</f>
        <v>3.6944016187910097E-3</v>
      </c>
      <c r="I46" s="4469">
        <f t="shared" si="8"/>
        <v>1.4788940265891042E-2</v>
      </c>
    </row>
    <row r="47" spans="2:9" ht="18" customHeight="1" x14ac:dyDescent="0.2">
      <c r="B47" s="917" t="s">
        <v>1637</v>
      </c>
      <c r="C47" s="3580">
        <f>Table4.E!E11</f>
        <v>972.36505165400001</v>
      </c>
      <c r="D47" s="3581">
        <f>H47/F47*1000/(44/28)</f>
        <v>10.448462819096859</v>
      </c>
      <c r="E47" s="3596">
        <f t="shared" si="11"/>
        <v>1.5880045545125043E-4</v>
      </c>
      <c r="F47" s="3597">
        <v>7.4999999999999997E-3</v>
      </c>
      <c r="G47" s="4470">
        <v>2.4264744910612463E-4</v>
      </c>
      <c r="H47" s="4471">
        <v>1.2314259751078442E-4</v>
      </c>
      <c r="I47" s="4472">
        <f t="shared" si="8"/>
        <v>3.6579004661690907E-4</v>
      </c>
    </row>
    <row r="48" spans="2:9" ht="18" customHeight="1" x14ac:dyDescent="0.2">
      <c r="B48" s="917" t="s">
        <v>1638</v>
      </c>
      <c r="C48" s="3582">
        <f>IF(SUM(C50:C54)=0,"NO",SUM(C50:C54))</f>
        <v>166.38090552086715</v>
      </c>
      <c r="D48" s="3583">
        <f>IF(SUM(D50:D54)=0,"NO",SUM(D50:D54))</f>
        <v>303.01591695711005</v>
      </c>
      <c r="E48" s="3599">
        <f>IF(SUM(C48)=0,"NA",G48/C48*1000/(44/28))</f>
        <v>4.150565789120457E-2</v>
      </c>
      <c r="F48" s="3598">
        <f>IF(SUM(D48)=0,"NA",H48/D48*1000/(44/28))</f>
        <v>7.4999999999999997E-3</v>
      </c>
      <c r="G48" s="4473">
        <f>IF(SUM(G50:G54)=0,"NO",SUM(G50:G54))</f>
        <v>1.0851891197993908E-2</v>
      </c>
      <c r="H48" s="4474">
        <f>IF(SUM(H50:H54)=0,"NO",SUM(H50:H54))</f>
        <v>3.5712590212802252E-3</v>
      </c>
      <c r="I48" s="4472">
        <f t="shared" si="8"/>
        <v>1.4423150219274133E-2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166.38090552086715</v>
      </c>
      <c r="D50" s="3581">
        <f>H50/F50*1000/(44/28)</f>
        <v>303.01591695711005</v>
      </c>
      <c r="E50" s="3599">
        <f>IF(SUM(C50)=0,"NA",G50/C50*1000/(44/28))</f>
        <v>4.150565789120457E-2</v>
      </c>
      <c r="F50" s="3597">
        <v>7.4999999999999997E-3</v>
      </c>
      <c r="G50" s="4477">
        <v>1.0851891197993908E-2</v>
      </c>
      <c r="H50" s="4478">
        <v>3.5712590212802252E-3</v>
      </c>
      <c r="I50" s="4472">
        <f t="shared" si="8"/>
        <v>1.4423150219274133E-2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3552523.30009371</v>
      </c>
      <c r="D10" s="3055" t="s">
        <v>97</v>
      </c>
      <c r="E10" s="615"/>
      <c r="F10" s="615"/>
      <c r="G10" s="615"/>
      <c r="H10" s="1938">
        <f>IF(SUM(H11:H15)=0,"NO",SUM(H11:H15))</f>
        <v>253935.97573652311</v>
      </c>
      <c r="I10" s="1938">
        <f t="shared" ref="I10:K10" si="0">IF(SUM(I11:I16)=0,"NO",SUM(I11:I16))</f>
        <v>134.01977686044216</v>
      </c>
      <c r="J10" s="1938">
        <f t="shared" si="0"/>
        <v>6.5736259448986507</v>
      </c>
      <c r="K10" s="3064" t="str">
        <f t="shared" si="0"/>
        <v>NO</v>
      </c>
    </row>
    <row r="11" spans="2:11" ht="18" customHeight="1" x14ac:dyDescent="0.2">
      <c r="B11" s="282" t="s">
        <v>243</v>
      </c>
      <c r="C11" s="3065">
        <f>IF(SUM(C18,'Table1.A(a)s2'!C11,'Table1.A(a)s3'!C11,'Table1.A(a)s4'!C11,'Table1.A(a)s4'!C94)=0,"NO",SUM(C18,'Table1.A(a)s2'!C11,'Table1.A(a)s3'!C11,'Table1.A(a)s4'!C11,'Table1.A(a)s4'!C94))</f>
        <v>1260313.6444087571</v>
      </c>
      <c r="D11" s="3056" t="s">
        <v>244</v>
      </c>
      <c r="E11" s="1938">
        <f>IFERROR(H11*1000/$C11,"NA")</f>
        <v>68.029893194675637</v>
      </c>
      <c r="F11" s="1938">
        <f t="shared" ref="F11:G16" si="1">IFERROR(I11*1000000/$C11,"NA")</f>
        <v>22.189620586305363</v>
      </c>
      <c r="G11" s="1938">
        <f t="shared" si="1"/>
        <v>3.1515732349691983</v>
      </c>
      <c r="H11" s="1938">
        <f>IF(SUM(H18,'Table1.A(a)s2'!H11,'Table1.A(a)s3'!H11,'Table1.A(a)s4'!H11,'Table1.A(a)s4'!H94)=0,"NO",SUM(H18,'Table1.A(a)s2'!H11,'Table1.A(a)s3'!H11,'Table1.A(a)s4'!H11,'Table1.A(a)s4'!H94))</f>
        <v>85739.002620920146</v>
      </c>
      <c r="I11" s="1938">
        <f>IF(SUM(I18,'Table1.A(a)s2'!I11,'Table1.A(a)s3'!I11,'Table1.A(a)s4'!I11,'Table1.A(a)s4'!I94)=0,"NO",SUM(I18,'Table1.A(a)s2'!I11,'Table1.A(a)s3'!I11,'Table1.A(a)s4'!I11,'Table1.A(a)s4'!I94))</f>
        <v>27.965881589174092</v>
      </c>
      <c r="J11" s="1938">
        <f>IF(SUM(J18,'Table1.A(a)s2'!J11,'Table1.A(a)s3'!J11,'Table1.A(a)s4'!J11,'Table1.A(a)s4'!J94)=0,"NO",SUM(J18,'Table1.A(a)s2'!J11,'Table1.A(a)s3'!J11,'Table1.A(a)s4'!J11,'Table1.A(a)s4'!J94))</f>
        <v>3.9719707493851262</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1494781.59171932</v>
      </c>
      <c r="D12" s="3056" t="s">
        <v>97</v>
      </c>
      <c r="E12" s="1938">
        <f t="shared" ref="E12:E16" si="2">IFERROR(H12*1000/$C12,"NA")</f>
        <v>91.119391327528845</v>
      </c>
      <c r="F12" s="1938">
        <f t="shared" si="1"/>
        <v>0.6848357493131263</v>
      </c>
      <c r="G12" s="1938">
        <f t="shared" si="1"/>
        <v>0.9035441557873074</v>
      </c>
      <c r="H12" s="1938">
        <f>IF(SUM(H19,'Table1.A(a)s2'!H12,'Table1.A(a)s3'!H12,'Table1.A(a)s4'!H12,'Table1.A(a)s4'!H95)=0,"NO",SUM(H19,'Table1.A(a)s2'!H12,'Table1.A(a)s3'!H12,'Table1.A(a)s4'!H12,'Table1.A(a)s4'!H95))</f>
        <v>136203.58880505917</v>
      </c>
      <c r="I12" s="1938">
        <f>IF(SUM(I19,'Table1.A(a)s2'!I12,'Table1.A(a)s3'!I12,'Table1.A(a)s4'!I12,'Table1.A(a)s4'!I95)=0,"NO",SUM(I19,'Table1.A(a)s2'!I12,'Table1.A(a)s3'!I12,'Table1.A(a)s4'!I12,'Table1.A(a)s4'!I95))</f>
        <v>1.0236798714245681</v>
      </c>
      <c r="J12" s="1938">
        <f>IF(SUM(J19,'Table1.A(a)s2'!J12,'Table1.A(a)s3'!J12,'Table1.A(a)s4'!J12,'Table1.A(a)s4'!J95)=0,"NO",SUM(J19,'Table1.A(a)s2'!J12,'Table1.A(a)s3'!J12,'Table1.A(a)s4'!J12,'Table1.A(a)s4'!J95))</f>
        <v>1.3506011713764408</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615632.88361668447</v>
      </c>
      <c r="D13" s="3056" t="s">
        <v>244</v>
      </c>
      <c r="E13" s="1938">
        <f t="shared" si="2"/>
        <v>51.420625272635995</v>
      </c>
      <c r="F13" s="1938">
        <f t="shared" si="1"/>
        <v>8.3894180383083938</v>
      </c>
      <c r="G13" s="1938">
        <f t="shared" si="1"/>
        <v>0.73415340497565273</v>
      </c>
      <c r="H13" s="1938">
        <f>IF(SUM(H20,'Table1.A(a)s2'!H13,'Table1.A(a)s3'!H13,'Table1.A(a)s4'!H13,'Table1.A(a)s4'!H96)=0,"NO",SUM(H20,'Table1.A(a)s2'!H13,'Table1.A(a)s3'!H13,'Table1.A(a)s4'!H13,'Table1.A(a)s4'!H96))</f>
        <v>31656.227813965859</v>
      </c>
      <c r="I13" s="1938">
        <f>IF(SUM(I20,'Table1.A(a)s2'!I13,'Table1.A(a)s3'!I13,'Table1.A(a)s4'!I13,'Table1.A(a)s4'!I96)=0,"NO",SUM(I20,'Table1.A(a)s2'!I13,'Table1.A(a)s3'!I13,'Table1.A(a)s4'!I13,'Table1.A(a)s4'!I96))</f>
        <v>5.1648016187896246</v>
      </c>
      <c r="J13" s="1938">
        <f>IF(SUM(J20,'Table1.A(a)s2'!J13,'Table1.A(a)s3'!J13,'Table1.A(a)s4'!J13,'Table1.A(a)s4'!J96)=0,"NO",SUM(J20,'Table1.A(a)s2'!J13,'Table1.A(a)s3'!J13,'Table1.A(a)s4'!J13,'Table1.A(a)s4'!J96))</f>
        <v>0.4519689777221686</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3749.8703489482987</v>
      </c>
      <c r="D14" s="3056" t="s">
        <v>244</v>
      </c>
      <c r="E14" s="1938">
        <f t="shared" si="2"/>
        <v>89.911507653183364</v>
      </c>
      <c r="F14" s="1938">
        <f t="shared" si="1"/>
        <v>31.830433826459128</v>
      </c>
      <c r="G14" s="1938">
        <f t="shared" si="1"/>
        <v>0.99470105707684775</v>
      </c>
      <c r="H14" s="1938">
        <f>IF(SUM(H21,'Table1.A(a)s2'!H14,'Table1.A(a)s3'!H14,'Table1.A(a)s4'!H14,'Table1.A(a)s4'!H97)=0,"NO",SUM(H21,'Table1.A(a)s2'!H14,'Table1.A(a)s3'!H14,'Table1.A(a)s4'!H14,'Table1.A(a)s4'!H97))</f>
        <v>337.15649657791033</v>
      </c>
      <c r="I14" s="1938">
        <f>IF(SUM(I21,'Table1.A(a)s2'!I14,'Table1.A(a)s3'!I14,'Table1.A(a)s4'!I14,'Table1.A(a)s4'!I97)=0,"NO",SUM(I21,'Table1.A(a)s2'!I14,'Table1.A(a)s3'!I14,'Table1.A(a)s4'!I14,'Table1.A(a)s4'!I97))</f>
        <v>0.11936000000000001</v>
      </c>
      <c r="J14" s="1938">
        <f>IF(SUM(J21,'Table1.A(a)s2'!J14,'Table1.A(a)s3'!J14,'Table1.A(a)s4'!J14,'Table1.A(a)s4'!J97)=0,"NO",SUM(J21,'Table1.A(a)s2'!J14,'Table1.A(a)s3'!J14,'Table1.A(a)s4'!J14,'Table1.A(a)s4'!J97))</f>
        <v>3.7300000000000002E-3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178045.31</v>
      </c>
      <c r="D16" s="3058" t="s">
        <v>244</v>
      </c>
      <c r="E16" s="2891">
        <f t="shared" si="2"/>
        <v>84.348878496153588</v>
      </c>
      <c r="F16" s="1938">
        <f t="shared" si="1"/>
        <v>560.22848218273134</v>
      </c>
      <c r="G16" s="1938">
        <f t="shared" si="1"/>
        <v>4.4671496621557454</v>
      </c>
      <c r="H16" s="2891">
        <f>IF(SUM(H23,'Table1.A(a)s2'!H16,'Table1.A(a)s3'!H15,'Table1.A(a)s4'!H16,'Table1.A(a)s4'!H99)=0,"NO",SUM(H23,'Table1.A(a)s2'!H16,'Table1.A(a)s3'!H15,'Table1.A(a)s4'!H16,'Table1.A(a)s4'!H99))</f>
        <v>15017.922219999999</v>
      </c>
      <c r="I16" s="2891">
        <f>IF(SUM(I23,'Table1.A(a)s2'!I16,'Table1.A(a)s3'!I15,'Table1.A(a)s4'!I16,'Table1.A(a)s4'!I99)=0,"NO",SUM(I23,'Table1.A(a)s2'!I16,'Table1.A(a)s3'!I15,'Table1.A(a)s4'!I16,'Table1.A(a)s4'!I99))</f>
        <v>99.746053781053874</v>
      </c>
      <c r="J16" s="2891">
        <f>IF(SUM(J23,'Table1.A(a)s2'!J16,'Table1.A(a)s3'!J15,'Table1.A(a)s4'!J16,'Table1.A(a)s4'!J99)=0,"NO",SUM(J23,'Table1.A(a)s2'!J16,'Table1.A(a)s3'!J15,'Table1.A(a)s4'!J16,'Table1.A(a)s4'!J99))</f>
        <v>0.79535504641491495</v>
      </c>
      <c r="K16" s="3045" t="str">
        <f>IF(SUM(K23,'Table1.A(a)s2'!K16,'Table1.A(a)s3'!K15,'Table1.A(a)s4'!K16,'Table1.A(a)s4'!K99)=0,"NO",SUM(K23,'Table1.A(a)s2'!K16,'Table1.A(a)s3'!K15,'Table1.A(a)s4'!K16,'Table1.A(a)s4'!K99))</f>
        <v>NO</v>
      </c>
    </row>
    <row r="17" spans="2:12" ht="18" customHeight="1" x14ac:dyDescent="0.2">
      <c r="B17" s="2209" t="s">
        <v>175</v>
      </c>
      <c r="C17" s="3046">
        <f>IF(SUM(C18:C23)=0,"NO",SUM(C18:C23))</f>
        <v>1724416.7267173466</v>
      </c>
      <c r="D17" s="3059" t="s">
        <v>97</v>
      </c>
      <c r="E17" s="3060"/>
      <c r="F17" s="3060"/>
      <c r="G17" s="3060"/>
      <c r="H17" s="3046">
        <f>IF(SUM(H18:H22)=0,"NO",SUM(H18:H22))</f>
        <v>145798.89301365922</v>
      </c>
      <c r="I17" s="3046">
        <f t="shared" ref="I17" si="3">IF(SUM(I18:I23)=0,"NO",SUM(I18:I23))</f>
        <v>5.9268696876790399</v>
      </c>
      <c r="J17" s="3046">
        <f t="shared" ref="J17" si="4">IF(SUM(J18:J23)=0,"NO",SUM(J18:J23))</f>
        <v>1.6290682412384687</v>
      </c>
      <c r="K17" s="3047" t="str">
        <f t="shared" ref="K17" si="5">IF(SUM(K18:K23)=0,"NO",SUM(K18:K23))</f>
        <v>NO</v>
      </c>
    </row>
    <row r="18" spans="2:12" ht="18" customHeight="1" x14ac:dyDescent="0.2">
      <c r="B18" s="282" t="s">
        <v>243</v>
      </c>
      <c r="C18" s="3065">
        <f>IF(SUM(C25,C54,C61)=0,"NO",SUM(C25,C54,C61))</f>
        <v>135428.88882439991</v>
      </c>
      <c r="D18" s="3056" t="s">
        <v>97</v>
      </c>
      <c r="E18" s="1938">
        <f>IFERROR(H18*1000/$C18,"NA")</f>
        <v>67.84763834327758</v>
      </c>
      <c r="F18" s="1938">
        <f t="shared" ref="F18:G23" si="6">IFERROR(I18*1000000/$C18,"NA")</f>
        <v>1.5468919864184285</v>
      </c>
      <c r="G18" s="1938">
        <f t="shared" si="6"/>
        <v>0.7749064089337957</v>
      </c>
      <c r="H18" s="3065">
        <f>IF(SUM(H25,H54,H61)=0,"NO",SUM(H25,H54,H61))</f>
        <v>9188.5302701898308</v>
      </c>
      <c r="I18" s="3065">
        <f>IF(SUM(I25,I54,I61)=0,"NO",SUM(I25,I54,I61))</f>
        <v>0.20949386285201649</v>
      </c>
      <c r="J18" s="3065">
        <f>IF(SUM(J25,J54,J61)=0,"NO",SUM(J25,J54,J61))</f>
        <v>0.10494471390481</v>
      </c>
      <c r="K18" s="3048" t="str">
        <f>IF(SUM(K25,K54,K61)=0,"NO",SUM(K25,K54,K61))</f>
        <v>NO</v>
      </c>
      <c r="L18" s="19"/>
    </row>
    <row r="19" spans="2:12" ht="18" customHeight="1" x14ac:dyDescent="0.2">
      <c r="B19" s="282" t="s">
        <v>245</v>
      </c>
      <c r="C19" s="3065">
        <f t="shared" ref="C19:C23" si="7">IF(SUM(C26,C55,C62)=0,"NO",SUM(C26,C55,C62))</f>
        <v>1353824.2648588549</v>
      </c>
      <c r="D19" s="3056" t="s">
        <v>97</v>
      </c>
      <c r="E19" s="1938">
        <f t="shared" ref="E19:E23" si="8">IFERROR(H19*1000/$C19,"NA")</f>
        <v>92.401796803820403</v>
      </c>
      <c r="F19" s="1938">
        <f t="shared" si="6"/>
        <v>0.6581990373101344</v>
      </c>
      <c r="G19" s="1938">
        <f t="shared" si="6"/>
        <v>0.92694370619528987</v>
      </c>
      <c r="H19" s="3065">
        <f t="shared" ref="H19:K23" si="9">IF(SUM(H26,H55,H62)=0,"NO",SUM(H26,H55,H62))</f>
        <v>125095.79462956944</v>
      </c>
      <c r="I19" s="3065">
        <f t="shared" si="9"/>
        <v>0.89108582781719869</v>
      </c>
      <c r="J19" s="3065">
        <f t="shared" si="9"/>
        <v>1.2549188816053807</v>
      </c>
      <c r="K19" s="3048" t="str">
        <f t="shared" si="9"/>
        <v>NO</v>
      </c>
      <c r="L19" s="19"/>
    </row>
    <row r="20" spans="2:12" ht="18" customHeight="1" x14ac:dyDescent="0.2">
      <c r="B20" s="282" t="s">
        <v>246</v>
      </c>
      <c r="C20" s="3065">
        <f t="shared" si="7"/>
        <v>224272.88472877356</v>
      </c>
      <c r="D20" s="3056" t="s">
        <v>97</v>
      </c>
      <c r="E20" s="1938">
        <f t="shared" si="8"/>
        <v>51.341775568746179</v>
      </c>
      <c r="F20" s="1938">
        <f t="shared" si="6"/>
        <v>21.010997729864808</v>
      </c>
      <c r="G20" s="1938">
        <f t="shared" si="6"/>
        <v>0.87661090757323545</v>
      </c>
      <c r="H20" s="3065">
        <f t="shared" si="9"/>
        <v>11514.568113899973</v>
      </c>
      <c r="I20" s="3065">
        <f t="shared" si="9"/>
        <v>4.712197071906493</v>
      </c>
      <c r="J20" s="3065">
        <f t="shared" si="9"/>
        <v>0.19660005702615779</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10890.688305318037</v>
      </c>
      <c r="D23" s="3056" t="s">
        <v>97</v>
      </c>
      <c r="E23" s="1938">
        <f t="shared" si="8"/>
        <v>95</v>
      </c>
      <c r="F23" s="1938">
        <f t="shared" si="6"/>
        <v>10.47619047619048</v>
      </c>
      <c r="G23" s="1938">
        <f t="shared" si="6"/>
        <v>6.6666666666666652</v>
      </c>
      <c r="H23" s="3065">
        <f t="shared" si="9"/>
        <v>1034.6153890052135</v>
      </c>
      <c r="I23" s="3065">
        <f t="shared" si="9"/>
        <v>0.11409292510333185</v>
      </c>
      <c r="J23" s="3065">
        <f t="shared" si="9"/>
        <v>7.2604588702120235E-2</v>
      </c>
      <c r="K23" s="3048" t="str">
        <f t="shared" si="9"/>
        <v>NO</v>
      </c>
      <c r="L23" s="19"/>
    </row>
    <row r="24" spans="2:12" ht="18" customHeight="1" x14ac:dyDescent="0.2">
      <c r="B24" s="1236" t="s">
        <v>250</v>
      </c>
      <c r="C24" s="3065">
        <f>IF(SUM(C25:C30)=0,"NO",SUM(C25:C30))</f>
        <v>1491661.6771297178</v>
      </c>
      <c r="D24" s="3056" t="s">
        <v>97</v>
      </c>
      <c r="E24" s="615"/>
      <c r="F24" s="615"/>
      <c r="G24" s="615"/>
      <c r="H24" s="3065">
        <f>IF(SUM(H25:H29)=0,"NO",SUM(H25:H29))</f>
        <v>131266.4980468491</v>
      </c>
      <c r="I24" s="3065">
        <f t="shared" ref="I24" si="10">IF(SUM(I25:I30)=0,"NO",SUM(I25:I30))</f>
        <v>1.3000256251768831</v>
      </c>
      <c r="J24" s="3065">
        <f t="shared" ref="J24" si="11">IF(SUM(J25:J30)=0,"NO",SUM(J25:J30))</f>
        <v>1.4237274972144647</v>
      </c>
      <c r="K24" s="3048" t="str">
        <f t="shared" ref="K24" si="12">IF(SUM(K25:K30)=0,"NO",SUM(K25:K30))</f>
        <v>NO</v>
      </c>
      <c r="L24" s="19"/>
    </row>
    <row r="25" spans="2:12" ht="18" customHeight="1" x14ac:dyDescent="0.2">
      <c r="B25" s="160" t="s">
        <v>243</v>
      </c>
      <c r="C25" s="3053">
        <f>IF(SUM(C33,C40,C47)=0,"NO",SUM(C33,C40,C47))</f>
        <v>40770.988824400003</v>
      </c>
      <c r="D25" s="3061" t="s">
        <v>97</v>
      </c>
      <c r="E25" s="3065">
        <f>IFERROR(H25*1000/$C25,"NA")</f>
        <v>72.873627978620888</v>
      </c>
      <c r="F25" s="1938">
        <f t="shared" ref="F25:G30" si="13">IFERROR(I25*1000000/$C25,"NA")</f>
        <v>2.6134776284214598</v>
      </c>
      <c r="G25" s="1938">
        <f t="shared" si="13"/>
        <v>0.34357593779293244</v>
      </c>
      <c r="H25" s="3065">
        <f>IF(SUM(H33,H40,H47)=0,"NO",SUM(H33,H40,H47))</f>
        <v>2971.1298719098354</v>
      </c>
      <c r="I25" s="3065">
        <f>IF(SUM(I33,I40,I47)=0,"NO",SUM(I33,I40,I47))</f>
        <v>0.10655406718119077</v>
      </c>
      <c r="J25" s="3065">
        <f>IF(SUM(J33,J40,J47)=0,"NO",SUM(J33,J40,J47))</f>
        <v>1.40079307200884E-2</v>
      </c>
      <c r="K25" s="3048" t="str">
        <f>IF(SUM(K33,K40,K47)=0,"NO",SUM(K33,K40,K47))</f>
        <v>NO</v>
      </c>
      <c r="L25" s="19"/>
    </row>
    <row r="26" spans="2:12" ht="18" customHeight="1" x14ac:dyDescent="0.2">
      <c r="B26" s="160" t="s">
        <v>245</v>
      </c>
      <c r="C26" s="3065">
        <f t="shared" ref="C26:C30" si="14">IF(SUM(C34,C41,C48)=0,"NO",SUM(C34,C41,C48))</f>
        <v>1318739.9999999998</v>
      </c>
      <c r="D26" s="3061" t="s">
        <v>97</v>
      </c>
      <c r="E26" s="3065">
        <f t="shared" ref="E26:E30" si="15">IFERROR(H26*1000/$C26,"NA")</f>
        <v>92.572188372946371</v>
      </c>
      <c r="F26" s="1938">
        <f t="shared" si="13"/>
        <v>0.65014124790026617</v>
      </c>
      <c r="G26" s="1938">
        <f t="shared" si="13"/>
        <v>0.93041668946493139</v>
      </c>
      <c r="H26" s="3065">
        <f t="shared" ref="H26:K30" si="16">IF(SUM(H34,H41,H48)=0,"NO",SUM(H34,H41,H48))</f>
        <v>122078.64769493927</v>
      </c>
      <c r="I26" s="3065">
        <f t="shared" si="16"/>
        <v>0.85736726925599693</v>
      </c>
      <c r="J26" s="3065">
        <f t="shared" si="16"/>
        <v>1.2269777050649833</v>
      </c>
      <c r="K26" s="3048" t="str">
        <f t="shared" si="16"/>
        <v>NO</v>
      </c>
      <c r="L26" s="19"/>
    </row>
    <row r="27" spans="2:12" ht="18" customHeight="1" x14ac:dyDescent="0.2">
      <c r="B27" s="160" t="s">
        <v>246</v>
      </c>
      <c r="C27" s="3065">
        <f t="shared" si="14"/>
        <v>121259.99999999999</v>
      </c>
      <c r="D27" s="3061" t="s">
        <v>97</v>
      </c>
      <c r="E27" s="3065">
        <f t="shared" si="15"/>
        <v>51.267693221177645</v>
      </c>
      <c r="F27" s="1938">
        <f t="shared" si="13"/>
        <v>1.8308705561303287</v>
      </c>
      <c r="G27" s="1938">
        <f t="shared" si="13"/>
        <v>0.9082737318759091</v>
      </c>
      <c r="H27" s="3065">
        <f t="shared" si="16"/>
        <v>6216.7204800000009</v>
      </c>
      <c r="I27" s="3065">
        <f t="shared" si="16"/>
        <v>0.22201136363636362</v>
      </c>
      <c r="J27" s="3065">
        <f t="shared" si="16"/>
        <v>0.11013727272727272</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10890.688305318037</v>
      </c>
      <c r="D30" s="3061" t="s">
        <v>97</v>
      </c>
      <c r="E30" s="3065">
        <f t="shared" si="15"/>
        <v>95</v>
      </c>
      <c r="F30" s="1938">
        <f t="shared" si="13"/>
        <v>10.47619047619048</v>
      </c>
      <c r="G30" s="1938">
        <f t="shared" si="13"/>
        <v>6.6666666666666652</v>
      </c>
      <c r="H30" s="3065">
        <f t="shared" si="16"/>
        <v>1034.6153890052135</v>
      </c>
      <c r="I30" s="3065">
        <f t="shared" si="16"/>
        <v>0.11409292510333185</v>
      </c>
      <c r="J30" s="3065">
        <f t="shared" si="16"/>
        <v>7.2604588702120235E-2</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1491661.6771297178</v>
      </c>
      <c r="D32" s="3056" t="s">
        <v>97</v>
      </c>
      <c r="E32" s="1939"/>
      <c r="F32" s="1939"/>
      <c r="G32" s="1939"/>
      <c r="H32" s="3065">
        <f>IF(SUM(H33:H37)=0,"NO",SUM(H33:H37))</f>
        <v>131266.4980468491</v>
      </c>
      <c r="I32" s="3065">
        <f t="shared" ref="I32" si="17">IF(SUM(I33:I38)=0,"NO",SUM(I33:I38))</f>
        <v>1.3000256251768831</v>
      </c>
      <c r="J32" s="3065">
        <f t="shared" ref="J32" si="18">IF(SUM(J33:J38)=0,"NO",SUM(J33:J38))</f>
        <v>1.4237274972144647</v>
      </c>
      <c r="K32" s="3048" t="str">
        <f t="shared" ref="K32" si="19">IF(SUM(K33:K38)=0,"NO",SUM(K33:K38))</f>
        <v>NO</v>
      </c>
      <c r="L32" s="19"/>
    </row>
    <row r="33" spans="2:12" ht="18" customHeight="1" x14ac:dyDescent="0.2">
      <c r="B33" s="160" t="s">
        <v>243</v>
      </c>
      <c r="C33" s="3014">
        <v>40770.988824400003</v>
      </c>
      <c r="D33" s="3056" t="s">
        <v>97</v>
      </c>
      <c r="E33" s="1938">
        <f>IFERROR(H33*1000/$C33,"NA")</f>
        <v>72.873627978620888</v>
      </c>
      <c r="F33" s="1938">
        <f t="shared" ref="F33:G38" si="20">IFERROR(I33*1000000/$C33,"NA")</f>
        <v>2.6134776284214598</v>
      </c>
      <c r="G33" s="1938">
        <f t="shared" si="20"/>
        <v>0.34357593779293244</v>
      </c>
      <c r="H33" s="3014">
        <v>2971.1298719098354</v>
      </c>
      <c r="I33" s="3014">
        <v>0.10655406718119077</v>
      </c>
      <c r="J33" s="3014">
        <v>1.40079307200884E-2</v>
      </c>
      <c r="K33" s="3051" t="s">
        <v>199</v>
      </c>
      <c r="L33" s="19"/>
    </row>
    <row r="34" spans="2:12" ht="18" customHeight="1" x14ac:dyDescent="0.2">
      <c r="B34" s="160" t="s">
        <v>245</v>
      </c>
      <c r="C34" s="3014">
        <v>1318739.9999999998</v>
      </c>
      <c r="D34" s="3056" t="s">
        <v>97</v>
      </c>
      <c r="E34" s="1938">
        <f t="shared" ref="E34:E38" si="21">IFERROR(H34*1000/$C34,"NA")</f>
        <v>92.572188372946371</v>
      </c>
      <c r="F34" s="1938">
        <f t="shared" si="20"/>
        <v>0.65014124790026617</v>
      </c>
      <c r="G34" s="1938">
        <f t="shared" si="20"/>
        <v>0.93041668946493139</v>
      </c>
      <c r="H34" s="3014">
        <v>122078.64769493927</v>
      </c>
      <c r="I34" s="3014">
        <v>0.85736726925599693</v>
      </c>
      <c r="J34" s="3014">
        <v>1.2269777050649833</v>
      </c>
      <c r="K34" s="3051" t="s">
        <v>199</v>
      </c>
      <c r="L34" s="19"/>
    </row>
    <row r="35" spans="2:12" ht="18" customHeight="1" x14ac:dyDescent="0.2">
      <c r="B35" s="160" t="s">
        <v>246</v>
      </c>
      <c r="C35" s="3014">
        <v>121259.99999999999</v>
      </c>
      <c r="D35" s="3056" t="s">
        <v>97</v>
      </c>
      <c r="E35" s="1938">
        <f t="shared" si="21"/>
        <v>51.267693221177645</v>
      </c>
      <c r="F35" s="1938">
        <f t="shared" si="20"/>
        <v>1.8308705561303287</v>
      </c>
      <c r="G35" s="1938">
        <f t="shared" si="20"/>
        <v>0.9082737318759091</v>
      </c>
      <c r="H35" s="3014">
        <v>6216.7204800000009</v>
      </c>
      <c r="I35" s="3014">
        <v>0.22201136363636362</v>
      </c>
      <c r="J35" s="3014">
        <v>0.11013727272727272</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10890.688305318037</v>
      </c>
      <c r="D38" s="3056" t="s">
        <v>97</v>
      </c>
      <c r="E38" s="1938">
        <f t="shared" si="21"/>
        <v>95</v>
      </c>
      <c r="F38" s="1938">
        <f t="shared" si="20"/>
        <v>10.47619047619048</v>
      </c>
      <c r="G38" s="1938">
        <f t="shared" si="20"/>
        <v>6.6666666666666652</v>
      </c>
      <c r="H38" s="3014">
        <v>1034.6153890052135</v>
      </c>
      <c r="I38" s="3014">
        <v>0.11409292510333185</v>
      </c>
      <c r="J38" s="3014">
        <v>7.2604588702120235E-2</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90671.599999999889</v>
      </c>
      <c r="D53" s="3056" t="s">
        <v>97</v>
      </c>
      <c r="E53" s="615"/>
      <c r="F53" s="615"/>
      <c r="G53" s="615"/>
      <c r="H53" s="3065">
        <f>IF(SUM(H54:H58)=0,"NO",SUM(H54:H58))</f>
        <v>5741.4770526762031</v>
      </c>
      <c r="I53" s="3065">
        <f t="shared" ref="I53:K53" si="28">IF(SUM(I54:I59)=0,"NO",SUM(I54:I59))</f>
        <v>6.3974759272727194E-2</v>
      </c>
      <c r="J53" s="3065">
        <f t="shared" si="28"/>
        <v>4.7297509187878735E-2</v>
      </c>
      <c r="K53" s="3048" t="str">
        <f t="shared" si="28"/>
        <v>NO</v>
      </c>
      <c r="L53" s="19"/>
    </row>
    <row r="54" spans="2:12" ht="18" customHeight="1" x14ac:dyDescent="0.2">
      <c r="B54" s="160" t="s">
        <v>243</v>
      </c>
      <c r="C54" s="3014">
        <v>80071.599999999904</v>
      </c>
      <c r="D54" s="3056" t="s">
        <v>97</v>
      </c>
      <c r="E54" s="1938">
        <f>IFERROR(H54*1000/$C54,"NA")</f>
        <v>64.89830000000002</v>
      </c>
      <c r="F54" s="1938">
        <f t="shared" ref="F54:G59" si="29">IFERROR(I54*1000000/$C54,"NA")</f>
        <v>0.66285714285714281</v>
      </c>
      <c r="G54" s="1938">
        <f t="shared" si="29"/>
        <v>0.53447619047619055</v>
      </c>
      <c r="H54" s="3014">
        <v>5196.5107182799948</v>
      </c>
      <c r="I54" s="3014">
        <v>5.3076031999999933E-2</v>
      </c>
      <c r="J54" s="3014">
        <v>4.2796363733333287E-2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10599.999999999989</v>
      </c>
      <c r="D56" s="3056" t="s">
        <v>97</v>
      </c>
      <c r="E56" s="1938">
        <f t="shared" si="30"/>
        <v>51.411918339265007</v>
      </c>
      <c r="F56" s="1938">
        <f t="shared" si="29"/>
        <v>1.0281818181818181</v>
      </c>
      <c r="G56" s="1938">
        <f t="shared" si="29"/>
        <v>0.42463636363636365</v>
      </c>
      <c r="H56" s="3014">
        <v>544.96633439620848</v>
      </c>
      <c r="I56" s="3014">
        <v>1.0898727272727261E-2</v>
      </c>
      <c r="J56" s="3014">
        <v>4.5011454545454497E-3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142083.44958762868</v>
      </c>
      <c r="D60" s="3056" t="s">
        <v>97</v>
      </c>
      <c r="E60" s="615"/>
      <c r="F60" s="615"/>
      <c r="G60" s="615"/>
      <c r="H60" s="3065">
        <f>IF(SUM(H61:H65)=0,"NO",SUM(H61:H65))</f>
        <v>8790.9179141339337</v>
      </c>
      <c r="I60" s="3065">
        <f t="shared" ref="I60:K60" si="31">IF(SUM(I61:I66)=0,"NO",SUM(I61:I66))</f>
        <v>4.5628693032294301</v>
      </c>
      <c r="J60" s="3065">
        <f t="shared" si="31"/>
        <v>0.15804323483612537</v>
      </c>
      <c r="K60" s="3048" t="str">
        <f t="shared" si="31"/>
        <v>NO</v>
      </c>
      <c r="L60" s="19"/>
    </row>
    <row r="61" spans="2:12" ht="18" customHeight="1" x14ac:dyDescent="0.2">
      <c r="B61" s="160" t="s">
        <v>243</v>
      </c>
      <c r="C61" s="3053">
        <f>IF(SUM(C69,C76,C83)=0,"NO",SUM(C69,C76,C83))</f>
        <v>14586.3</v>
      </c>
      <c r="D61" s="3056" t="s">
        <v>97</v>
      </c>
      <c r="E61" s="1938">
        <f>IFERROR(H61*1000/$C61,"NA")</f>
        <v>69.989625881820615</v>
      </c>
      <c r="F61" s="1938">
        <f t="shared" ref="F61:G66" si="32">IFERROR(I61*1000000/$C61,"NA")</f>
        <v>3.4185340813520773</v>
      </c>
      <c r="G61" s="1938">
        <f t="shared" si="32"/>
        <v>3.3003859410123417</v>
      </c>
      <c r="H61" s="3053">
        <f>IF(SUM(H69,H76,H83)=0,"NO",SUM(H69,H76,H83))</f>
        <v>1020.88968</v>
      </c>
      <c r="I61" s="3053">
        <f>IF(SUM(I69,I76,I83)=0,"NO",SUM(I69,I76,I83))</f>
        <v>4.9863763670825803E-2</v>
      </c>
      <c r="J61" s="3053">
        <f>IF(SUM(J69,J76,J83)=0,"NO",SUM(J69,J76,J83))</f>
        <v>4.8140419451388319E-2</v>
      </c>
      <c r="K61" s="3067" t="str">
        <f>IF(SUM(K69,K76,K83)=0,"NO",SUM(K69,K76,K83))</f>
        <v>NO</v>
      </c>
    </row>
    <row r="62" spans="2:12" ht="18" customHeight="1" x14ac:dyDescent="0.2">
      <c r="B62" s="160" t="s">
        <v>245</v>
      </c>
      <c r="C62" s="3053">
        <f t="shared" ref="C62:C66" si="33">IF(SUM(C70,C77,C84)=0,"NO",SUM(C70,C77,C84))</f>
        <v>35084.264858855102</v>
      </c>
      <c r="D62" s="3056" t="s">
        <v>97</v>
      </c>
      <c r="E62" s="1938">
        <f t="shared" ref="E62:E66" si="34">IFERROR(H62*1000/$C62,"NA")</f>
        <v>85.997154187731383</v>
      </c>
      <c r="F62" s="1938">
        <f t="shared" si="32"/>
        <v>0.96107353814743934</v>
      </c>
      <c r="G62" s="1938">
        <f t="shared" si="32"/>
        <v>0.79640193838478657</v>
      </c>
      <c r="H62" s="3053">
        <f t="shared" ref="H62:K66" si="35">IF(SUM(H70,H77,H84)=0,"NO",SUM(H70,H77,H84))</f>
        <v>3017.1469346301683</v>
      </c>
      <c r="I62" s="3053">
        <f t="shared" si="35"/>
        <v>3.3718558561201747E-2</v>
      </c>
      <c r="J62" s="3053">
        <f t="shared" si="35"/>
        <v>2.7941176540397454E-2</v>
      </c>
      <c r="K62" s="3067" t="str">
        <f t="shared" si="35"/>
        <v>NO</v>
      </c>
    </row>
    <row r="63" spans="2:12" ht="18" customHeight="1" x14ac:dyDescent="0.2">
      <c r="B63" s="160" t="s">
        <v>246</v>
      </c>
      <c r="C63" s="3053">
        <f t="shared" si="33"/>
        <v>92412.884728773584</v>
      </c>
      <c r="D63" s="3056" t="s">
        <v>97</v>
      </c>
      <c r="E63" s="1938">
        <f t="shared" si="34"/>
        <v>51.430937508911157</v>
      </c>
      <c r="F63" s="1938">
        <f t="shared" si="32"/>
        <v>48.470372872179539</v>
      </c>
      <c r="G63" s="1938">
        <f t="shared" si="32"/>
        <v>0.88690704856679059</v>
      </c>
      <c r="H63" s="3053">
        <f t="shared" si="35"/>
        <v>4752.8812995037642</v>
      </c>
      <c r="I63" s="3053">
        <f t="shared" si="35"/>
        <v>4.4792869809974025</v>
      </c>
      <c r="J63" s="3053">
        <f t="shared" si="35"/>
        <v>8.1961638844339615E-2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t="str">
        <f t="shared" si="33"/>
        <v>NO</v>
      </c>
      <c r="D66" s="3056" t="s">
        <v>97</v>
      </c>
      <c r="E66" s="1938" t="str">
        <f t="shared" si="34"/>
        <v>NA</v>
      </c>
      <c r="F66" s="1938" t="str">
        <f t="shared" si="32"/>
        <v>NA</v>
      </c>
      <c r="G66" s="1938" t="str">
        <f t="shared" si="32"/>
        <v>NA</v>
      </c>
      <c r="H66" s="3053" t="str">
        <f t="shared" si="35"/>
        <v>NO</v>
      </c>
      <c r="I66" s="3053" t="str">
        <f t="shared" si="35"/>
        <v>NO</v>
      </c>
      <c r="J66" s="3053" t="str">
        <f t="shared" si="35"/>
        <v>NO</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35930.564858855105</v>
      </c>
      <c r="D68" s="3056" t="s">
        <v>97</v>
      </c>
      <c r="E68" s="615"/>
      <c r="F68" s="615"/>
      <c r="G68" s="615"/>
      <c r="H68" s="3065">
        <f>IF(SUM(H69:H73)=0,"NO",SUM(H69:H73))</f>
        <v>3079.4346146301682</v>
      </c>
      <c r="I68" s="3065">
        <f t="shared" ref="I68:K68" si="36">IF(SUM(I69:I74)=0,"NO",SUM(I69:I74))</f>
        <v>3.5427278561201744E-2</v>
      </c>
      <c r="J68" s="3065">
        <f t="shared" si="36"/>
        <v>2.8378028540397456E-2</v>
      </c>
      <c r="K68" s="3048" t="str">
        <f t="shared" si="36"/>
        <v>NO</v>
      </c>
    </row>
    <row r="69" spans="2:11" ht="18" customHeight="1" x14ac:dyDescent="0.2">
      <c r="B69" s="282" t="s">
        <v>243</v>
      </c>
      <c r="C69" s="3014">
        <v>846.29999999999973</v>
      </c>
      <c r="D69" s="3055" t="s">
        <v>97</v>
      </c>
      <c r="E69" s="1938">
        <f>IFERROR(H69*1000/$C69,"NA")</f>
        <v>73.599999999999994</v>
      </c>
      <c r="F69" s="1938">
        <f t="shared" ref="F69:G74" si="37">IFERROR(I69*1000000/$C69,"NA")</f>
        <v>2.0190476190476185</v>
      </c>
      <c r="G69" s="1938">
        <f t="shared" si="37"/>
        <v>0.5161904761904762</v>
      </c>
      <c r="H69" s="3014">
        <v>62.287679999999973</v>
      </c>
      <c r="I69" s="3014">
        <v>1.7087199999999991E-3</v>
      </c>
      <c r="J69" s="3014">
        <v>4.3685199999999984E-4</v>
      </c>
      <c r="K69" s="3051" t="s">
        <v>199</v>
      </c>
    </row>
    <row r="70" spans="2:11" ht="18" customHeight="1" x14ac:dyDescent="0.2">
      <c r="B70" s="282" t="s">
        <v>245</v>
      </c>
      <c r="C70" s="3014">
        <v>35084.264858855102</v>
      </c>
      <c r="D70" s="3055" t="s">
        <v>97</v>
      </c>
      <c r="E70" s="1938">
        <f t="shared" ref="E70:E74" si="38">IFERROR(H70*1000/$C70,"NA")</f>
        <v>85.997154187731383</v>
      </c>
      <c r="F70" s="1938">
        <f t="shared" si="37"/>
        <v>0.96107353814743934</v>
      </c>
      <c r="G70" s="1938">
        <f t="shared" si="37"/>
        <v>0.79640193838478657</v>
      </c>
      <c r="H70" s="3014">
        <v>3017.1469346301683</v>
      </c>
      <c r="I70" s="3014">
        <v>3.3718558561201747E-2</v>
      </c>
      <c r="J70" s="3014">
        <v>2.7941176540397454E-2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85260</v>
      </c>
      <c r="D75" s="3056" t="s">
        <v>97</v>
      </c>
      <c r="E75" s="615"/>
      <c r="F75" s="615"/>
      <c r="G75" s="615"/>
      <c r="H75" s="3065">
        <f>IF(SUM(H76:H80)=0,"NO",SUM(H76:H80))</f>
        <v>4397.6536229343219</v>
      </c>
      <c r="I75" s="3065">
        <f t="shared" ref="I75:K75" si="39">IF(SUM(I76:I81)=0,"NO",SUM(I76:I81))</f>
        <v>4.4541499364968944</v>
      </c>
      <c r="J75" s="3065">
        <f t="shared" si="39"/>
        <v>7.6436008948532946E-2</v>
      </c>
      <c r="K75" s="3048" t="str">
        <f t="shared" si="39"/>
        <v>NO</v>
      </c>
    </row>
    <row r="76" spans="2:11" ht="18" customHeight="1" x14ac:dyDescent="0.2">
      <c r="B76" s="282" t="s">
        <v>243</v>
      </c>
      <c r="C76" s="3014">
        <v>800</v>
      </c>
      <c r="D76" s="3055" t="s">
        <v>97</v>
      </c>
      <c r="E76" s="1938">
        <f>IFERROR(H76*1000/$C76,"NA")</f>
        <v>69.253749999999997</v>
      </c>
      <c r="F76" s="1938">
        <f t="shared" ref="F76:G81" si="40">IFERROR(I76*1000000/$C76,"NA")</f>
        <v>2.559201851851852</v>
      </c>
      <c r="G76" s="1938">
        <f t="shared" si="40"/>
        <v>2.1303316402116401</v>
      </c>
      <c r="H76" s="3014">
        <v>55.402999999999999</v>
      </c>
      <c r="I76" s="3014">
        <v>2.0473614814814816E-3</v>
      </c>
      <c r="J76" s="3014">
        <v>1.7042653121693123E-3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84460</v>
      </c>
      <c r="D78" s="3055" t="s">
        <v>97</v>
      </c>
      <c r="E78" s="1938">
        <f t="shared" si="41"/>
        <v>51.411918339265</v>
      </c>
      <c r="F78" s="1938">
        <f t="shared" si="40"/>
        <v>52.712557127816865</v>
      </c>
      <c r="G78" s="1938">
        <f t="shared" si="40"/>
        <v>0.88481818181818184</v>
      </c>
      <c r="H78" s="3014">
        <v>4342.2506229343217</v>
      </c>
      <c r="I78" s="3014">
        <v>4.4521025750154131</v>
      </c>
      <c r="J78" s="3014">
        <v>7.4731743636363632E-2</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20892.884728773584</v>
      </c>
      <c r="D82" s="3056" t="s">
        <v>97</v>
      </c>
      <c r="E82" s="615"/>
      <c r="F82" s="615"/>
      <c r="G82" s="615"/>
      <c r="H82" s="3065">
        <f>IF(SUM(H83:H87)=0,"NO",SUM(H83:H87))</f>
        <v>1313.8296765694424</v>
      </c>
      <c r="I82" s="3065">
        <f t="shared" ref="I82:K82" si="42">IF(SUM(I83:I88)=0,"NO",SUM(I83:I88))</f>
        <v>7.3292088171334036E-2</v>
      </c>
      <c r="J82" s="3065">
        <f t="shared" si="42"/>
        <v>5.3229197347195001E-2</v>
      </c>
      <c r="K82" s="3048" t="str">
        <f t="shared" si="42"/>
        <v>NO</v>
      </c>
    </row>
    <row r="83" spans="2:11" ht="18" customHeight="1" x14ac:dyDescent="0.2">
      <c r="B83" s="282" t="s">
        <v>243</v>
      </c>
      <c r="C83" s="3014">
        <v>12940</v>
      </c>
      <c r="D83" s="3055" t="s">
        <v>97</v>
      </c>
      <c r="E83" s="1938">
        <f>IFERROR(H83*1000/$C83,"NA")</f>
        <v>69.798995363214843</v>
      </c>
      <c r="F83" s="1938">
        <f t="shared" ref="F83:G88" si="43">IFERROR(I83*1000000/$C83,"NA")</f>
        <v>3.5631902773836415</v>
      </c>
      <c r="G83" s="1938">
        <f t="shared" si="43"/>
        <v>3.5548146939118248</v>
      </c>
      <c r="H83" s="3014">
        <v>903.19900000000007</v>
      </c>
      <c r="I83" s="3014">
        <v>4.6107682189344322E-2</v>
      </c>
      <c r="J83" s="3014">
        <v>4.599930213921901E-2</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7952.8847287735862</v>
      </c>
      <c r="D85" s="3055" t="s">
        <v>97</v>
      </c>
      <c r="E85" s="1938">
        <f t="shared" si="44"/>
        <v>51.632921961483753</v>
      </c>
      <c r="F85" s="1938">
        <f t="shared" si="43"/>
        <v>3.418181818181818</v>
      </c>
      <c r="G85" s="1938">
        <f t="shared" si="43"/>
        <v>0.90909090909090928</v>
      </c>
      <c r="H85" s="3014">
        <v>410.63067656944241</v>
      </c>
      <c r="I85" s="3014">
        <v>2.7184405981989714E-2</v>
      </c>
      <c r="J85" s="3014">
        <v>7.2298952079759889E-3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t="s">
        <v>199</v>
      </c>
      <c r="D88" s="3063" t="s">
        <v>97</v>
      </c>
      <c r="E88" s="2891" t="str">
        <f t="shared" si="44"/>
        <v>NA</v>
      </c>
      <c r="F88" s="2891" t="str">
        <f t="shared" si="43"/>
        <v>NA</v>
      </c>
      <c r="G88" s="2891" t="str">
        <f t="shared" si="43"/>
        <v>NA</v>
      </c>
      <c r="H88" s="3021" t="s">
        <v>199</v>
      </c>
      <c r="I88" s="3021" t="s">
        <v>199</v>
      </c>
      <c r="J88" s="3021" t="s">
        <v>199</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22237838.826814614</v>
      </c>
      <c r="G10" s="4346" t="s">
        <v>205</v>
      </c>
      <c r="H10" s="4347">
        <f t="shared" ref="H10:H13" si="0">IF(SUM($F10)=0,"NA",K10*1000/$F10)</f>
        <v>2.8577725755814409E-2</v>
      </c>
      <c r="I10" s="4348">
        <f t="shared" ref="I10:I13" si="1">IF(SUM($F10)=0,"NA",L10*1000/$F10)</f>
        <v>5.9103860629785762E-4</v>
      </c>
      <c r="J10" s="4349" t="str">
        <f>IF(SUM(J11,J25,J36,J48,J59,J70,J76)=0,"IE",SUM(J11,J25,J36,J48,J59,J70,J76))</f>
        <v>IE</v>
      </c>
      <c r="K10" s="4350">
        <f>IF(SUM(K11,K25,K36,K48,K59,K70,K76)=0,"NO",SUM(K11,K25,K36,K48,K59,K70,K76))</f>
        <v>635.50685939470975</v>
      </c>
      <c r="L10" s="4351">
        <f>IF(SUM(L11,L25,L36,L48,L59,L70,L76)=0,"NO",SUM(L11,L25,L36,L48,L59,L70,L76))</f>
        <v>13.143421267276896</v>
      </c>
    </row>
    <row r="11" spans="2:13" ht="18" customHeight="1" x14ac:dyDescent="0.2">
      <c r="B11" s="934" t="s">
        <v>1662</v>
      </c>
      <c r="C11" s="4352"/>
      <c r="D11" s="4353"/>
      <c r="E11" s="2866" t="s">
        <v>1661</v>
      </c>
      <c r="F11" s="4354">
        <f>IF(SUM(F12,F19)=0,"NO",SUM(F12,F19))</f>
        <v>7492438.5024687611</v>
      </c>
      <c r="G11" s="4355" t="s">
        <v>205</v>
      </c>
      <c r="H11" s="4356">
        <f t="shared" si="0"/>
        <v>3.232842906663802E-2</v>
      </c>
      <c r="I11" s="4357">
        <f t="shared" si="1"/>
        <v>5.6891805764955415E-4</v>
      </c>
      <c r="J11" s="4358" t="str">
        <f>IF(SUM(J12,J19)=0,"IE",SUM(J12,J19))</f>
        <v>IE</v>
      </c>
      <c r="K11" s="4359">
        <f>IF(SUM(K12,K19)=0,"NO",SUM(K12,K19))</f>
        <v>242.21876666320892</v>
      </c>
      <c r="L11" s="4360">
        <f>IF(SUM(L12,L19)=0,"NO",SUM(L12,L19))</f>
        <v>4.2625835598832618</v>
      </c>
      <c r="M11" s="472"/>
    </row>
    <row r="12" spans="2:13" ht="18" customHeight="1" x14ac:dyDescent="0.2">
      <c r="B12" s="906" t="s">
        <v>1663</v>
      </c>
      <c r="C12" s="4361"/>
      <c r="D12" s="4362"/>
      <c r="E12" s="4363" t="s">
        <v>1661</v>
      </c>
      <c r="F12" s="4364">
        <f>IF(SUM(F13,F17)=0,"NO",SUM(F13,F17))</f>
        <v>7483829.375639041</v>
      </c>
      <c r="G12" s="4365" t="str">
        <f>IFERROR(IF(SUM($F12)=0,"NA",J12*1000/$F12),"NA")</f>
        <v>NA</v>
      </c>
      <c r="H12" s="4366">
        <f t="shared" si="0"/>
        <v>3.2297188705812517E-2</v>
      </c>
      <c r="I12" s="4367">
        <f t="shared" si="1"/>
        <v>5.6850482738321235E-4</v>
      </c>
      <c r="J12" s="4170" t="str">
        <f>IF(SUM(J13,J17)=0,"IE",SUM(J13,J17))</f>
        <v>IE</v>
      </c>
      <c r="K12" s="3057">
        <f>IF(SUM(K13,K17)=0,"NO",SUM(K13,K17))</f>
        <v>241.7066495871172</v>
      </c>
      <c r="L12" s="3106">
        <f>IF(SUM(L13,L17)=0,"NO",SUM(L13,L17))</f>
        <v>4.254593127363087</v>
      </c>
    </row>
    <row r="13" spans="2:13" ht="18" customHeight="1" x14ac:dyDescent="0.2">
      <c r="B13" s="926" t="s">
        <v>1664</v>
      </c>
      <c r="C13" s="4361"/>
      <c r="D13" s="4362"/>
      <c r="E13" s="4363" t="s">
        <v>1661</v>
      </c>
      <c r="F13" s="4368">
        <f>IF(SUM(F14:F16)=0,"NO",SUM(F14:F16))</f>
        <v>6994063.2655795086</v>
      </c>
      <c r="G13" s="4369" t="str">
        <f t="shared" ref="G13:G76" si="2">IFERROR(IF(SUM($F13)=0,"NA",J13*1000/$F13),"NA")</f>
        <v>NA</v>
      </c>
      <c r="H13" s="4370">
        <f t="shared" si="0"/>
        <v>2.8779731902827746E-2</v>
      </c>
      <c r="I13" s="4371">
        <f t="shared" si="1"/>
        <v>5.5529039448197427E-4</v>
      </c>
      <c r="J13" s="4170" t="str">
        <f>IF(SUM(J14:J16)=0,"IE",SUM(J14:J16))</f>
        <v>IE</v>
      </c>
      <c r="K13" s="4170">
        <f>IF(SUM(K14:K16)=0,"NO",SUM(K14:K16))</f>
        <v>201.2872656947942</v>
      </c>
      <c r="L13" s="4372">
        <f>IF(SUM(L14:L16)=0,"NO",SUM(L14:L16))</f>
        <v>3.8837361497755305</v>
      </c>
      <c r="M13" s="472"/>
    </row>
    <row r="14" spans="2:13" ht="18" customHeight="1" x14ac:dyDescent="0.2">
      <c r="B14" s="926"/>
      <c r="C14" s="2864" t="s">
        <v>1665</v>
      </c>
      <c r="D14" s="4373" t="s">
        <v>1219</v>
      </c>
      <c r="E14" s="4374" t="s">
        <v>1661</v>
      </c>
      <c r="F14" s="4375">
        <v>454040.34102673456</v>
      </c>
      <c r="G14" s="4369" t="str">
        <f t="shared" si="2"/>
        <v>NA</v>
      </c>
      <c r="H14" s="4370">
        <f>IF(SUM($F14)=0,"NA",K14*1000/$F14)</f>
        <v>9.7904488450663213E-2</v>
      </c>
      <c r="I14" s="4371">
        <f>IF(SUM($F14)=0,"NA",L14*1000/$F14)</f>
        <v>1.0311700504857702E-3</v>
      </c>
      <c r="J14" s="4376" t="s">
        <v>274</v>
      </c>
      <c r="K14" s="4377">
        <v>44.452587324187121</v>
      </c>
      <c r="L14" s="4378">
        <v>0.46819280137911412</v>
      </c>
      <c r="M14" s="472"/>
    </row>
    <row r="15" spans="2:13" ht="18" customHeight="1" x14ac:dyDescent="0.2">
      <c r="B15" s="926"/>
      <c r="C15" s="2864" t="s">
        <v>1666</v>
      </c>
      <c r="D15" s="4373" t="s">
        <v>1219</v>
      </c>
      <c r="E15" s="4379" t="s">
        <v>1661</v>
      </c>
      <c r="F15" s="4380">
        <v>10177.299929823837</v>
      </c>
      <c r="G15" s="4369" t="str">
        <f t="shared" si="2"/>
        <v>NA</v>
      </c>
      <c r="H15" s="4370">
        <f t="shared" ref="H15:H77" si="3">IF(SUM($F15)=0,"NA",K15*1000/$F15)</f>
        <v>1.7106300670032648</v>
      </c>
      <c r="I15" s="4371">
        <f t="shared" ref="I15:I77" si="4">IF(SUM($F15)=0,"NA",L15*1000/$F15)</f>
        <v>3.16228974886298E-2</v>
      </c>
      <c r="J15" s="4376" t="s">
        <v>274</v>
      </c>
      <c r="K15" s="4377">
        <v>17.409595260866872</v>
      </c>
      <c r="L15" s="4381">
        <v>0.32183571239185849</v>
      </c>
      <c r="M15" s="472"/>
    </row>
    <row r="16" spans="2:13" ht="18" customHeight="1" x14ac:dyDescent="0.2">
      <c r="B16" s="926"/>
      <c r="C16" s="2864" t="s">
        <v>1342</v>
      </c>
      <c r="D16" s="4373" t="s">
        <v>1219</v>
      </c>
      <c r="E16" s="4379" t="s">
        <v>1661</v>
      </c>
      <c r="F16" s="4380">
        <v>6529845.6246229503</v>
      </c>
      <c r="G16" s="4369" t="str">
        <f t="shared" si="2"/>
        <v>NA</v>
      </c>
      <c r="H16" s="4370">
        <f t="shared" si="3"/>
        <v>2.1351972332085713E-2</v>
      </c>
      <c r="I16" s="4371">
        <f t="shared" si="4"/>
        <v>4.7377959814834007E-4</v>
      </c>
      <c r="J16" s="4376" t="s">
        <v>274</v>
      </c>
      <c r="K16" s="4377">
        <v>139.4250831097402</v>
      </c>
      <c r="L16" s="4381">
        <v>3.0937076360045581</v>
      </c>
      <c r="M16" s="472"/>
    </row>
    <row r="17" spans="2:13" ht="18" customHeight="1" x14ac:dyDescent="0.2">
      <c r="B17" s="926" t="s">
        <v>1667</v>
      </c>
      <c r="C17" s="4361"/>
      <c r="D17" s="4362"/>
      <c r="E17" s="4382" t="s">
        <v>1661</v>
      </c>
      <c r="F17" s="4368">
        <f>F18</f>
        <v>489766.11005953205</v>
      </c>
      <c r="G17" s="4369" t="str">
        <f t="shared" si="2"/>
        <v>NA</v>
      </c>
      <c r="H17" s="4370">
        <f t="shared" si="3"/>
        <v>8.2527931316868669E-2</v>
      </c>
      <c r="I17" s="4371">
        <f t="shared" si="4"/>
        <v>7.5721241215011346E-4</v>
      </c>
      <c r="J17" s="4170" t="str">
        <f>J18</f>
        <v>IE</v>
      </c>
      <c r="K17" s="4170">
        <f>K18</f>
        <v>40.419383892322998</v>
      </c>
      <c r="L17" s="4372">
        <f>L18</f>
        <v>0.37085697758755626</v>
      </c>
      <c r="M17" s="472"/>
    </row>
    <row r="18" spans="2:13" ht="18" customHeight="1" x14ac:dyDescent="0.2">
      <c r="B18" s="926"/>
      <c r="C18" s="2864" t="s">
        <v>1668</v>
      </c>
      <c r="D18" s="4373" t="s">
        <v>1219</v>
      </c>
      <c r="E18" s="4379" t="s">
        <v>1661</v>
      </c>
      <c r="F18" s="4375">
        <v>489766.11005953205</v>
      </c>
      <c r="G18" s="4369" t="str">
        <f t="shared" si="2"/>
        <v>NA</v>
      </c>
      <c r="H18" s="4370">
        <f t="shared" si="3"/>
        <v>8.2527931316868669E-2</v>
      </c>
      <c r="I18" s="4371">
        <f t="shared" si="4"/>
        <v>7.5721241215011346E-4</v>
      </c>
      <c r="J18" s="4376" t="s">
        <v>274</v>
      </c>
      <c r="K18" s="4377">
        <v>40.419383892322998</v>
      </c>
      <c r="L18" s="4378">
        <v>0.37085697758755626</v>
      </c>
      <c r="M18" s="472"/>
    </row>
    <row r="19" spans="2:13" ht="18" customHeight="1" x14ac:dyDescent="0.2">
      <c r="B19" s="906" t="s">
        <v>1669</v>
      </c>
      <c r="C19" s="4361"/>
      <c r="D19" s="4362"/>
      <c r="E19" s="4382" t="s">
        <v>1661</v>
      </c>
      <c r="F19" s="4383">
        <f>IF(SUM(F20,F23)=0,"NO",SUM(F20,F23))</f>
        <v>8609.1268297201532</v>
      </c>
      <c r="G19" s="4365" t="s">
        <v>205</v>
      </c>
      <c r="H19" s="4366">
        <f t="shared" si="3"/>
        <v>5.9485367821951164E-2</v>
      </c>
      <c r="I19" s="4367">
        <f t="shared" si="4"/>
        <v>9.2813506854033548E-4</v>
      </c>
      <c r="J19" s="4170" t="str">
        <f>IF(SUM(J20,J23)=0,"IE",SUM(J20,J23))</f>
        <v>IE</v>
      </c>
      <c r="K19" s="3057">
        <f>IF(SUM(K20,K23)=0,"NO",SUM(K20,K23))</f>
        <v>0.51211707609173163</v>
      </c>
      <c r="L19" s="3106">
        <f>IF(SUM(L20,L23)=0,"NO",SUM(L20,L23))</f>
        <v>7.9904325201747561E-3</v>
      </c>
    </row>
    <row r="20" spans="2:13" ht="18" customHeight="1" x14ac:dyDescent="0.2">
      <c r="B20" s="926" t="s">
        <v>1670</v>
      </c>
      <c r="C20" s="4361"/>
      <c r="D20" s="4362"/>
      <c r="E20" s="4382" t="s">
        <v>1661</v>
      </c>
      <c r="F20" s="4368">
        <f>IF(SUM(F21:F22)=0,"NO",SUM(F21:F22))</f>
        <v>7727.5698185388837</v>
      </c>
      <c r="G20" s="4369" t="str">
        <f t="shared" si="2"/>
        <v>NA</v>
      </c>
      <c r="H20" s="4370">
        <f t="shared" si="3"/>
        <v>3.9137134589470261E-2</v>
      </c>
      <c r="I20" s="4371">
        <f t="shared" si="4"/>
        <v>7.7362138660120499E-4</v>
      </c>
      <c r="J20" s="4170" t="str">
        <f>IF(SUM(J21:J22)=0,"IE",SUM(J21:J22))</f>
        <v>IE</v>
      </c>
      <c r="K20" s="4170">
        <f>IF(SUM(K21:K22)=0,"NO",SUM(K21:K22))</f>
        <v>0.30243494003768456</v>
      </c>
      <c r="L20" s="4372">
        <f>IF(SUM(L21:L22)=0,"NO",SUM(L21:L22))</f>
        <v>5.9782132780756732E-3</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0.17412827180017706</v>
      </c>
      <c r="L21" s="4378">
        <v>3.2189545800838291E-3</v>
      </c>
      <c r="M21" s="472"/>
    </row>
    <row r="22" spans="2:13" ht="18" customHeight="1" x14ac:dyDescent="0.2">
      <c r="B22" s="926"/>
      <c r="C22" s="2864" t="s">
        <v>1342</v>
      </c>
      <c r="D22" s="4373" t="s">
        <v>1219</v>
      </c>
      <c r="E22" s="4379" t="s">
        <v>1661</v>
      </c>
      <c r="F22" s="4380">
        <v>7727.5698185388837</v>
      </c>
      <c r="G22" s="4369" t="str">
        <f t="shared" si="2"/>
        <v>NA</v>
      </c>
      <c r="H22" s="4370">
        <f t="shared" si="3"/>
        <v>1.6603753993874301E-2</v>
      </c>
      <c r="I22" s="4371">
        <f t="shared" si="4"/>
        <v>3.5706680920206301E-4</v>
      </c>
      <c r="J22" s="4376" t="s">
        <v>274</v>
      </c>
      <c r="K22" s="4377">
        <v>0.1283066682375075</v>
      </c>
      <c r="L22" s="4381">
        <v>2.7592586979918441E-3</v>
      </c>
      <c r="M22" s="472"/>
    </row>
    <row r="23" spans="2:13" ht="18" customHeight="1" x14ac:dyDescent="0.2">
      <c r="B23" s="926" t="s">
        <v>1671</v>
      </c>
      <c r="C23" s="4361"/>
      <c r="D23" s="4362"/>
      <c r="E23" s="4382" t="s">
        <v>1661</v>
      </c>
      <c r="F23" s="4368">
        <f>F24</f>
        <v>881.55701118126854</v>
      </c>
      <c r="G23" s="4369" t="str">
        <f t="shared" si="2"/>
        <v>NA</v>
      </c>
      <c r="H23" s="4370">
        <f t="shared" si="3"/>
        <v>0.23785431162651327</v>
      </c>
      <c r="I23" s="4371">
        <f t="shared" si="4"/>
        <v>2.2825741461720661E-3</v>
      </c>
      <c r="J23" s="4170" t="str">
        <f>J24</f>
        <v>IE</v>
      </c>
      <c r="K23" s="4170">
        <f>K24</f>
        <v>0.20968213605404706</v>
      </c>
      <c r="L23" s="4372">
        <f>L24</f>
        <v>2.0122192420990825E-3</v>
      </c>
      <c r="M23" s="472"/>
    </row>
    <row r="24" spans="2:13" ht="18" customHeight="1" thickBot="1" x14ac:dyDescent="0.25">
      <c r="B24" s="936"/>
      <c r="C24" s="2865" t="s">
        <v>1672</v>
      </c>
      <c r="D24" s="4384" t="s">
        <v>1219</v>
      </c>
      <c r="E24" s="4385" t="s">
        <v>1661</v>
      </c>
      <c r="F24" s="4386">
        <v>881.55701118126854</v>
      </c>
      <c r="G24" s="4387" t="str">
        <f t="shared" si="2"/>
        <v>NA</v>
      </c>
      <c r="H24" s="4388">
        <f t="shared" si="3"/>
        <v>0.23785431162651327</v>
      </c>
      <c r="I24" s="4389">
        <f t="shared" si="4"/>
        <v>2.2825741461720661E-3</v>
      </c>
      <c r="J24" s="4390" t="s">
        <v>274</v>
      </c>
      <c r="K24" s="4391">
        <v>0.20968213605404706</v>
      </c>
      <c r="L24" s="4392">
        <v>2.0122192420990825E-3</v>
      </c>
      <c r="M24" s="472"/>
    </row>
    <row r="25" spans="2:13" ht="18" customHeight="1" x14ac:dyDescent="0.2">
      <c r="B25" s="934" t="s">
        <v>1673</v>
      </c>
      <c r="C25" s="4352"/>
      <c r="D25" s="4353"/>
      <c r="E25" s="4393" t="s">
        <v>1661</v>
      </c>
      <c r="F25" s="4394">
        <f>IF(SUM(F26,F31)=0,"IE",SUM(F26,F31))</f>
        <v>67991.992306443659</v>
      </c>
      <c r="G25" s="4355" t="str">
        <f t="shared" si="2"/>
        <v>NA</v>
      </c>
      <c r="H25" s="4356">
        <f t="shared" si="3"/>
        <v>0.31130933968228869</v>
      </c>
      <c r="I25" s="4357">
        <f t="shared" si="4"/>
        <v>5.7548990432934209E-3</v>
      </c>
      <c r="J25" s="4358" t="str">
        <f>IF(SUM(J26,J31)=0,"IE",SUM(J26,J31))</f>
        <v>IE</v>
      </c>
      <c r="K25" s="4359">
        <f>IF(SUM(K26,K31)=0,"IE",SUM(K26,K31))</f>
        <v>21.166542228602228</v>
      </c>
      <c r="L25" s="4360">
        <f>IF(SUM(L26,L31)=0,"IE",SUM(L26,L31))</f>
        <v>0.39128705147596621</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67991.992306443659</v>
      </c>
      <c r="G31" s="4365" t="str">
        <f t="shared" si="2"/>
        <v>NA</v>
      </c>
      <c r="H31" s="4366">
        <f t="shared" si="3"/>
        <v>0.31130933968228869</v>
      </c>
      <c r="I31" s="4367">
        <f t="shared" si="4"/>
        <v>5.7548990432934209E-3</v>
      </c>
      <c r="J31" s="4170" t="str">
        <f>IF(SUM(J32,J34)=0,"IE",SUM(J32,J34))</f>
        <v>IE</v>
      </c>
      <c r="K31" s="4170">
        <f t="shared" ref="K31:L31" si="6">IF(SUM(K32,K34)=0,"IE",SUM(K32,K34))</f>
        <v>21.166542228602228</v>
      </c>
      <c r="L31" s="4372">
        <f t="shared" si="6"/>
        <v>0.39128705147596621</v>
      </c>
    </row>
    <row r="32" spans="2:13" ht="18" customHeight="1" x14ac:dyDescent="0.2">
      <c r="B32" s="926" t="s">
        <v>1678</v>
      </c>
      <c r="C32" s="4361"/>
      <c r="D32" s="4362"/>
      <c r="E32" s="4382" t="s">
        <v>1661</v>
      </c>
      <c r="F32" s="4368">
        <f>F33</f>
        <v>67991.992306443659</v>
      </c>
      <c r="G32" s="4365" t="str">
        <f t="shared" si="2"/>
        <v>NA</v>
      </c>
      <c r="H32" s="4366">
        <f t="shared" si="3"/>
        <v>0.31130933968228869</v>
      </c>
      <c r="I32" s="4367">
        <f t="shared" si="4"/>
        <v>5.7548990432934209E-3</v>
      </c>
      <c r="J32" s="4170" t="str">
        <f>J33</f>
        <v>IE</v>
      </c>
      <c r="K32" s="4170">
        <f>K33</f>
        <v>21.166542228602228</v>
      </c>
      <c r="L32" s="4372">
        <f>L33</f>
        <v>0.39128705147596621</v>
      </c>
      <c r="M32" s="472"/>
    </row>
    <row r="33" spans="2:13" ht="18" customHeight="1" x14ac:dyDescent="0.2">
      <c r="B33" s="926"/>
      <c r="C33" s="2864" t="s">
        <v>1679</v>
      </c>
      <c r="D33" s="4373" t="s">
        <v>1219</v>
      </c>
      <c r="E33" s="4379" t="s">
        <v>1661</v>
      </c>
      <c r="F33" s="4375">
        <v>67991.992306443659</v>
      </c>
      <c r="G33" s="4369" t="str">
        <f t="shared" si="2"/>
        <v>NA</v>
      </c>
      <c r="H33" s="4370">
        <f t="shared" si="3"/>
        <v>0.31130933968228869</v>
      </c>
      <c r="I33" s="4371">
        <f t="shared" si="4"/>
        <v>5.7548990432934209E-3</v>
      </c>
      <c r="J33" s="4376" t="s">
        <v>274</v>
      </c>
      <c r="K33" s="4377">
        <v>21.166542228602228</v>
      </c>
      <c r="L33" s="4378">
        <v>0.39128705147596621</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13985188.575134262</v>
      </c>
      <c r="G36" s="4355" t="str">
        <f t="shared" si="2"/>
        <v>NA</v>
      </c>
      <c r="H36" s="4356">
        <f t="shared" ref="H36" si="7">IF(SUM($F36)=0,"NA",K36*1000/$F36)</f>
        <v>2.5352178321376154E-2</v>
      </c>
      <c r="I36" s="4357">
        <f t="shared" ref="I36" si="8">IF(SUM($F36)=0,"NA",L36*1000/$F36)</f>
        <v>5.7999635041568046E-4</v>
      </c>
      <c r="J36" s="4358" t="str">
        <f>IF(SUM(J37,J42)=0,"IE",SUM(J37,J42))</f>
        <v>IE</v>
      </c>
      <c r="K36" s="4359">
        <f>IF(SUM(K37,K42)=0,"NO",SUM(K37,K42))</f>
        <v>354.55499461487636</v>
      </c>
      <c r="L36" s="4360">
        <f>IF(SUM(L37,L42)=0,"NO",SUM(L37,L42))</f>
        <v>8.1113583334529427</v>
      </c>
      <c r="M36" s="472"/>
    </row>
    <row r="37" spans="2:13" ht="18" customHeight="1" x14ac:dyDescent="0.2">
      <c r="B37" s="906" t="s">
        <v>1682</v>
      </c>
      <c r="C37" s="4361"/>
      <c r="D37" s="4362"/>
      <c r="E37" s="4382" t="s">
        <v>1661</v>
      </c>
      <c r="F37" s="4364">
        <f>IF(SUM(F38,F40)=0,"NO",SUM(F38,F40))</f>
        <v>13197045.597874045</v>
      </c>
      <c r="G37" s="4369" t="str">
        <f t="shared" si="2"/>
        <v>NA</v>
      </c>
      <c r="H37" s="4366">
        <f t="shared" si="3"/>
        <v>1.3013771302086289E-2</v>
      </c>
      <c r="I37" s="4367">
        <f t="shared" si="4"/>
        <v>3.5818034178295441E-4</v>
      </c>
      <c r="J37" s="4170" t="str">
        <f>IF(SUM(J38,J40)=0,"IE",SUM(J38,J40))</f>
        <v>IE</v>
      </c>
      <c r="K37" s="3057">
        <f>IF(SUM(K38,K40)=0,"NO",SUM(K38,K40))</f>
        <v>171.74333327393742</v>
      </c>
      <c r="L37" s="3106">
        <f>IF(SUM(L38,L40)=0,"NO",SUM(L38,L40))</f>
        <v>4.7269223027717597</v>
      </c>
    </row>
    <row r="38" spans="2:13" ht="18" customHeight="1" x14ac:dyDescent="0.2">
      <c r="B38" s="926" t="s">
        <v>1683</v>
      </c>
      <c r="C38" s="4361"/>
      <c r="D38" s="4362"/>
      <c r="E38" s="4382" t="s">
        <v>1661</v>
      </c>
      <c r="F38" s="4368">
        <f>F39</f>
        <v>13197045.597874045</v>
      </c>
      <c r="G38" s="4369" t="str">
        <f t="shared" si="2"/>
        <v>NA</v>
      </c>
      <c r="H38" s="4370">
        <f t="shared" si="3"/>
        <v>1.3013771302086289E-2</v>
      </c>
      <c r="I38" s="4371">
        <f t="shared" si="4"/>
        <v>3.5818034178295441E-4</v>
      </c>
      <c r="J38" s="4170" t="str">
        <f>J39</f>
        <v>IE</v>
      </c>
      <c r="K38" s="4170">
        <f>K39</f>
        <v>171.74333327393742</v>
      </c>
      <c r="L38" s="4372">
        <f>L39</f>
        <v>4.7269223027717597</v>
      </c>
      <c r="M38" s="472"/>
    </row>
    <row r="39" spans="2:13" ht="18" customHeight="1" x14ac:dyDescent="0.2">
      <c r="B39" s="926"/>
      <c r="C39" s="2864" t="s">
        <v>1342</v>
      </c>
      <c r="D39" s="4373" t="s">
        <v>1219</v>
      </c>
      <c r="E39" s="4379" t="s">
        <v>1661</v>
      </c>
      <c r="F39" s="4380">
        <v>13197045.597874045</v>
      </c>
      <c r="G39" s="4369" t="str">
        <f t="shared" si="2"/>
        <v>NA</v>
      </c>
      <c r="H39" s="4370">
        <f t="shared" ref="H39:H40" si="9">IF(SUM($F39)=0,"NA",K39*1000/$F39)</f>
        <v>1.3013771302086289E-2</v>
      </c>
      <c r="I39" s="4371">
        <f t="shared" ref="I39:I40" si="10">IF(SUM($F39)=0,"NA",L39*1000/$F39)</f>
        <v>3.5818034178295441E-4</v>
      </c>
      <c r="J39" s="4376" t="s">
        <v>274</v>
      </c>
      <c r="K39" s="4377">
        <v>171.74333327393742</v>
      </c>
      <c r="L39" s="4381">
        <v>4.7269223027717597</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788142.97726021614</v>
      </c>
      <c r="G42" s="4365" t="str">
        <f t="shared" si="2"/>
        <v>NA</v>
      </c>
      <c r="H42" s="4366">
        <f t="shared" si="11"/>
        <v>0.23195240789487004</v>
      </c>
      <c r="I42" s="4367">
        <f t="shared" si="12"/>
        <v>4.2941904303281826E-3</v>
      </c>
      <c r="J42" s="4170" t="str">
        <f>IF(SUM(J43,J46)=0,"IE",SUM(J43,J46))</f>
        <v>IE</v>
      </c>
      <c r="K42" s="3057">
        <f>IF(SUM(K43,K46)=0,"NO",SUM(K43,K46))</f>
        <v>182.81166134093894</v>
      </c>
      <c r="L42" s="3106">
        <f>IF(SUM(L43,L46)=0,"NO",SUM(L43,L46))</f>
        <v>3.3844360306811829</v>
      </c>
    </row>
    <row r="43" spans="2:13" ht="18" customHeight="1" x14ac:dyDescent="0.2">
      <c r="B43" s="926" t="s">
        <v>1686</v>
      </c>
      <c r="C43" s="4361"/>
      <c r="D43" s="4362"/>
      <c r="E43" s="4382" t="s">
        <v>1661</v>
      </c>
      <c r="F43" s="4368">
        <f>IF(SUM(F44:F45)=0,"NO",SUM(F44:F45))</f>
        <v>788142.97726021614</v>
      </c>
      <c r="G43" s="4369" t="str">
        <f t="shared" si="2"/>
        <v>NA</v>
      </c>
      <c r="H43" s="4370">
        <f t="shared" ref="H43" si="13">IF(SUM($F43)=0,"NA",K43*1000/$F43)</f>
        <v>0.23195240789487004</v>
      </c>
      <c r="I43" s="4371">
        <f t="shared" ref="I43" si="14">IF(SUM($F43)=0,"NA",L43*1000/$F43)</f>
        <v>4.2941904303281826E-3</v>
      </c>
      <c r="J43" s="4170" t="str">
        <f>IF(SUM(J44:J45)=0,"IE",SUM(J44:J45))</f>
        <v>IE</v>
      </c>
      <c r="K43" s="4170">
        <f>IF(SUM(K44:K45)=0,"NO",SUM(K44:K45))</f>
        <v>182.81166134093894</v>
      </c>
      <c r="L43" s="4372">
        <f>IF(SUM(L44:L45)=0,"NO",SUM(L44:L45))</f>
        <v>3.3844360306811829</v>
      </c>
      <c r="M43" s="472"/>
    </row>
    <row r="44" spans="2:13" ht="18" customHeight="1" x14ac:dyDescent="0.2">
      <c r="B44" s="926"/>
      <c r="C44" s="2864" t="s">
        <v>1679</v>
      </c>
      <c r="D44" s="4373" t="s">
        <v>1219</v>
      </c>
      <c r="E44" s="4379" t="s">
        <v>1661</v>
      </c>
      <c r="F44" s="4380">
        <v>737562.70150911401</v>
      </c>
      <c r="G44" s="4369" t="str">
        <f t="shared" si="2"/>
        <v>NA</v>
      </c>
      <c r="H44" s="4370">
        <f t="shared" ref="H44:H46" si="15">IF(SUM($F44)=0,"NA",K44*1000/$F44)</f>
        <v>0.24659594306560784</v>
      </c>
      <c r="I44" s="4371">
        <f t="shared" ref="I44:I46" si="16">IF(SUM($F44)=0,"NA",L44*1000/$F44)</f>
        <v>4.558600003060056E-3</v>
      </c>
      <c r="J44" s="4376" t="s">
        <v>274</v>
      </c>
      <c r="K44" s="4377">
        <v>181.87996994865739</v>
      </c>
      <c r="L44" s="4381">
        <v>3.3622533333564304</v>
      </c>
      <c r="M44" s="472"/>
    </row>
    <row r="45" spans="2:13" ht="18" customHeight="1" x14ac:dyDescent="0.2">
      <c r="B45" s="926"/>
      <c r="C45" s="2864" t="s">
        <v>1342</v>
      </c>
      <c r="D45" s="4373" t="s">
        <v>1219</v>
      </c>
      <c r="E45" s="4379" t="s">
        <v>1661</v>
      </c>
      <c r="F45" s="4380">
        <v>50580.275751102083</v>
      </c>
      <c r="G45" s="4369" t="str">
        <f t="shared" si="2"/>
        <v>NA</v>
      </c>
      <c r="H45" s="4370">
        <f t="shared" si="15"/>
        <v>1.8420053636446315E-2</v>
      </c>
      <c r="I45" s="4371">
        <f t="shared" si="16"/>
        <v>4.3856418327789304E-4</v>
      </c>
      <c r="J45" s="4376" t="s">
        <v>274</v>
      </c>
      <c r="K45" s="4377">
        <v>0.93169139228154529</v>
      </c>
      <c r="L45" s="4381">
        <v>2.2182697324752702E-2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670956.28941818955</v>
      </c>
      <c r="G48" s="4355" t="str">
        <f t="shared" si="2"/>
        <v>NA</v>
      </c>
      <c r="H48" s="4356">
        <f t="shared" si="17"/>
        <v>1.7748439012515795E-2</v>
      </c>
      <c r="I48" s="4357">
        <f t="shared" si="18"/>
        <v>4.0776951264868467E-4</v>
      </c>
      <c r="J48" s="4358" t="str">
        <f>IF(SUM(J49,J54)=0,"IE",SUM(J49,J54))</f>
        <v>IE</v>
      </c>
      <c r="K48" s="4359">
        <f>IF(SUM(K49,K54)=0,"NO",SUM(K49,K54))</f>
        <v>11.908426782802636</v>
      </c>
      <c r="L48" s="4360">
        <f>IF(SUM(L49,L54)=0,"NO",SUM(L49,L54))</f>
        <v>0.27359551914462499</v>
      </c>
      <c r="M48" s="472"/>
    </row>
    <row r="49" spans="2:13" ht="18" customHeight="1" x14ac:dyDescent="0.2">
      <c r="B49" s="906" t="s">
        <v>1689</v>
      </c>
      <c r="C49" s="4361"/>
      <c r="D49" s="4362"/>
      <c r="E49" s="4382" t="s">
        <v>1661</v>
      </c>
      <c r="F49" s="4364">
        <f>IF(SUM(F50,F52)=0,"NO",SUM(F50,F52))</f>
        <v>670956.28941818955</v>
      </c>
      <c r="G49" s="4365" t="str">
        <f t="shared" si="2"/>
        <v>NA</v>
      </c>
      <c r="H49" s="4366">
        <f t="shared" si="17"/>
        <v>1.7748439012515795E-2</v>
      </c>
      <c r="I49" s="4367">
        <f t="shared" si="18"/>
        <v>4.0776951264868467E-4</v>
      </c>
      <c r="J49" s="4170" t="str">
        <f>IF(SUM(J50,J52)=0,"IE",SUM(J50,J52))</f>
        <v>IE</v>
      </c>
      <c r="K49" s="3057">
        <f>IF(SUM(K50,K52)=0,"NO",SUM(K50,K52))</f>
        <v>11.908426782802636</v>
      </c>
      <c r="L49" s="3106">
        <f>IF(SUM(L50,L52)=0,"NO",SUM(L50,L52))</f>
        <v>0.27359551914462499</v>
      </c>
    </row>
    <row r="50" spans="2:13" ht="18" customHeight="1" x14ac:dyDescent="0.2">
      <c r="B50" s="926" t="s">
        <v>1690</v>
      </c>
      <c r="C50" s="4361"/>
      <c r="D50" s="4362"/>
      <c r="E50" s="4382" t="s">
        <v>1661</v>
      </c>
      <c r="F50" s="4368">
        <f>F51</f>
        <v>670956.28941818955</v>
      </c>
      <c r="G50" s="4369" t="str">
        <f t="shared" si="2"/>
        <v>NA</v>
      </c>
      <c r="H50" s="4370">
        <f t="shared" si="17"/>
        <v>1.7748439012515795E-2</v>
      </c>
      <c r="I50" s="4371">
        <f t="shared" si="18"/>
        <v>4.0776951264868467E-4</v>
      </c>
      <c r="J50" s="4170" t="str">
        <f>J51</f>
        <v>IE</v>
      </c>
      <c r="K50" s="4170">
        <f>K51</f>
        <v>11.908426782802636</v>
      </c>
      <c r="L50" s="4372">
        <f>L51</f>
        <v>0.27359551914462499</v>
      </c>
      <c r="M50" s="472"/>
    </row>
    <row r="51" spans="2:13" ht="18" customHeight="1" x14ac:dyDescent="0.2">
      <c r="B51" s="926"/>
      <c r="C51" s="2864" t="s">
        <v>1342</v>
      </c>
      <c r="D51" s="4373" t="s">
        <v>1219</v>
      </c>
      <c r="E51" s="4379" t="s">
        <v>1661</v>
      </c>
      <c r="F51" s="4380">
        <v>670956.28941818955</v>
      </c>
      <c r="G51" s="4369" t="str">
        <f t="shared" si="2"/>
        <v>NA</v>
      </c>
      <c r="H51" s="4370">
        <f t="shared" si="17"/>
        <v>1.7748439012515795E-2</v>
      </c>
      <c r="I51" s="4371">
        <f t="shared" si="18"/>
        <v>4.0776951264868467E-4</v>
      </c>
      <c r="J51" s="4376" t="s">
        <v>274</v>
      </c>
      <c r="K51" s="4377">
        <v>11.908426782802636</v>
      </c>
      <c r="L51" s="4381">
        <v>0.27359551914462499</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21263.467486956939</v>
      </c>
      <c r="G59" s="4355" t="str">
        <f t="shared" si="2"/>
        <v>NA</v>
      </c>
      <c r="H59" s="4356">
        <f t="shared" si="3"/>
        <v>0.2660962568165478</v>
      </c>
      <c r="I59" s="4357">
        <f t="shared" si="4"/>
        <v>4.9190849697614602E-3</v>
      </c>
      <c r="J59" s="4358" t="str">
        <f>IF(SUM(J60,J65)=0,"IE",SUM(J60,J65))</f>
        <v>IE</v>
      </c>
      <c r="K59" s="4359">
        <f>IF(SUM(K60,K65)=0,"NO",SUM(K60,K65))</f>
        <v>5.6581291052196079</v>
      </c>
      <c r="L59" s="4360">
        <f>IF(SUM(L60,L65)=0,"NO",SUM(L60,L65))</f>
        <v>0.10459680332010136</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21263.467486956939</v>
      </c>
      <c r="G65" s="4365" t="str">
        <f t="shared" si="2"/>
        <v>NA</v>
      </c>
      <c r="H65" s="4366">
        <f t="shared" si="3"/>
        <v>0.2660962568165478</v>
      </c>
      <c r="I65" s="4367">
        <f t="shared" si="4"/>
        <v>4.9190849697614602E-3</v>
      </c>
      <c r="J65" s="4170" t="str">
        <f>IF(SUM(J66,J68)=0,"IE",SUM(J66,J68))</f>
        <v>IE</v>
      </c>
      <c r="K65" s="3057">
        <f>IF(SUM(K66,K68)=0,"NO",SUM(K66,K68))</f>
        <v>5.6581291052196079</v>
      </c>
      <c r="L65" s="3106">
        <f>IF(SUM(L66,L68)=0,"NO",SUM(L66,L68))</f>
        <v>0.10459680332010136</v>
      </c>
    </row>
    <row r="66" spans="2:13" ht="18" customHeight="1" x14ac:dyDescent="0.2">
      <c r="B66" s="926" t="s">
        <v>1700</v>
      </c>
      <c r="C66" s="4361"/>
      <c r="D66" s="4362"/>
      <c r="E66" s="4382" t="s">
        <v>1661</v>
      </c>
      <c r="F66" s="4368">
        <f>F67</f>
        <v>21263.467486956939</v>
      </c>
      <c r="G66" s="4369" t="str">
        <f t="shared" si="2"/>
        <v>NA</v>
      </c>
      <c r="H66" s="4370">
        <f t="shared" si="3"/>
        <v>0.2660962568165478</v>
      </c>
      <c r="I66" s="4371">
        <f t="shared" si="4"/>
        <v>4.9190849697614602E-3</v>
      </c>
      <c r="J66" s="4170" t="str">
        <f>J67</f>
        <v>IE</v>
      </c>
      <c r="K66" s="4170">
        <f>K67</f>
        <v>5.6581291052196079</v>
      </c>
      <c r="L66" s="4372">
        <f>L67</f>
        <v>0.10459680332010136</v>
      </c>
      <c r="M66" s="472"/>
    </row>
    <row r="67" spans="2:13" ht="18" customHeight="1" x14ac:dyDescent="0.2">
      <c r="B67" s="926"/>
      <c r="C67" s="2864" t="s">
        <v>1679</v>
      </c>
      <c r="D67" s="4373" t="s">
        <v>1219</v>
      </c>
      <c r="E67" s="4379" t="s">
        <v>1661</v>
      </c>
      <c r="F67" s="4380">
        <v>21263.467486956939</v>
      </c>
      <c r="G67" s="4369" t="str">
        <f t="shared" si="2"/>
        <v>NA</v>
      </c>
      <c r="H67" s="4370">
        <f t="shared" ref="H67:H68" si="23">IF(SUM($F67)=0,"NA",K67*1000/$F67)</f>
        <v>0.2660962568165478</v>
      </c>
      <c r="I67" s="4371">
        <f t="shared" ref="I67:I68" si="24">IF(SUM($F67)=0,"NA",L67*1000/$F67)</f>
        <v>4.9190849697614602E-3</v>
      </c>
      <c r="J67" s="4376" t="s">
        <v>274</v>
      </c>
      <c r="K67" s="4377">
        <v>5.6581291052196079</v>
      </c>
      <c r="L67" s="4381">
        <v>0.10459680332010136</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4008.6577079704239</v>
      </c>
      <c r="D10" s="3463">
        <f>IF(SUM(D11,D16:D17)=0,"NO",SUM(D11,D16:D17))</f>
        <v>-2216.2271176640797</v>
      </c>
      <c r="E10" s="3464"/>
      <c r="F10" s="3465">
        <f>IF(SUM(F11,F16:F17)=0,"NO",SUM(F11,F16:F17))</f>
        <v>1792.4305903063446</v>
      </c>
      <c r="G10" s="3466">
        <f>IF(SUM(G11,G16:G17)=0,"NO",SUM(G11,G16:G17))</f>
        <v>-6572.2454977899288</v>
      </c>
      <c r="H10" s="226"/>
      <c r="I10" s="2"/>
      <c r="J10" s="2"/>
    </row>
    <row r="11" spans="1:10" ht="18" customHeight="1" x14ac:dyDescent="0.2">
      <c r="B11" s="592" t="s">
        <v>1722</v>
      </c>
      <c r="C11" s="3467">
        <f>IF(SUM(C13:C15)=0,"NO",SUM(C13:C15))</f>
        <v>1491.5521256111497</v>
      </c>
      <c r="D11" s="3468">
        <f>IF(SUM(D13:D15)=0,"NO",SUM(D13:D15))</f>
        <v>-473.30208216134895</v>
      </c>
      <c r="E11" s="3469"/>
      <c r="F11" s="3470">
        <f>IF(SUM(F13:F15)=0,"NO",SUM(F13:F15))</f>
        <v>1018.2500434498006</v>
      </c>
      <c r="G11" s="3471">
        <f>IF(SUM(G13:G15)=0,"NO",SUM(G13:G15))</f>
        <v>-3733.5834926492689</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1140.4446123625344</v>
      </c>
      <c r="D13" s="3476">
        <f>F13-C13</f>
        <v>-299.94019057478317</v>
      </c>
      <c r="E13" s="3477" t="s">
        <v>205</v>
      </c>
      <c r="F13" s="3478">
        <f>G13/(-44/12)</f>
        <v>840.5044217877512</v>
      </c>
      <c r="G13" s="3479">
        <v>-3081.8495465550877</v>
      </c>
      <c r="H13" s="226"/>
      <c r="I13" s="2"/>
      <c r="J13" s="2"/>
    </row>
    <row r="14" spans="1:10" ht="18" customHeight="1" x14ac:dyDescent="0.2">
      <c r="B14" s="1192" t="s">
        <v>1724</v>
      </c>
      <c r="C14" s="3480">
        <v>351.10751324861519</v>
      </c>
      <c r="D14" s="3481">
        <f>F14-C14</f>
        <v>-173.36189158656578</v>
      </c>
      <c r="E14" s="3202" t="s">
        <v>205</v>
      </c>
      <c r="F14" s="3482">
        <f>G14/(-44/12)</f>
        <v>177.74562166204942</v>
      </c>
      <c r="G14" s="3479">
        <v>-651.73394609418119</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1288.6523719999996</v>
      </c>
      <c r="D16" s="3481">
        <f>F16-C16</f>
        <v>-1303.8596624981528</v>
      </c>
      <c r="E16" s="3202" t="s">
        <v>205</v>
      </c>
      <c r="F16" s="3482">
        <f>G16/(-44/12)</f>
        <v>-15.207290498153384</v>
      </c>
      <c r="G16" s="3479">
        <v>55.760065159895738</v>
      </c>
      <c r="H16" s="226"/>
      <c r="I16" s="2"/>
      <c r="J16" s="2"/>
    </row>
    <row r="17" spans="2:10" ht="18" customHeight="1" x14ac:dyDescent="0.2">
      <c r="B17" s="1196" t="s">
        <v>1727</v>
      </c>
      <c r="C17" s="3484">
        <f>C18</f>
        <v>1228.4532103592749</v>
      </c>
      <c r="D17" s="3485">
        <f t="shared" ref="D17:F17" si="0">D18</f>
        <v>-439.06537300457762</v>
      </c>
      <c r="E17" s="3486"/>
      <c r="F17" s="3193">
        <f t="shared" si="0"/>
        <v>789.38783735469724</v>
      </c>
      <c r="G17" s="3479">
        <f>-F17*44/12</f>
        <v>-2894.4220703005562</v>
      </c>
      <c r="H17" s="226"/>
      <c r="I17" s="2"/>
      <c r="J17" s="2"/>
    </row>
    <row r="18" spans="2:10" ht="18" customHeight="1" thickBot="1" x14ac:dyDescent="0.25">
      <c r="B18" s="547" t="s">
        <v>1728</v>
      </c>
      <c r="C18" s="3487">
        <v>1228.4532103592749</v>
      </c>
      <c r="D18" s="3488">
        <f>F18-C18</f>
        <v>-439.06537300457762</v>
      </c>
      <c r="E18" s="3205" t="s">
        <v>205</v>
      </c>
      <c r="F18" s="3489">
        <f>G18/(-44/12)</f>
        <v>789.38783735469724</v>
      </c>
      <c r="G18" s="3490">
        <v>-2894.4220703005562</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73.988845759355272</v>
      </c>
      <c r="D10" s="1882">
        <f t="shared" ref="D10:I10" si="0">IF(SUM(D11,D15,D18,D21)=0,"NO",SUM(D11,D15,D18,D21))</f>
        <v>826.59713400707039</v>
      </c>
      <c r="E10" s="1882">
        <f t="shared" si="0"/>
        <v>0.61813364076428645</v>
      </c>
      <c r="F10" s="1882" t="str">
        <f t="shared" si="0"/>
        <v>NO</v>
      </c>
      <c r="G10" s="1882" t="str">
        <f t="shared" si="0"/>
        <v>NO</v>
      </c>
      <c r="H10" s="1882">
        <f t="shared" si="0"/>
        <v>479.90438344334387</v>
      </c>
      <c r="I10" s="1883" t="str">
        <f t="shared" si="0"/>
        <v>NO</v>
      </c>
      <c r="J10" s="4487">
        <f>IF(SUM(C10:E10)=0,"NO",SUM(C10,IFERROR(28*D10,0),IFERROR(265*E10,0)))</f>
        <v>23382.514012759864</v>
      </c>
    </row>
    <row r="11" spans="1:10" ht="18" customHeight="1" x14ac:dyDescent="0.2">
      <c r="B11" s="1503" t="s">
        <v>1800</v>
      </c>
      <c r="C11" s="2893"/>
      <c r="D11" s="2894">
        <f>IF(SUM(D12:D14)=0,"NO",SUM(D12:D14))</f>
        <v>608.74261770345061</v>
      </c>
      <c r="E11" s="2893"/>
      <c r="F11" s="1886" t="str">
        <f>IF(SUM(F12:F14)=0,"NO",SUM(F12:F14))</f>
        <v>NO</v>
      </c>
      <c r="G11" s="1886" t="str">
        <f t="shared" ref="G11:H11" si="1">IF(SUM(G12:G14)=0,"NO",SUM(G12:G14))</f>
        <v>NO</v>
      </c>
      <c r="H11" s="1886">
        <f t="shared" si="1"/>
        <v>2.7156801893543094</v>
      </c>
      <c r="I11" s="2994"/>
      <c r="J11" s="1886">
        <f t="shared" ref="J11:J18" si="2">IF(SUM(C11:E11)=0,"NO",SUM(C11,IFERROR(28*D11,0),IFERROR(265*E11,0)))</f>
        <v>17044.793295696618</v>
      </c>
    </row>
    <row r="12" spans="1:10" ht="18" customHeight="1" x14ac:dyDescent="0.2">
      <c r="B12" s="1269" t="s">
        <v>1801</v>
      </c>
      <c r="C12" s="1885"/>
      <c r="D12" s="1884">
        <f>IF(SUM(Table5.A!F10:H10)=0,"NO",SUM(Table5.A!F10))</f>
        <v>608.74261770345061</v>
      </c>
      <c r="E12" s="1885"/>
      <c r="F12" s="2916" t="s">
        <v>205</v>
      </c>
      <c r="G12" s="2916" t="s">
        <v>205</v>
      </c>
      <c r="H12" s="2916">
        <v>2.7156801893543094</v>
      </c>
      <c r="I12" s="2940"/>
      <c r="J12" s="1887">
        <f t="shared" si="2"/>
        <v>17044.793295696618</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0.48310166212398975</v>
      </c>
      <c r="E15" s="2892">
        <f t="shared" ref="E15" si="3">IF(SUM(E16:E17)=0,"NO",SUM(E16:E17))</f>
        <v>6.1837012751870701E-2</v>
      </c>
      <c r="F15" s="2892" t="s">
        <v>1805</v>
      </c>
      <c r="G15" s="2892" t="s">
        <v>1805</v>
      </c>
      <c r="H15" s="2892" t="s">
        <v>1805</v>
      </c>
      <c r="I15" s="2997"/>
      <c r="J15" s="2884">
        <f t="shared" si="2"/>
        <v>29.913654918717448</v>
      </c>
    </row>
    <row r="16" spans="1:10" ht="18" customHeight="1" x14ac:dyDescent="0.2">
      <c r="B16" s="1891" t="s">
        <v>1806</v>
      </c>
      <c r="C16" s="2998"/>
      <c r="D16" s="1884">
        <f>Table5.B!F10</f>
        <v>0.48310166212398975</v>
      </c>
      <c r="E16" s="1884">
        <f>Table5.B!G10</f>
        <v>6.1837012751870701E-2</v>
      </c>
      <c r="F16" s="699" t="s">
        <v>205</v>
      </c>
      <c r="G16" s="699" t="s">
        <v>205</v>
      </c>
      <c r="H16" s="699" t="s">
        <v>205</v>
      </c>
      <c r="I16" s="2940"/>
      <c r="J16" s="1887">
        <f t="shared" si="2"/>
        <v>29.913654918717448</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73.988845759355272</v>
      </c>
      <c r="D18" s="2883">
        <f>IF(SUM(D19:D20)=0,"NO,NE",SUM(D19:D20))</f>
        <v>9.2671199999999995E-2</v>
      </c>
      <c r="E18" s="2883">
        <f>IF(SUM(E19:E20)=0,"NO,NE",SUM(E19:E20))</f>
        <v>3.7979999999999993E-2</v>
      </c>
      <c r="F18" s="2883" t="s">
        <v>205</v>
      </c>
      <c r="G18" s="2883" t="s">
        <v>205</v>
      </c>
      <c r="H18" s="2883" t="s">
        <v>205</v>
      </c>
      <c r="I18" s="2883" t="s">
        <v>205</v>
      </c>
      <c r="J18" s="2885">
        <f t="shared" si="2"/>
        <v>86.648339359355276</v>
      </c>
    </row>
    <row r="19" spans="2:12" ht="18" customHeight="1" x14ac:dyDescent="0.2">
      <c r="B19" s="1269" t="s">
        <v>1809</v>
      </c>
      <c r="C19" s="1884">
        <f>Table5.C!G10</f>
        <v>73.988845759355272</v>
      </c>
      <c r="D19" s="1884">
        <f>Table5.C!H10</f>
        <v>9.2671199999999995E-2</v>
      </c>
      <c r="E19" s="1884">
        <f>Table5.C!I10</f>
        <v>3.7979999999999993E-2</v>
      </c>
      <c r="F19" s="700" t="s">
        <v>205</v>
      </c>
      <c r="G19" s="700" t="s">
        <v>205</v>
      </c>
      <c r="H19" s="700" t="s">
        <v>205</v>
      </c>
      <c r="I19" s="700" t="s">
        <v>205</v>
      </c>
      <c r="J19" s="1887">
        <f>IF(SUM(C19:E19)=0,"NO",SUM(C19,IFERROR(28*D19,0),IFERROR(265*E19,0)))</f>
        <v>86.648339359355276</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217.27874344149578</v>
      </c>
      <c r="E21" s="2883">
        <f t="shared" ref="E21:H21" si="5">IF(SUM(E22:E24)=0,"NO",SUM(E22:E24))</f>
        <v>0.51831662801241574</v>
      </c>
      <c r="F21" s="2883" t="str">
        <f t="shared" si="5"/>
        <v>NO</v>
      </c>
      <c r="G21" s="2883" t="str">
        <f t="shared" si="5"/>
        <v>NO</v>
      </c>
      <c r="H21" s="2883">
        <f t="shared" si="5"/>
        <v>477.18870325398956</v>
      </c>
      <c r="I21" s="3000"/>
      <c r="J21" s="2885">
        <f t="shared" si="4"/>
        <v>6221.1587227851714</v>
      </c>
    </row>
    <row r="22" spans="2:12" ht="18" customHeight="1" x14ac:dyDescent="0.2">
      <c r="B22" s="1269" t="s">
        <v>1812</v>
      </c>
      <c r="C22" s="1894"/>
      <c r="D22" s="1884">
        <f>IF(SUM(Table5.D!H10)=0,"NO",SUM(Table5.D!H10))</f>
        <v>79.115691922920377</v>
      </c>
      <c r="E22" s="1884">
        <f>IF(SUM(Table5.D!I10:J10)=0,"NO",SUM(Table5.D!I10:J10))</f>
        <v>0.51831662801241574</v>
      </c>
      <c r="F22" s="2916" t="s">
        <v>205</v>
      </c>
      <c r="G22" s="2916" t="s">
        <v>205</v>
      </c>
      <c r="H22" s="2916">
        <v>18.520682390026604</v>
      </c>
      <c r="I22" s="2940"/>
      <c r="J22" s="1887">
        <f t="shared" si="4"/>
        <v>2352.5932802650605</v>
      </c>
    </row>
    <row r="23" spans="2:12" ht="18" customHeight="1" x14ac:dyDescent="0.2">
      <c r="B23" s="1269" t="s">
        <v>1813</v>
      </c>
      <c r="C23" s="1894"/>
      <c r="D23" s="1884">
        <f>IF(SUM(Table5.D!H11)=0,"NO",SUM(Table5.D!H11))</f>
        <v>138.1630515185754</v>
      </c>
      <c r="E23" s="1884" t="str">
        <f>IF(SUM(Table5.D!I11:J11)=0,"IE",SUM(Table5.D!I11:J11))</f>
        <v>IE</v>
      </c>
      <c r="F23" s="2916" t="s">
        <v>205</v>
      </c>
      <c r="G23" s="2916" t="s">
        <v>205</v>
      </c>
      <c r="H23" s="2916">
        <v>458.66802086396297</v>
      </c>
      <c r="I23" s="2940"/>
      <c r="J23" s="1887">
        <f t="shared" si="4"/>
        <v>3868.565442520111</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191008.2991050088</v>
      </c>
      <c r="D28" s="1903"/>
      <c r="E28" s="1903"/>
      <c r="F28" s="1903"/>
      <c r="G28" s="1903"/>
      <c r="H28" s="1903"/>
      <c r="I28" s="1904"/>
      <c r="J28" s="1907"/>
      <c r="K28"/>
      <c r="L28"/>
    </row>
    <row r="29" spans="2:12" ht="18" customHeight="1" x14ac:dyDescent="0.2">
      <c r="B29" s="4215" t="s">
        <v>1819</v>
      </c>
      <c r="C29" s="1905">
        <v>4618.7800221557891</v>
      </c>
      <c r="D29" s="1906"/>
      <c r="E29" s="1906"/>
      <c r="F29" s="1906"/>
      <c r="G29" s="1906"/>
      <c r="H29" s="1906"/>
      <c r="I29" s="1907"/>
      <c r="J29" s="1907"/>
      <c r="K29"/>
      <c r="L29"/>
    </row>
    <row r="30" spans="2:12" ht="18" customHeight="1" thickBot="1" x14ac:dyDescent="0.25">
      <c r="B30" s="4216" t="s">
        <v>1820</v>
      </c>
      <c r="C30" s="1899">
        <v>3431.0575261950289</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K7" sqref="K7"/>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17179.014681398374</v>
      </c>
      <c r="D10" s="3678"/>
      <c r="E10" s="4121">
        <f>IF(SUM(C10)=0,"NA",(F10-SUM(G10:H10))/C10)</f>
        <v>3.5568282229035381E-2</v>
      </c>
      <c r="F10" s="3679">
        <f>F11</f>
        <v>608.74261770345061</v>
      </c>
      <c r="G10" s="3679" t="str">
        <f>G11</f>
        <v>IE</v>
      </c>
      <c r="H10" s="3680">
        <f>H11</f>
        <v>-2.285424901269058</v>
      </c>
      <c r="I10" s="44"/>
    </row>
    <row r="11" spans="1:13" ht="18" customHeight="1" x14ac:dyDescent="0.2">
      <c r="B11" s="1753" t="s">
        <v>1834</v>
      </c>
      <c r="C11" s="3681">
        <f>IF(SUM(C13:C16)=0,"NO",SUM(C13:C16))</f>
        <v>17179.014681398374</v>
      </c>
      <c r="D11" s="3681">
        <v>1</v>
      </c>
      <c r="E11" s="4121">
        <f>IF(SUM(C11)=0,"NA",(F11-SUM(G11:H11))/C11)</f>
        <v>3.5568282229035381E-2</v>
      </c>
      <c r="F11" s="4227">
        <f>IF(SUM(F13:F16)=0,"NO",SUM(F13:F16))</f>
        <v>608.74261770345061</v>
      </c>
      <c r="G11" s="3682" t="s">
        <v>274</v>
      </c>
      <c r="H11" s="3683">
        <v>-2.285424901269058</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9342.5173076031278</v>
      </c>
      <c r="D13" s="3688">
        <v>1</v>
      </c>
      <c r="E13" s="4218" t="s">
        <v>274</v>
      </c>
      <c r="F13" s="3688">
        <v>20.817499005861592</v>
      </c>
      <c r="G13" s="3689"/>
      <c r="H13" s="3690"/>
      <c r="I13" s="44"/>
    </row>
    <row r="14" spans="1:13" ht="18" customHeight="1" x14ac:dyDescent="0.2">
      <c r="B14" s="1754" t="s">
        <v>1837</v>
      </c>
      <c r="C14" s="3688">
        <v>2922.0044559744747</v>
      </c>
      <c r="D14" s="3688">
        <v>1</v>
      </c>
      <c r="E14" s="3681" t="s">
        <v>274</v>
      </c>
      <c r="F14" s="3688">
        <v>229.58329511665514</v>
      </c>
      <c r="G14" s="3689"/>
      <c r="H14" s="3690"/>
      <c r="I14" s="44"/>
    </row>
    <row r="15" spans="1:13" ht="18" customHeight="1" x14ac:dyDescent="0.2">
      <c r="B15" s="1754" t="s">
        <v>1838</v>
      </c>
      <c r="C15" s="3688">
        <v>4914.4929178207731</v>
      </c>
      <c r="D15" s="3688">
        <v>1</v>
      </c>
      <c r="E15" s="4121" t="s">
        <v>274</v>
      </c>
      <c r="F15" s="3688">
        <v>358.34182358093386</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644.13554949865306</v>
      </c>
      <c r="D10" s="1938">
        <f>IF(SUM($C10)=0,"NA",F10*1000/$C10)</f>
        <v>0.74999999999999989</v>
      </c>
      <c r="E10" s="1938">
        <f>IF(SUM($C10)=0,"NA",G10*1000/$C10)</f>
        <v>9.6000000000000016E-2</v>
      </c>
      <c r="F10" s="1934">
        <f>IF(SUM(F11:F12)=0,"NO",SUM(F11:F12))</f>
        <v>0.48310166212398975</v>
      </c>
      <c r="G10" s="1934">
        <f>IF(SUM(G11:G12)=0,"NO",SUM(G11:G12))</f>
        <v>6.1837012751870701E-2</v>
      </c>
      <c r="H10" s="1935"/>
      <c r="I10" s="1936"/>
    </row>
    <row r="11" spans="1:9" ht="18" customHeight="1" x14ac:dyDescent="0.2">
      <c r="B11" s="1525" t="s">
        <v>1851</v>
      </c>
      <c r="C11" s="1937">
        <v>644.13554949865306</v>
      </c>
      <c r="D11" s="1938">
        <f>IF(SUM($C11)=0,"NA",F11*1000/$C11)</f>
        <v>0.74999999999999989</v>
      </c>
      <c r="E11" s="1938">
        <f>IF(SUM($C11)=0,"NA",G11*1000/$C11)</f>
        <v>9.6000000000000016E-2</v>
      </c>
      <c r="F11" s="1937">
        <v>0.48310166212398975</v>
      </c>
      <c r="G11" s="1937">
        <v>6.1837012751870701E-2</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268.28745941447676</v>
      </c>
      <c r="D10" s="2898">
        <f t="shared" ref="D10:D20" si="0">IF(SUM(G10)=0,"NA",G10*1000/$C10)</f>
        <v>275.78197624604604</v>
      </c>
      <c r="E10" s="2898">
        <f t="shared" ref="E10:E20" si="1">IF(SUM(H10)=0,"NA",H10*1000/$C10)</f>
        <v>0.34541756145535096</v>
      </c>
      <c r="F10" s="2898">
        <f t="shared" ref="F10:F20" si="2">IF(SUM(I10)=0,"NA",I10*1000/$C10)</f>
        <v>0.14156457436694708</v>
      </c>
      <c r="G10" s="2898">
        <f>IF(SUM(G11,G21)=0,"NO",SUM(G11,G21))</f>
        <v>73.988845759355272</v>
      </c>
      <c r="H10" s="2898">
        <f>IF(SUM(H11,H21)=0,"NO,NE",SUM(H11,H21))</f>
        <v>9.2671199999999995E-2</v>
      </c>
      <c r="I10" s="2899">
        <f>IF(SUM(I11,I21)=0,"NO,NE",SUM(I11,I21))</f>
        <v>3.7979999999999993E-2</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268.28745941447676</v>
      </c>
      <c r="D21" s="116">
        <f>IF(SUM(G21)=0,"NA",G21*1000/$C21)</f>
        <v>275.78197624604604</v>
      </c>
      <c r="E21" s="116">
        <f t="shared" ref="E21:F21" si="3">IF(SUM(H21)=0,"NA",H21*1000/$C21)</f>
        <v>0.34541756145535096</v>
      </c>
      <c r="F21" s="116">
        <f t="shared" si="3"/>
        <v>0.14156457436694708</v>
      </c>
      <c r="G21" s="2900">
        <f>IF(SUM(G22:G23)=0,"NO",SUM(G22:G23))</f>
        <v>73.988845759355272</v>
      </c>
      <c r="H21" s="116">
        <f>IF(SUM(H22:H23)=0,"NO,NE",SUM(H22:H23))</f>
        <v>9.2671199999999995E-2</v>
      </c>
      <c r="I21" s="2901">
        <f>IF(SUM(I22:I23)=0,"NO,NE",SUM(I22:I23))</f>
        <v>3.7979999999999993E-2</v>
      </c>
    </row>
    <row r="22" spans="2:9" ht="18" customHeight="1" x14ac:dyDescent="0.2">
      <c r="B22" s="1525" t="s">
        <v>1875</v>
      </c>
      <c r="C22" s="143">
        <v>253.2</v>
      </c>
      <c r="D22" s="116">
        <f t="shared" ref="D22:D38" si="4">IF(SUM(G22)=0,"NA",G22*1000/$C22)</f>
        <v>205.33333333333334</v>
      </c>
      <c r="E22" s="116">
        <f t="shared" ref="E22:E38" si="5">IF(SUM(H22)=0,"NA",H22*1000/$C22)</f>
        <v>0.36599999999999999</v>
      </c>
      <c r="F22" s="116">
        <f t="shared" ref="F22:F38" si="6">IF(SUM(I22)=0,"NA",I22*1000/$C22)</f>
        <v>0.14999999999999997</v>
      </c>
      <c r="G22" s="143">
        <v>51.990400000000001</v>
      </c>
      <c r="H22" s="143">
        <v>9.2671199999999995E-2</v>
      </c>
      <c r="I22" s="140">
        <v>3.7979999999999993E-2</v>
      </c>
    </row>
    <row r="23" spans="2:9" ht="18" customHeight="1" x14ac:dyDescent="0.2">
      <c r="B23" s="1525" t="s">
        <v>1876</v>
      </c>
      <c r="C23" s="2900">
        <f>IF(SUM(C25:C30)=0,"NO",SUM(C25:C30))</f>
        <v>15.087459414476793</v>
      </c>
      <c r="D23" s="116">
        <f t="shared" si="4"/>
        <v>1458.0616361590482</v>
      </c>
      <c r="E23" s="151" t="str">
        <f t="shared" si="5"/>
        <v>NA</v>
      </c>
      <c r="F23" s="151" t="str">
        <f t="shared" si="6"/>
        <v>NA</v>
      </c>
      <c r="G23" s="151">
        <f>IF(SUM(G25:G30)=0,"NO",SUM(G25:G30))</f>
        <v>21.99844575935527</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11.09922021810964</v>
      </c>
      <c r="D27" s="116">
        <f t="shared" si="4"/>
        <v>879.99999999999989</v>
      </c>
      <c r="E27" s="116" t="str">
        <f t="shared" si="5"/>
        <v>NA</v>
      </c>
      <c r="F27" s="116" t="str">
        <f t="shared" si="6"/>
        <v>NA</v>
      </c>
      <c r="G27" s="2908">
        <v>9.7673137919364823</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3.9882391963671533</v>
      </c>
      <c r="D30" s="116">
        <f t="shared" si="4"/>
        <v>3066.8000000000006</v>
      </c>
      <c r="E30" s="153" t="str">
        <f t="shared" si="5"/>
        <v>NA</v>
      </c>
      <c r="F30" s="153" t="str">
        <f t="shared" si="6"/>
        <v>NA</v>
      </c>
      <c r="G30" s="1540">
        <f>G31</f>
        <v>12.231131967418788</v>
      </c>
      <c r="H30" s="1540" t="str">
        <f>H31</f>
        <v>NE</v>
      </c>
      <c r="I30" s="2905" t="str">
        <f>I31</f>
        <v>NE</v>
      </c>
    </row>
    <row r="31" spans="2:9" ht="18" customHeight="1" x14ac:dyDescent="0.2">
      <c r="B31" s="2902" t="s">
        <v>1883</v>
      </c>
      <c r="C31" s="162">
        <v>3.9882391963671533</v>
      </c>
      <c r="D31" s="116">
        <f t="shared" si="4"/>
        <v>3066.8000000000006</v>
      </c>
      <c r="E31" s="153" t="str">
        <f t="shared" si="5"/>
        <v>NA</v>
      </c>
      <c r="F31" s="153" t="str">
        <f t="shared" si="6"/>
        <v>NA</v>
      </c>
      <c r="G31" s="161">
        <v>12.231131967418788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17287.87</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36.280999999999999</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1836.2237165985464</v>
      </c>
      <c r="D10" s="3399">
        <v>1366.9011791992491</v>
      </c>
      <c r="E10" s="3399">
        <v>99.692072665919994</v>
      </c>
      <c r="F10" s="3400">
        <f>(SUM(H10)-SUM(K10:L10))/C10</f>
        <v>5.6620524822571829E-2</v>
      </c>
      <c r="G10" s="3400">
        <f>SUM(I10:J10)/E10/(44/28)</f>
        <v>3.3085665225864552E-3</v>
      </c>
      <c r="H10" s="3398">
        <v>79.115691922920377</v>
      </c>
      <c r="I10" s="3190">
        <v>0.51831662801241574</v>
      </c>
      <c r="J10" s="3190" t="s">
        <v>274</v>
      </c>
      <c r="K10" s="3401" t="s">
        <v>274</v>
      </c>
      <c r="L10" s="2921">
        <v>-24.852258602542712</v>
      </c>
      <c r="M10"/>
      <c r="N10" s="1773" t="s">
        <v>1910</v>
      </c>
      <c r="O10" s="3403">
        <v>1</v>
      </c>
    </row>
    <row r="11" spans="1:15" ht="18" customHeight="1" x14ac:dyDescent="0.2">
      <c r="A11"/>
      <c r="B11" s="1752" t="s">
        <v>1813</v>
      </c>
      <c r="C11" s="3399">
        <v>1528.8934028798772</v>
      </c>
      <c r="D11" s="3399">
        <v>227.73049825581694</v>
      </c>
      <c r="E11" s="699" t="s">
        <v>274</v>
      </c>
      <c r="F11" s="3134">
        <f>(SUM(H11)-SUM(K11:L11))/C11</f>
        <v>9.2008301035553408E-2</v>
      </c>
      <c r="G11" s="3134" t="s">
        <v>205</v>
      </c>
      <c r="H11" s="699">
        <v>138.1630515185754</v>
      </c>
      <c r="I11" s="699" t="s">
        <v>274</v>
      </c>
      <c r="J11" s="699" t="s">
        <v>274</v>
      </c>
      <c r="K11" s="3125" t="s">
        <v>274</v>
      </c>
      <c r="L11" s="2921">
        <v>-2.5078329448679759</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E16" sqref="E16"/>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413318.47179445607</v>
      </c>
      <c r="D10" s="3798">
        <f t="shared" si="0"/>
        <v>5677.806774026888</v>
      </c>
      <c r="E10" s="3798">
        <f t="shared" si="0"/>
        <v>64.557598811229596</v>
      </c>
      <c r="F10" s="3798">
        <f t="shared" si="0"/>
        <v>1193.6537599999999</v>
      </c>
      <c r="G10" s="3798">
        <f t="shared" si="0"/>
        <v>4146.8866252000589</v>
      </c>
      <c r="H10" s="3798" t="str">
        <f>IF(SUM(H11,H22,H31,H42,H51)=0,"NO",SUM(H11,H22,H31,H42,H51))</f>
        <v>NO</v>
      </c>
      <c r="I10" s="3798">
        <f t="shared" ref="I10:N10" si="1">IF(SUM(I11,I22,I31,I42,I51)=0,"NO",SUM(I11,I22,I31,I42,I51))</f>
        <v>1.0497459871920091E-2</v>
      </c>
      <c r="J10" s="3826" t="str">
        <f t="shared" si="1"/>
        <v>NO</v>
      </c>
      <c r="K10" s="3798">
        <f t="shared" si="1"/>
        <v>2374.4923383508944</v>
      </c>
      <c r="L10" s="3798">
        <f t="shared" si="1"/>
        <v>27596.68319553716</v>
      </c>
      <c r="M10" s="3798">
        <f t="shared" si="1"/>
        <v>2501.7998234847901</v>
      </c>
      <c r="N10" s="3799">
        <f t="shared" si="1"/>
        <v>1569.9579442376148</v>
      </c>
      <c r="O10" s="3800">
        <f>IF(SUM(C10:J10)=0,"NO",SUM(C10,F10:H10)+28*SUM(D10)+265*SUM(E10)+23500*SUM(I10)+16100*SUM(J10))</f>
        <v>594992.05584437493</v>
      </c>
    </row>
    <row r="11" spans="1:15" ht="18" customHeight="1" x14ac:dyDescent="0.25">
      <c r="B11" s="1116" t="s">
        <v>1921</v>
      </c>
      <c r="C11" s="2572">
        <f>Table1!C10</f>
        <v>260937.39761643976</v>
      </c>
      <c r="D11" s="3766">
        <f>Table1!D10</f>
        <v>1299.2201626582212</v>
      </c>
      <c r="E11" s="3766">
        <f>Table1!E10</f>
        <v>6.6985612369461691</v>
      </c>
      <c r="F11" s="1553"/>
      <c r="G11" s="1553"/>
      <c r="H11" s="3714"/>
      <c r="I11" s="1553"/>
      <c r="J11" s="98"/>
      <c r="K11" s="3766">
        <f>Table1!F10</f>
        <v>1531.7060092690283</v>
      </c>
      <c r="L11" s="3713">
        <f>Table1!G10</f>
        <v>5287.7693337574365</v>
      </c>
      <c r="M11" s="3713">
        <f>Table1!H10</f>
        <v>790.86032233113099</v>
      </c>
      <c r="N11" s="960">
        <f>Table1!I10</f>
        <v>559.69869001546454</v>
      </c>
      <c r="O11" s="3715">
        <f t="shared" ref="O11:O58" si="2">IF(SUM(C11:J11)=0,"NO",SUM(C11,F11:H11)+28*SUM(D11)+265*SUM(E11)+23500*SUM(I11)+16100*SUM(J11))</f>
        <v>299090.68089866068</v>
      </c>
    </row>
    <row r="12" spans="1:15" ht="18" customHeight="1" x14ac:dyDescent="0.25">
      <c r="B12" s="1369" t="s">
        <v>1922</v>
      </c>
      <c r="C12" s="3794">
        <f>Table1!C11</f>
        <v>253935.97573652302</v>
      </c>
      <c r="D12" s="617">
        <f>Table1!D11</f>
        <v>134.01977686044216</v>
      </c>
      <c r="E12" s="617">
        <f>Table1!E11</f>
        <v>6.5736259448986516</v>
      </c>
      <c r="F12" s="69"/>
      <c r="G12" s="69"/>
      <c r="H12" s="69"/>
      <c r="I12" s="69"/>
      <c r="J12" s="69"/>
      <c r="K12" s="617">
        <f>Table1!F11</f>
        <v>1527.855247170884</v>
      </c>
      <c r="L12" s="617">
        <f>Table1!G11</f>
        <v>5265.4329135881999</v>
      </c>
      <c r="M12" s="617">
        <f>Table1!H11</f>
        <v>615.87240249080128</v>
      </c>
      <c r="N12" s="619">
        <f>Table1!I11</f>
        <v>559.69869001546454</v>
      </c>
      <c r="O12" s="3716">
        <f t="shared" si="2"/>
        <v>259430.54036401355</v>
      </c>
    </row>
    <row r="13" spans="1:15" ht="18" customHeight="1" x14ac:dyDescent="0.25">
      <c r="B13" s="1370" t="s">
        <v>1923</v>
      </c>
      <c r="C13" s="3794">
        <f>Table1!C12</f>
        <v>145798.89301365922</v>
      </c>
      <c r="D13" s="617">
        <f>Table1!D12</f>
        <v>5.9268696876790408</v>
      </c>
      <c r="E13" s="617">
        <f>Table1!E12</f>
        <v>1.6290682412384687</v>
      </c>
      <c r="F13" s="69"/>
      <c r="G13" s="69"/>
      <c r="H13" s="69"/>
      <c r="I13" s="69"/>
      <c r="J13" s="69"/>
      <c r="K13" s="617">
        <f>Table1!F12</f>
        <v>500.44882848646728</v>
      </c>
      <c r="L13" s="617">
        <f>Table1!G12</f>
        <v>71.673453178922742</v>
      </c>
      <c r="M13" s="617">
        <f>Table1!H12</f>
        <v>10.412912143563176</v>
      </c>
      <c r="N13" s="619">
        <f>Table1!I12</f>
        <v>421.22909481238281</v>
      </c>
      <c r="O13" s="3717">
        <f t="shared" si="2"/>
        <v>146396.54844884243</v>
      </c>
    </row>
    <row r="14" spans="1:15" ht="18" customHeight="1" x14ac:dyDescent="0.25">
      <c r="B14" s="1370" t="s">
        <v>1924</v>
      </c>
      <c r="C14" s="3794">
        <f>Table1!C16</f>
        <v>35411.642792381535</v>
      </c>
      <c r="D14" s="3718">
        <f>Table1!D16</f>
        <v>1.9969221605944103</v>
      </c>
      <c r="E14" s="3718">
        <f>Table1!E16</f>
        <v>1.1069438707977839</v>
      </c>
      <c r="F14" s="3719"/>
      <c r="G14" s="3719"/>
      <c r="H14" s="3719"/>
      <c r="I14" s="3719"/>
      <c r="J14" s="69"/>
      <c r="K14" s="3718">
        <f>Table1!F16</f>
        <v>473.24682207908074</v>
      </c>
      <c r="L14" s="3718">
        <f>Table1!G16</f>
        <v>157.40624631822902</v>
      </c>
      <c r="M14" s="3718">
        <f>Table1!H16</f>
        <v>67.830929665484291</v>
      </c>
      <c r="N14" s="3720">
        <f>Table1!I16</f>
        <v>99.568597093550835</v>
      </c>
      <c r="O14" s="3721">
        <f t="shared" si="2"/>
        <v>35760.896738639589</v>
      </c>
    </row>
    <row r="15" spans="1:15" ht="18" customHeight="1" x14ac:dyDescent="0.25">
      <c r="B15" s="1370" t="s">
        <v>1925</v>
      </c>
      <c r="C15" s="3794">
        <f>Table1!C24</f>
        <v>59194.713824602695</v>
      </c>
      <c r="D15" s="617">
        <f>Table1!D24</f>
        <v>26.299583078796019</v>
      </c>
      <c r="E15" s="617">
        <f>Table1!E24</f>
        <v>3.2846479580695087</v>
      </c>
      <c r="F15" s="69"/>
      <c r="G15" s="69"/>
      <c r="H15" s="69"/>
      <c r="I15" s="69"/>
      <c r="J15" s="69"/>
      <c r="K15" s="617">
        <f>Table1!F24</f>
        <v>351.13605560725233</v>
      </c>
      <c r="L15" s="617">
        <f>Table1!G24</f>
        <v>3920.6312323594684</v>
      </c>
      <c r="M15" s="617">
        <f>Table1!H24</f>
        <v>373.79258534057078</v>
      </c>
      <c r="N15" s="619">
        <f>Table1!I24</f>
        <v>31.734117178368464</v>
      </c>
      <c r="O15" s="3717">
        <f t="shared" si="2"/>
        <v>60801.533859697403</v>
      </c>
    </row>
    <row r="16" spans="1:15" ht="18" customHeight="1" x14ac:dyDescent="0.25">
      <c r="B16" s="1370" t="s">
        <v>1926</v>
      </c>
      <c r="C16" s="3794">
        <f>Table1!C30</f>
        <v>13119.622313292621</v>
      </c>
      <c r="D16" s="617">
        <f>Table1!D30</f>
        <v>99.776396301818579</v>
      </c>
      <c r="E16" s="617">
        <f>Table1!E30</f>
        <v>0.54180638504574496</v>
      </c>
      <c r="F16" s="69"/>
      <c r="G16" s="69"/>
      <c r="H16" s="69"/>
      <c r="I16" s="69"/>
      <c r="J16" s="69"/>
      <c r="K16" s="617">
        <f>Table1!F30</f>
        <v>199.63500866203975</v>
      </c>
      <c r="L16" s="617">
        <f>Table1!G30</f>
        <v>1111.1459277610145</v>
      </c>
      <c r="M16" s="617">
        <f>Table1!H30</f>
        <v>163.42475254547335</v>
      </c>
      <c r="N16" s="619">
        <f>Table1!I30</f>
        <v>7.0272387887537615</v>
      </c>
      <c r="O16" s="3717">
        <f t="shared" si="2"/>
        <v>16056.940101780665</v>
      </c>
    </row>
    <row r="17" spans="2:15" ht="18" customHeight="1" x14ac:dyDescent="0.25">
      <c r="B17" s="1370" t="s">
        <v>1927</v>
      </c>
      <c r="C17" s="3794">
        <f>Table1!C34</f>
        <v>411.10379258697043</v>
      </c>
      <c r="D17" s="617">
        <f>Table1!D34</f>
        <v>2.0005631554104654E-2</v>
      </c>
      <c r="E17" s="617">
        <f>Table1!E34</f>
        <v>1.1159489747144877E-2</v>
      </c>
      <c r="F17" s="69"/>
      <c r="G17" s="69"/>
      <c r="H17" s="69"/>
      <c r="I17" s="69"/>
      <c r="J17" s="69"/>
      <c r="K17" s="617">
        <f>Table1!F34</f>
        <v>3.3885323360439097</v>
      </c>
      <c r="L17" s="617">
        <f>Table1!G34</f>
        <v>4.5760539705648036</v>
      </c>
      <c r="M17" s="617">
        <f>Table1!H34</f>
        <v>0.41122279570969167</v>
      </c>
      <c r="N17" s="619">
        <f>Table1!I34</f>
        <v>0.13964214240868872</v>
      </c>
      <c r="O17" s="3717">
        <f t="shared" si="2"/>
        <v>414.62121505347875</v>
      </c>
    </row>
    <row r="18" spans="2:15" ht="18" customHeight="1" x14ac:dyDescent="0.25">
      <c r="B18" s="1369" t="s">
        <v>201</v>
      </c>
      <c r="C18" s="3711">
        <f>Table1!C37</f>
        <v>7001.4218799167465</v>
      </c>
      <c r="D18" s="3795">
        <f>Table1!D37</f>
        <v>1165.2003857977791</v>
      </c>
      <c r="E18" s="3795">
        <f>Table1!E37</f>
        <v>0.12493529204751767</v>
      </c>
      <c r="F18" s="69"/>
      <c r="G18" s="69"/>
      <c r="H18" s="69"/>
      <c r="I18" s="69"/>
      <c r="J18" s="69"/>
      <c r="K18" s="3795">
        <f>Table1!F37</f>
        <v>3.8507620981442696</v>
      </c>
      <c r="L18" s="617">
        <f>Table1!G37</f>
        <v>22.33642016923676</v>
      </c>
      <c r="M18" s="617">
        <f>Table1!H37</f>
        <v>174.98791984032974</v>
      </c>
      <c r="N18" s="619" t="str">
        <f>Table1!I37</f>
        <v>NO</v>
      </c>
      <c r="O18" s="3717">
        <f t="shared" si="2"/>
        <v>39660.140534647151</v>
      </c>
    </row>
    <row r="19" spans="2:15" ht="18" customHeight="1" x14ac:dyDescent="0.25">
      <c r="B19" s="1370" t="s">
        <v>1928</v>
      </c>
      <c r="C19" s="3712">
        <f>Table1!C38</f>
        <v>1171.7683050721826</v>
      </c>
      <c r="D19" s="3722">
        <f>Table1!D38</f>
        <v>885.67165362847061</v>
      </c>
      <c r="E19" s="3795">
        <f>Table1!E38</f>
        <v>7.2957855859744115E-7</v>
      </c>
      <c r="F19" s="69"/>
      <c r="G19" s="69"/>
      <c r="H19" s="69"/>
      <c r="I19" s="69"/>
      <c r="J19" s="69"/>
      <c r="K19" s="3795" t="str">
        <f>Table1!F38</f>
        <v>NO</v>
      </c>
      <c r="L19" s="617" t="str">
        <f>Table1!G38</f>
        <v>NO</v>
      </c>
      <c r="M19" s="617" t="str">
        <f>Table1!H38</f>
        <v>NO</v>
      </c>
      <c r="N19" s="619" t="str">
        <f>Table1!I38</f>
        <v>NO</v>
      </c>
      <c r="O19" s="3717">
        <f t="shared" si="2"/>
        <v>25970.574800007678</v>
      </c>
    </row>
    <row r="20" spans="2:15" ht="18" customHeight="1" x14ac:dyDescent="0.25">
      <c r="B20" s="1371" t="s">
        <v>1929</v>
      </c>
      <c r="C20" s="3712">
        <f>Table1!C42</f>
        <v>5829.653574844564</v>
      </c>
      <c r="D20" s="3796">
        <f>Table1!D42</f>
        <v>279.52873216930846</v>
      </c>
      <c r="E20" s="3795">
        <f>Table1!E42</f>
        <v>0.12493456246895908</v>
      </c>
      <c r="F20" s="3719"/>
      <c r="G20" s="3719"/>
      <c r="H20" s="3719"/>
      <c r="I20" s="3719"/>
      <c r="J20" s="69"/>
      <c r="K20" s="3795">
        <f>Table1!F42</f>
        <v>3.8507620981442696</v>
      </c>
      <c r="L20" s="3718">
        <f>Table1!G42</f>
        <v>22.33642016923676</v>
      </c>
      <c r="M20" s="3718">
        <f>Table1!H42</f>
        <v>174.98791984032974</v>
      </c>
      <c r="N20" s="3720" t="str">
        <f>Table1!I42</f>
        <v>NO</v>
      </c>
      <c r="O20" s="3721">
        <f t="shared" si="2"/>
        <v>13689.565734639475</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17887.970274958665</v>
      </c>
      <c r="D22" s="3727">
        <f>'Table2(I)'!D10</f>
        <v>3.0036935116052974</v>
      </c>
      <c r="E22" s="3728">
        <f>'Table2(I)'!E10</f>
        <v>2.8344205744859212</v>
      </c>
      <c r="F22" s="3713">
        <f>'Table2(I)'!F10</f>
        <v>1193.6537599999999</v>
      </c>
      <c r="G22" s="3713">
        <f>'Table2(I)'!G10</f>
        <v>4146.8866252000589</v>
      </c>
      <c r="H22" s="3713" t="str">
        <f>'Table2(I)'!H10</f>
        <v>NO</v>
      </c>
      <c r="I22" s="3713">
        <f>'Table2(I)'!I10</f>
        <v>1.0497459871920091E-2</v>
      </c>
      <c r="J22" s="3713" t="str">
        <f>'Table2(I)'!J10</f>
        <v>NO</v>
      </c>
      <c r="K22" s="3713">
        <f>'Table2(I)'!K10</f>
        <v>37.115349448777216</v>
      </c>
      <c r="L22" s="3713">
        <f>'Table2(I)'!L10</f>
        <v>9.9138160894991874</v>
      </c>
      <c r="M22" s="3713">
        <f>'Table2(I)'!M10</f>
        <v>209.24375373797261</v>
      </c>
      <c r="N22" s="960">
        <f>'Table2(I)'!N10</f>
        <v>1010.2592542221502</v>
      </c>
      <c r="O22" s="3715">
        <f t="shared" si="2"/>
        <v>24310.425837712566</v>
      </c>
    </row>
    <row r="23" spans="2:15" ht="18" customHeight="1" x14ac:dyDescent="0.25">
      <c r="B23" s="1129" t="s">
        <v>1932</v>
      </c>
      <c r="C23" s="3729">
        <f>'Table2(I)'!C11</f>
        <v>5152.3958590686525</v>
      </c>
      <c r="D23" s="3730"/>
      <c r="E23" s="98"/>
      <c r="F23" s="98"/>
      <c r="G23" s="98"/>
      <c r="H23" s="98"/>
      <c r="I23" s="98"/>
      <c r="J23" s="69"/>
      <c r="K23" s="620" t="str">
        <f>'Table2(I)'!K11</f>
        <v>NO</v>
      </c>
      <c r="L23" s="620" t="str">
        <f>'Table2(I)'!L11</f>
        <v>NO</v>
      </c>
      <c r="M23" s="620" t="str">
        <f>'Table2(I)'!M11</f>
        <v>NO</v>
      </c>
      <c r="N23" s="622" t="str">
        <f>'Table2(I)'!N11</f>
        <v>NO</v>
      </c>
      <c r="O23" s="3716">
        <f t="shared" si="2"/>
        <v>5152.3958590686525</v>
      </c>
    </row>
    <row r="24" spans="2:15" ht="18" customHeight="1" x14ac:dyDescent="0.25">
      <c r="B24" s="1129" t="s">
        <v>846</v>
      </c>
      <c r="C24" s="3729">
        <f>'Table2(I)'!C16</f>
        <v>1061.0764716256642</v>
      </c>
      <c r="D24" s="3731">
        <f>'Table2(I)'!D16</f>
        <v>0.40365533799999997</v>
      </c>
      <c r="E24" s="3732">
        <f>'Table2(I)'!E16</f>
        <v>2.7620996100000004</v>
      </c>
      <c r="F24" s="617">
        <f>'Table2(I)'!F16</f>
        <v>1193.6537599999999</v>
      </c>
      <c r="G24" s="617" t="str">
        <f>'Table2(I)'!G16</f>
        <v>NO</v>
      </c>
      <c r="H24" s="617" t="str">
        <f>'Table2(I)'!H16</f>
        <v>NO</v>
      </c>
      <c r="I24" s="617" t="str">
        <f>'Table2(I)'!I16</f>
        <v>NO</v>
      </c>
      <c r="J24" s="602" t="str">
        <f>'Table2(I)'!J16</f>
        <v>NO</v>
      </c>
      <c r="K24" s="617" t="str">
        <f>'Table2(I)'!K16</f>
        <v>NO</v>
      </c>
      <c r="L24" s="617" t="str">
        <f>'Table2(I)'!L16</f>
        <v>NO</v>
      </c>
      <c r="M24" s="617">
        <f>'Table2(I)'!M16</f>
        <v>4.3554395359999996</v>
      </c>
      <c r="N24" s="619" t="str">
        <f>'Table2(I)'!N16</f>
        <v>NO</v>
      </c>
      <c r="O24" s="3717">
        <f t="shared" si="2"/>
        <v>2997.9889777396643</v>
      </c>
    </row>
    <row r="25" spans="2:15" ht="18" customHeight="1" x14ac:dyDescent="0.25">
      <c r="B25" s="1129" t="s">
        <v>637</v>
      </c>
      <c r="C25" s="3729">
        <f>'Table2(I)'!C27</f>
        <v>11331.682904243107</v>
      </c>
      <c r="D25" s="3731">
        <f>'Table2(I)'!D27</f>
        <v>2.6000381736052973</v>
      </c>
      <c r="E25" s="3732">
        <f>'Table2(I)'!E27</f>
        <v>7.2320964485920639E-2</v>
      </c>
      <c r="F25" s="617" t="str">
        <f>'Table2(I)'!F27</f>
        <v>NO</v>
      </c>
      <c r="G25" s="617">
        <f>'Table2(I)'!G27</f>
        <v>4146.8866252000589</v>
      </c>
      <c r="H25" s="617" t="str">
        <f>'Table2(I)'!H27</f>
        <v>NO</v>
      </c>
      <c r="I25" s="617" t="str">
        <f>'Table2(I)'!I27</f>
        <v>NO</v>
      </c>
      <c r="J25" s="617" t="str">
        <f>'Table2(I)'!J27</f>
        <v>NO</v>
      </c>
      <c r="K25" s="617">
        <f>'Table2(I)'!K27</f>
        <v>37.115349448777216</v>
      </c>
      <c r="L25" s="617">
        <f>'Table2(I)'!L27</f>
        <v>9.9138160894991874</v>
      </c>
      <c r="M25" s="617">
        <f>'Table2(I)'!M27</f>
        <v>8.9901956840514552E-2</v>
      </c>
      <c r="N25" s="619">
        <f>'Table2(I)'!N27</f>
        <v>1010.2592542221502</v>
      </c>
      <c r="O25" s="3717">
        <f t="shared" si="2"/>
        <v>15570.535653892883</v>
      </c>
    </row>
    <row r="26" spans="2:15" ht="18" customHeight="1" x14ac:dyDescent="0.25">
      <c r="B26" s="1129" t="s">
        <v>1933</v>
      </c>
      <c r="C26" s="3729">
        <f>'Table2(I)'!C35</f>
        <v>257.74698899999999</v>
      </c>
      <c r="D26" s="3733" t="str">
        <f>'Table2(I)'!D35</f>
        <v>NO</v>
      </c>
      <c r="E26" s="602" t="str">
        <f>'Table2(I)'!E35</f>
        <v>NO</v>
      </c>
      <c r="F26" s="69"/>
      <c r="G26" s="69"/>
      <c r="H26" s="69"/>
      <c r="I26" s="69"/>
      <c r="J26" s="69"/>
      <c r="K26" s="602" t="str">
        <f>'Table2(I)'!K35</f>
        <v>NO</v>
      </c>
      <c r="L26" s="3732" t="str">
        <f>'Table2(I)'!L35</f>
        <v>NO</v>
      </c>
      <c r="M26" s="3732">
        <f>'Table2(I)'!M35</f>
        <v>167.50026624513208</v>
      </c>
      <c r="N26" s="3734" t="str">
        <f>'Table2(I)'!N35</f>
        <v>NO</v>
      </c>
      <c r="O26" s="3717">
        <f t="shared" si="2"/>
        <v>257.74698899999999</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t="str">
        <f>'Table2(I)'!F45</f>
        <v>NO</v>
      </c>
      <c r="G28" s="3718" t="str">
        <f>'Table2(I)'!G45</f>
        <v>NO</v>
      </c>
      <c r="H28" s="3718" t="str">
        <f>'Table2(I)'!H45</f>
        <v>NO</v>
      </c>
      <c r="I28" s="3718" t="str">
        <f>'Table2(I)'!I45</f>
        <v>NO</v>
      </c>
      <c r="J28" s="3718" t="str">
        <f>'Table2(I)'!J45</f>
        <v>NO</v>
      </c>
      <c r="K28" s="3719"/>
      <c r="L28" s="3719"/>
      <c r="M28" s="3719"/>
      <c r="N28" s="3738"/>
      <c r="O28" s="3721" t="str">
        <f t="shared" si="2"/>
        <v>NO</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1.0497459871920091E-2</v>
      </c>
      <c r="J29" s="602" t="str">
        <f>'Table2(I)'!J52</f>
        <v>NO</v>
      </c>
      <c r="K29" s="3741" t="str">
        <f>'Table2(I)'!K52</f>
        <v>NO</v>
      </c>
      <c r="L29" s="3741" t="str">
        <f>'Table2(I)'!L52</f>
        <v>NO</v>
      </c>
      <c r="M29" s="3741" t="str">
        <f>'Table2(I)'!M52</f>
        <v>NO</v>
      </c>
      <c r="N29" s="3742" t="str">
        <f>'Table2(I)'!N52</f>
        <v>NO</v>
      </c>
      <c r="O29" s="3721">
        <f t="shared" si="2"/>
        <v>246.69030699012214</v>
      </c>
    </row>
    <row r="30" spans="2:15" ht="18" customHeight="1" thickBot="1" x14ac:dyDescent="0.3">
      <c r="B30" s="1374" t="s">
        <v>1936</v>
      </c>
      <c r="C30" s="3743">
        <f>'Table2(I)'!C57</f>
        <v>85.06805102123964</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37.29814600000001</v>
      </c>
      <c r="N30" s="3746" t="str">
        <f>'Table2(I)'!N57</f>
        <v>NA</v>
      </c>
      <c r="O30" s="3747">
        <f t="shared" si="2"/>
        <v>85.06805102123964</v>
      </c>
    </row>
    <row r="31" spans="2:15" ht="18" customHeight="1" x14ac:dyDescent="0.25">
      <c r="B31" s="1130" t="s">
        <v>1937</v>
      </c>
      <c r="C31" s="3789">
        <f>Table3!C10</f>
        <v>634.89614176008422</v>
      </c>
      <c r="D31" s="3748">
        <f>Table3!D10</f>
        <v>2839.2119857675448</v>
      </c>
      <c r="E31" s="3749">
        <f>Table3!E10</f>
        <v>38.888468938179933</v>
      </c>
      <c r="F31" s="3750"/>
      <c r="G31" s="3750"/>
      <c r="H31" s="3750"/>
      <c r="I31" s="3750"/>
      <c r="J31" s="3750"/>
      <c r="K31" s="3751">
        <f>Table3!F10</f>
        <v>26.592482533729303</v>
      </c>
      <c r="L31" s="3751">
        <f>Table3!G10</f>
        <v>449.08986997018991</v>
      </c>
      <c r="M31" s="3751">
        <f>Table3!H10</f>
        <v>26.196909081594409</v>
      </c>
      <c r="N31" s="3752" t="str">
        <f>Table3!I10</f>
        <v>NO</v>
      </c>
      <c r="O31" s="3716">
        <f t="shared" si="2"/>
        <v>90438.276011869006</v>
      </c>
    </row>
    <row r="32" spans="2:15" ht="18" customHeight="1" x14ac:dyDescent="0.25">
      <c r="B32" s="1131" t="s">
        <v>1938</v>
      </c>
      <c r="C32" s="3735"/>
      <c r="D32" s="3753">
        <f>Table3!D11</f>
        <v>2569.3894671904864</v>
      </c>
      <c r="E32" s="98"/>
      <c r="F32" s="3754"/>
      <c r="G32" s="3754"/>
      <c r="H32" s="3730"/>
      <c r="I32" s="3754"/>
      <c r="J32" s="3730"/>
      <c r="K32" s="98"/>
      <c r="L32" s="98"/>
      <c r="M32" s="98"/>
      <c r="N32" s="3755"/>
      <c r="O32" s="3716">
        <f t="shared" si="2"/>
        <v>71942.905081333622</v>
      </c>
    </row>
    <row r="33" spans="2:15" ht="18" customHeight="1" x14ac:dyDescent="0.25">
      <c r="B33" s="1131" t="s">
        <v>1939</v>
      </c>
      <c r="C33" s="3735"/>
      <c r="D33" s="3722">
        <f>Table3!D21</f>
        <v>242.96166149963264</v>
      </c>
      <c r="E33" s="3722">
        <f>Table3!E21</f>
        <v>0.941740524859082</v>
      </c>
      <c r="F33" s="3754"/>
      <c r="G33" s="3754"/>
      <c r="H33" s="3754"/>
      <c r="I33" s="3754"/>
      <c r="J33" s="3754"/>
      <c r="K33" s="69"/>
      <c r="L33" s="69"/>
      <c r="M33" s="3756" t="str">
        <f>Table3!H21</f>
        <v>NE</v>
      </c>
      <c r="N33" s="3757"/>
      <c r="O33" s="3717">
        <f t="shared" si="2"/>
        <v>7052.487761077371</v>
      </c>
    </row>
    <row r="34" spans="2:15" ht="18" customHeight="1" x14ac:dyDescent="0.25">
      <c r="B34" s="1131" t="s">
        <v>1940</v>
      </c>
      <c r="C34" s="3735"/>
      <c r="D34" s="3722">
        <f>Table3!D32</f>
        <v>15.345732206395644</v>
      </c>
      <c r="E34" s="69"/>
      <c r="F34" s="3754"/>
      <c r="G34" s="3754"/>
      <c r="H34" s="3754"/>
      <c r="I34" s="3754"/>
      <c r="J34" s="3754"/>
      <c r="K34" s="69"/>
      <c r="L34" s="69"/>
      <c r="M34" s="3756" t="str">
        <f>Table3!H32</f>
        <v>NE</v>
      </c>
      <c r="N34" s="3757"/>
      <c r="O34" s="3717">
        <f t="shared" si="2"/>
        <v>429.68050177907804</v>
      </c>
    </row>
    <row r="35" spans="2:15" ht="18" customHeight="1" x14ac:dyDescent="0.25">
      <c r="B35" s="1131" t="s">
        <v>1941</v>
      </c>
      <c r="C35" s="3758"/>
      <c r="D35" s="3722" t="str">
        <f>Table3!D33</f>
        <v>NE</v>
      </c>
      <c r="E35" s="3722">
        <f>Table3!E33</f>
        <v>37.486452732198742</v>
      </c>
      <c r="F35" s="3754"/>
      <c r="G35" s="3754"/>
      <c r="H35" s="3754"/>
      <c r="I35" s="3754"/>
      <c r="J35" s="3754"/>
      <c r="K35" s="3756" t="str">
        <f>Table3!F33</f>
        <v>NO</v>
      </c>
      <c r="L35" s="3756" t="str">
        <f>Table3!G33</f>
        <v>NO</v>
      </c>
      <c r="M35" s="3756" t="str">
        <f>Table3!H33</f>
        <v>NO</v>
      </c>
      <c r="N35" s="3757"/>
      <c r="O35" s="3717">
        <f t="shared" si="2"/>
        <v>9933.9099740326674</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11.515124871030508</v>
      </c>
      <c r="E37" s="3722">
        <f>Table3!E44</f>
        <v>0.46027568112210548</v>
      </c>
      <c r="F37" s="3754"/>
      <c r="G37" s="3754"/>
      <c r="H37" s="3754"/>
      <c r="I37" s="3754"/>
      <c r="J37" s="3754"/>
      <c r="K37" s="3756">
        <f>Table3!F44</f>
        <v>26.592482533729303</v>
      </c>
      <c r="L37" s="3756">
        <f>Table3!G44</f>
        <v>449.08986997018991</v>
      </c>
      <c r="M37" s="3756">
        <f>Table3!H44</f>
        <v>26.196909081594409</v>
      </c>
      <c r="N37" s="3756" t="str">
        <f>Table3!I44</f>
        <v>NO</v>
      </c>
      <c r="O37" s="3717">
        <f t="shared" si="2"/>
        <v>444.39655188621219</v>
      </c>
    </row>
    <row r="38" spans="2:15" ht="18" customHeight="1" x14ac:dyDescent="0.25">
      <c r="B38" s="1132" t="s">
        <v>955</v>
      </c>
      <c r="C38" s="3739">
        <f>Table3!C45</f>
        <v>260.25846060066385</v>
      </c>
      <c r="D38" s="3759"/>
      <c r="E38" s="3759"/>
      <c r="F38" s="3736"/>
      <c r="G38" s="3736"/>
      <c r="H38" s="3736"/>
      <c r="I38" s="3736"/>
      <c r="J38" s="3736"/>
      <c r="K38" s="3760"/>
      <c r="L38" s="3760"/>
      <c r="M38" s="3760"/>
      <c r="N38" s="3738"/>
      <c r="O38" s="3721">
        <f t="shared" si="2"/>
        <v>260.25846060066385</v>
      </c>
    </row>
    <row r="39" spans="2:15" ht="18" customHeight="1" x14ac:dyDescent="0.25">
      <c r="B39" s="1132" t="s">
        <v>956</v>
      </c>
      <c r="C39" s="3761">
        <f>Table3!C46</f>
        <v>374.63768115942037</v>
      </c>
      <c r="D39" s="3759"/>
      <c r="E39" s="3759"/>
      <c r="F39" s="3736"/>
      <c r="G39" s="3736"/>
      <c r="H39" s="3736"/>
      <c r="I39" s="3736"/>
      <c r="J39" s="3736"/>
      <c r="K39" s="3760"/>
      <c r="L39" s="3760"/>
      <c r="M39" s="3760"/>
      <c r="N39" s="3738"/>
      <c r="O39" s="3721">
        <f t="shared" si="2"/>
        <v>374.63768115942037</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133784.21891553813</v>
      </c>
      <c r="D42" s="3765">
        <f>Table4!D10</f>
        <v>709.77379808244677</v>
      </c>
      <c r="E42" s="3766">
        <f>Table4!E10</f>
        <v>15.518014420853293</v>
      </c>
      <c r="F42" s="3750"/>
      <c r="G42" s="3750"/>
      <c r="H42" s="3750"/>
      <c r="I42" s="3750"/>
      <c r="J42" s="3750"/>
      <c r="K42" s="3767">
        <f>Table4!F10</f>
        <v>779.07849709935965</v>
      </c>
      <c r="L42" s="3767">
        <f>Table4!G10</f>
        <v>21849.910175720033</v>
      </c>
      <c r="M42" s="3767">
        <f>Table4!H10</f>
        <v>995.59445489074858</v>
      </c>
      <c r="N42" s="3768" t="str">
        <f>N50</f>
        <v>NO</v>
      </c>
      <c r="O42" s="3715">
        <f t="shared" si="2"/>
        <v>157770.15908337277</v>
      </c>
    </row>
    <row r="43" spans="2:15" ht="18" customHeight="1" x14ac:dyDescent="0.25">
      <c r="B43" s="1131" t="s">
        <v>1947</v>
      </c>
      <c r="C43" s="3769">
        <f>Table4!C11</f>
        <v>-13884.157619537076</v>
      </c>
      <c r="D43" s="3770">
        <f>Table4!D11</f>
        <v>242.21876666320892</v>
      </c>
      <c r="E43" s="3771">
        <f>Table4!E11</f>
        <v>5.2593458587398771</v>
      </c>
      <c r="F43" s="3736"/>
      <c r="G43" s="3736"/>
      <c r="H43" s="3736"/>
      <c r="I43" s="3736"/>
      <c r="J43" s="3736"/>
      <c r="K43" s="3756">
        <f>Table4!F11</f>
        <v>270.96921004035516</v>
      </c>
      <c r="L43" s="3756">
        <f>Table4!G11</f>
        <v>7215.0528097868846</v>
      </c>
      <c r="M43" s="3756">
        <f>Table4!H11</f>
        <v>227.11762058370729</v>
      </c>
      <c r="N43" s="3772"/>
      <c r="O43" s="3773">
        <f t="shared" si="2"/>
        <v>-5708.3055004011585</v>
      </c>
    </row>
    <row r="44" spans="2:15" ht="18" customHeight="1" x14ac:dyDescent="0.25">
      <c r="B44" s="1131" t="s">
        <v>1948</v>
      </c>
      <c r="C44" s="3769">
        <f>Table4!C14</f>
        <v>34351.57617938632</v>
      </c>
      <c r="D44" s="3774">
        <f>Table4!D14</f>
        <v>21.166542228602228</v>
      </c>
      <c r="E44" s="3774">
        <f>Table4!E14</f>
        <v>0.48927027215859376</v>
      </c>
      <c r="F44" s="3754"/>
      <c r="G44" s="3754"/>
      <c r="H44" s="3754"/>
      <c r="I44" s="3754"/>
      <c r="J44" s="3754"/>
      <c r="K44" s="3756">
        <f>Table4!F14</f>
        <v>15.937902332846321</v>
      </c>
      <c r="L44" s="3756">
        <f>Table4!G14</f>
        <v>624.21700924164907</v>
      </c>
      <c r="M44" s="3756">
        <f>Table4!H14</f>
        <v>75.454803314924604</v>
      </c>
      <c r="N44" s="3775"/>
      <c r="O44" s="3717">
        <f t="shared" si="2"/>
        <v>35073.895983909213</v>
      </c>
    </row>
    <row r="45" spans="2:15" ht="18" customHeight="1" x14ac:dyDescent="0.25">
      <c r="B45" s="1131" t="s">
        <v>1949</v>
      </c>
      <c r="C45" s="3769">
        <f>Table4!C17</f>
        <v>111128.53882818409</v>
      </c>
      <c r="D45" s="3774">
        <f>Table4!D17</f>
        <v>354.55499461487636</v>
      </c>
      <c r="E45" s="3774">
        <f>Table4!E17</f>
        <v>9.3603791686527771</v>
      </c>
      <c r="F45" s="3754"/>
      <c r="G45" s="3754"/>
      <c r="H45" s="3754"/>
      <c r="I45" s="3754"/>
      <c r="J45" s="3754"/>
      <c r="K45" s="3756">
        <f>Table4!F17</f>
        <v>468.37266544236388</v>
      </c>
      <c r="L45" s="3756">
        <f>Table4!G17</f>
        <v>13375.271025542568</v>
      </c>
      <c r="M45" s="3756">
        <f>Table4!H17</f>
        <v>672.55122326475782</v>
      </c>
      <c r="N45" s="3775"/>
      <c r="O45" s="3717">
        <f t="shared" si="2"/>
        <v>123536.57915709361</v>
      </c>
    </row>
    <row r="46" spans="2:15" ht="18" customHeight="1" x14ac:dyDescent="0.25">
      <c r="B46" s="1131" t="s">
        <v>1950</v>
      </c>
      <c r="C46" s="3769">
        <f>Table4!C20</f>
        <v>2094.5991809202014</v>
      </c>
      <c r="D46" s="3774">
        <f>Table4!D20</f>
        <v>86.175365470539688</v>
      </c>
      <c r="E46" s="3774">
        <f>Table4!E20</f>
        <v>0.27359551914462499</v>
      </c>
      <c r="F46" s="3754"/>
      <c r="G46" s="3754"/>
      <c r="H46" s="3754"/>
      <c r="I46" s="3754"/>
      <c r="J46" s="3754"/>
      <c r="K46" s="3756">
        <f>Table4!F20</f>
        <v>19.538282784923634</v>
      </c>
      <c r="L46" s="3756">
        <f>Table4!G20</f>
        <v>468.50691262926244</v>
      </c>
      <c r="M46" s="3756">
        <f>Table4!H20</f>
        <v>0.30062526893711006</v>
      </c>
      <c r="N46" s="3775"/>
      <c r="O46" s="3717">
        <f t="shared" si="2"/>
        <v>4580.0122266686394</v>
      </c>
    </row>
    <row r="47" spans="2:15" ht="18" customHeight="1" x14ac:dyDescent="0.25">
      <c r="B47" s="1131" t="s">
        <v>1951</v>
      </c>
      <c r="C47" s="3769">
        <f>Table4!C23</f>
        <v>6665.9078443745493</v>
      </c>
      <c r="D47" s="3774">
        <f>Table4!D23</f>
        <v>5.6581291052196079</v>
      </c>
      <c r="E47" s="3776">
        <f>Table4!E23</f>
        <v>0.11938574358599241</v>
      </c>
      <c r="F47" s="3754"/>
      <c r="G47" s="3754"/>
      <c r="H47" s="3754"/>
      <c r="I47" s="3754"/>
      <c r="J47" s="3754"/>
      <c r="K47" s="3756">
        <f>Table4!F23</f>
        <v>4.2604364988707166</v>
      </c>
      <c r="L47" s="3756">
        <f>Table4!G23</f>
        <v>166.86241851967085</v>
      </c>
      <c r="M47" s="3756">
        <f>Table4!H23</f>
        <v>20.170182458421749</v>
      </c>
      <c r="N47" s="1842"/>
      <c r="O47" s="3717">
        <f t="shared" si="2"/>
        <v>6855.9726813709867</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-6572.2454977899288</v>
      </c>
      <c r="D49" s="3736"/>
      <c r="E49" s="3736"/>
      <c r="F49" s="3736"/>
      <c r="G49" s="3736"/>
      <c r="H49" s="3736"/>
      <c r="I49" s="3736"/>
      <c r="J49" s="3736"/>
      <c r="K49" s="3736"/>
      <c r="L49" s="3736"/>
      <c r="M49" s="3736"/>
      <c r="N49" s="3781"/>
      <c r="O49" s="3721">
        <f t="shared" si="2"/>
        <v>-6572.2454977899288</v>
      </c>
    </row>
    <row r="50" spans="2:15" ht="18" customHeight="1" thickBot="1" x14ac:dyDescent="0.3">
      <c r="B50" s="1375" t="s">
        <v>1954</v>
      </c>
      <c r="C50" s="3782" t="str">
        <f>Table4!C30</f>
        <v>NO</v>
      </c>
      <c r="D50" s="3783" t="str">
        <f>Table4!D30</f>
        <v>NO</v>
      </c>
      <c r="E50" s="3783">
        <f>Table4!E30</f>
        <v>1.6037858571428573E-2</v>
      </c>
      <c r="F50" s="3762"/>
      <c r="G50" s="3762"/>
      <c r="H50" s="3762"/>
      <c r="I50" s="3762"/>
      <c r="J50" s="3762"/>
      <c r="K50" s="3784" t="str">
        <f>Table4!F30</f>
        <v>NO</v>
      </c>
      <c r="L50" s="3784" t="str">
        <f>Table4!G30</f>
        <v>NO</v>
      </c>
      <c r="M50" s="3784" t="str">
        <f>Table4!H30</f>
        <v>NO</v>
      </c>
      <c r="N50" s="3785" t="s">
        <v>199</v>
      </c>
      <c r="O50" s="3747">
        <f t="shared" si="2"/>
        <v>4.2500325214285715</v>
      </c>
    </row>
    <row r="51" spans="2:15" ht="18" customHeight="1" x14ac:dyDescent="0.25">
      <c r="B51" s="1376" t="s">
        <v>1955</v>
      </c>
      <c r="C51" s="3786">
        <f>Table5!C10</f>
        <v>73.988845759355272</v>
      </c>
      <c r="D51" s="3748">
        <f>Table5!D10</f>
        <v>826.59713400707039</v>
      </c>
      <c r="E51" s="3749">
        <f>Table5!E10</f>
        <v>0.61813364076428645</v>
      </c>
      <c r="F51" s="3750"/>
      <c r="G51" s="3750"/>
      <c r="H51" s="3750"/>
      <c r="I51" s="3750"/>
      <c r="J51" s="3750"/>
      <c r="K51" s="3751" t="str">
        <f>Table5!F10</f>
        <v>NO</v>
      </c>
      <c r="L51" s="3751" t="str">
        <f>Table5!G10</f>
        <v>NO</v>
      </c>
      <c r="M51" s="3751">
        <f>Table5!H10</f>
        <v>479.90438344334387</v>
      </c>
      <c r="N51" s="3752" t="str">
        <f>Table5!I10</f>
        <v>NO</v>
      </c>
      <c r="O51" s="3787">
        <f t="shared" si="2"/>
        <v>23382.514012759864</v>
      </c>
    </row>
    <row r="52" spans="2:15" ht="18" customHeight="1" x14ac:dyDescent="0.25">
      <c r="B52" s="1131" t="s">
        <v>1956</v>
      </c>
      <c r="C52" s="3758"/>
      <c r="D52" s="3753">
        <f>Table5!D11</f>
        <v>608.74261770345061</v>
      </c>
      <c r="E52" s="3788"/>
      <c r="F52" s="3750"/>
      <c r="G52" s="3750"/>
      <c r="H52" s="3750"/>
      <c r="I52" s="3750"/>
      <c r="J52" s="3750"/>
      <c r="K52" s="3756" t="str">
        <f>Table5!F11</f>
        <v>NO</v>
      </c>
      <c r="L52" s="3756" t="str">
        <f>Table5!G11</f>
        <v>NO</v>
      </c>
      <c r="M52" s="3756">
        <f>Table5!H11</f>
        <v>2.7156801893543094</v>
      </c>
      <c r="N52" s="3755"/>
      <c r="O52" s="3787">
        <f t="shared" si="2"/>
        <v>17044.793295696618</v>
      </c>
    </row>
    <row r="53" spans="2:15" ht="18" customHeight="1" x14ac:dyDescent="0.25">
      <c r="B53" s="1131" t="s">
        <v>1957</v>
      </c>
      <c r="C53" s="3758"/>
      <c r="D53" s="3753">
        <f>Table5!D15</f>
        <v>0.48310166212398975</v>
      </c>
      <c r="E53" s="3753">
        <f>Table5!E15</f>
        <v>6.1837012751870701E-2</v>
      </c>
      <c r="F53" s="3754"/>
      <c r="G53" s="3754"/>
      <c r="H53" s="3754"/>
      <c r="I53" s="3754"/>
      <c r="J53" s="3754"/>
      <c r="K53" s="3756" t="str">
        <f>Table5!F15</f>
        <v>NA,NE</v>
      </c>
      <c r="L53" s="3756" t="str">
        <f>Table5!G15</f>
        <v>NA,NE</v>
      </c>
      <c r="M53" s="3756" t="str">
        <f>Table5!H15</f>
        <v>NA,NE</v>
      </c>
      <c r="N53" s="3755"/>
      <c r="O53" s="3716">
        <f t="shared" si="2"/>
        <v>29.913654918717448</v>
      </c>
    </row>
    <row r="54" spans="2:15" ht="18" customHeight="1" x14ac:dyDescent="0.25">
      <c r="B54" s="1131" t="s">
        <v>1958</v>
      </c>
      <c r="C54" s="3817">
        <f>Table5!C18</f>
        <v>73.988845759355272</v>
      </c>
      <c r="D54" s="3722">
        <f>Table5!D18</f>
        <v>9.2671199999999995E-2</v>
      </c>
      <c r="E54" s="3722">
        <f>Table5!E18</f>
        <v>3.7979999999999993E-2</v>
      </c>
      <c r="F54" s="3754"/>
      <c r="G54" s="3754"/>
      <c r="H54" s="3754"/>
      <c r="I54" s="3754"/>
      <c r="J54" s="3754"/>
      <c r="K54" s="3756" t="str">
        <f>Table5!F18</f>
        <v>NA</v>
      </c>
      <c r="L54" s="3756" t="str">
        <f>Table5!G18</f>
        <v>NA</v>
      </c>
      <c r="M54" s="3756" t="str">
        <f>Table5!H18</f>
        <v>NA</v>
      </c>
      <c r="N54" s="3790" t="str">
        <f>Table5!I18</f>
        <v>NA</v>
      </c>
      <c r="O54" s="3791">
        <f t="shared" si="2"/>
        <v>86.648339359355276</v>
      </c>
    </row>
    <row r="55" spans="2:15" ht="18" customHeight="1" x14ac:dyDescent="0.25">
      <c r="B55" s="1131" t="s">
        <v>1959</v>
      </c>
      <c r="C55" s="3735"/>
      <c r="D55" s="3722">
        <f>Table5!D21</f>
        <v>217.27874344149578</v>
      </c>
      <c r="E55" s="3722">
        <f>Table5!E21</f>
        <v>0.51831662801241574</v>
      </c>
      <c r="F55" s="3754"/>
      <c r="G55" s="3754"/>
      <c r="H55" s="3754"/>
      <c r="I55" s="3754"/>
      <c r="J55" s="3754"/>
      <c r="K55" s="3756" t="str">
        <f>Table5!F21</f>
        <v>NO</v>
      </c>
      <c r="L55" s="3756" t="str">
        <f>Table5!G21</f>
        <v>NO</v>
      </c>
      <c r="M55" s="3756">
        <f>Table5!H21</f>
        <v>477.18870325398956</v>
      </c>
      <c r="N55" s="3755"/>
      <c r="O55" s="3791">
        <f t="shared" si="2"/>
        <v>6221.1587227851714</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6436.1739999999991</v>
      </c>
      <c r="D61" s="3802">
        <f>Table1!D52</f>
        <v>0.18826561</v>
      </c>
      <c r="E61" s="3802">
        <f>Table1!E52</f>
        <v>7.5386837384210537E-2</v>
      </c>
      <c r="F61" s="615"/>
      <c r="G61" s="615"/>
      <c r="H61" s="615"/>
      <c r="I61" s="615"/>
      <c r="J61" s="615"/>
      <c r="K61" s="3802">
        <f>Table1!F52</f>
        <v>72.714301753157898</v>
      </c>
      <c r="L61" s="3802">
        <f>Table1!G52</f>
        <v>8.8676910121052614</v>
      </c>
      <c r="M61" s="3802">
        <f>Table1!H52</f>
        <v>5.026976773736842</v>
      </c>
      <c r="N61" s="3803">
        <f>Table1!I52</f>
        <v>28.109630364372471</v>
      </c>
      <c r="O61" s="3787">
        <f t="shared" ref="O61:O67" si="4">IF(SUM(C61:J61)=0,"NO",SUM(C61,F61:H61)+28*SUM(D61)+265*SUM(E61)+23500*SUM(I61)+16100*SUM(J61))</f>
        <v>6461.4229489868148</v>
      </c>
    </row>
    <row r="62" spans="2:15" ht="18" customHeight="1" x14ac:dyDescent="0.25">
      <c r="B62" s="1370" t="s">
        <v>218</v>
      </c>
      <c r="C62" s="3804">
        <f>Table1!C53</f>
        <v>4558.7999999999993</v>
      </c>
      <c r="D62" s="620">
        <f>Table1!D53</f>
        <v>8.1556099999999989E-3</v>
      </c>
      <c r="E62" s="620">
        <f>Table1!E53</f>
        <v>2.3926837384210527E-2</v>
      </c>
      <c r="F62" s="615"/>
      <c r="G62" s="615"/>
      <c r="H62" s="615"/>
      <c r="I62" s="615"/>
      <c r="J62" s="2161"/>
      <c r="K62" s="620">
        <f>Table1!F53</f>
        <v>23.11070175315789</v>
      </c>
      <c r="L62" s="620">
        <f>Table1!G53</f>
        <v>7.2095910121052622</v>
      </c>
      <c r="M62" s="620">
        <f>Table1!H53</f>
        <v>3.4811267737368423</v>
      </c>
      <c r="N62" s="622">
        <f>Table1!I53</f>
        <v>0.53710000000000013</v>
      </c>
      <c r="O62" s="3716">
        <f t="shared" si="4"/>
        <v>4565.3689689868152</v>
      </c>
    </row>
    <row r="63" spans="2:15" ht="18" customHeight="1" x14ac:dyDescent="0.25">
      <c r="B63" s="1379" t="s">
        <v>1963</v>
      </c>
      <c r="C63" s="3804">
        <f>Table1!C54</f>
        <v>1877.374</v>
      </c>
      <c r="D63" s="617">
        <f>Table1!D54</f>
        <v>0.18010999999999999</v>
      </c>
      <c r="E63" s="617">
        <f>Table1!E54</f>
        <v>5.1460000000000006E-2</v>
      </c>
      <c r="F63" s="615"/>
      <c r="G63" s="615"/>
      <c r="H63" s="615"/>
      <c r="I63" s="615"/>
      <c r="J63" s="615"/>
      <c r="K63" s="617">
        <f>Table1!F54</f>
        <v>49.603600000000007</v>
      </c>
      <c r="L63" s="617">
        <f>Table1!G54</f>
        <v>1.6581000000000001</v>
      </c>
      <c r="M63" s="617">
        <f>Table1!H54</f>
        <v>1.5458499999999999</v>
      </c>
      <c r="N63" s="619">
        <f>Table1!I54</f>
        <v>27.572530364372472</v>
      </c>
      <c r="O63" s="3717">
        <f t="shared" si="4"/>
        <v>1896.0539799999999</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15017.922219999999</v>
      </c>
      <c r="D65" s="3806"/>
      <c r="E65" s="3806"/>
      <c r="F65" s="3807"/>
      <c r="G65" s="3807"/>
      <c r="H65" s="3807"/>
      <c r="I65" s="3807"/>
      <c r="J65" s="3806"/>
      <c r="K65" s="3806"/>
      <c r="L65" s="3806"/>
      <c r="M65" s="3806"/>
      <c r="N65" s="3808"/>
      <c r="O65" s="3773">
        <f t="shared" si="4"/>
        <v>15017.922219999999</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191008.2991050088</v>
      </c>
      <c r="D67" s="3807"/>
      <c r="E67" s="3807"/>
      <c r="F67" s="3811"/>
      <c r="G67" s="3807"/>
      <c r="H67" s="3807"/>
      <c r="I67" s="3807"/>
      <c r="J67" s="3807"/>
      <c r="K67" s="3807"/>
      <c r="L67" s="3807"/>
      <c r="M67" s="3807"/>
      <c r="N67" s="3812"/>
      <c r="O67" s="3721">
        <f t="shared" si="4"/>
        <v>191008.2991050088</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413318.47179445607</v>
      </c>
      <c r="D10" s="3798">
        <f>IFERROR(Summary1!D10*28,Summary1!D10)</f>
        <v>158978.58967275286</v>
      </c>
      <c r="E10" s="3798">
        <f>IFERROR(Summary1!E10*265,Summary1!E10)</f>
        <v>17107.763684975842</v>
      </c>
      <c r="F10" s="3798">
        <f>Summary1!F10</f>
        <v>1193.6537599999999</v>
      </c>
      <c r="G10" s="3798">
        <f>Summary1!G10</f>
        <v>4146.8866252000589</v>
      </c>
      <c r="H10" s="3798" t="str">
        <f>Summary1!H10</f>
        <v>NO</v>
      </c>
      <c r="I10" s="3827">
        <f>IFERROR(Summary1!I10*23500,Summary1!I10)</f>
        <v>246.69030699012214</v>
      </c>
      <c r="J10" s="4181" t="str">
        <f>IFERROR(Summary1!J10*16100,Summary1!J10)</f>
        <v>NO</v>
      </c>
      <c r="K10" s="3799">
        <f>IF(SUM(C10:J10)=0,"NO",SUM(C10:J10))</f>
        <v>594992.05584437493</v>
      </c>
    </row>
    <row r="11" spans="2:12" ht="18" customHeight="1" x14ac:dyDescent="0.2">
      <c r="B11" s="1549" t="s">
        <v>1921</v>
      </c>
      <c r="C11" s="3767">
        <f>Summary1!C11</f>
        <v>260937.39761643976</v>
      </c>
      <c r="D11" s="3767">
        <f>IFERROR(Summary1!D11*28,Summary1!D11)</f>
        <v>36378.164554430194</v>
      </c>
      <c r="E11" s="3767">
        <f>IFERROR(Summary1!E11*265,Summary1!E11)</f>
        <v>1775.1187277907347</v>
      </c>
      <c r="F11" s="1550"/>
      <c r="G11" s="1550"/>
      <c r="H11" s="1551"/>
      <c r="I11" s="1551"/>
      <c r="J11" s="613"/>
      <c r="K11" s="3828">
        <f t="shared" ref="K11:K55" si="0">IF(SUM(C11:J11)=0,"NO",SUM(C11:J11))</f>
        <v>299090.68089866068</v>
      </c>
      <c r="L11" s="19"/>
    </row>
    <row r="12" spans="2:12" ht="18" customHeight="1" x14ac:dyDescent="0.2">
      <c r="B12" s="606" t="s">
        <v>242</v>
      </c>
      <c r="C12" s="3756">
        <f>Summary1!C12</f>
        <v>253935.97573652302</v>
      </c>
      <c r="D12" s="3756">
        <f>IFERROR(Summary1!D12*28,Summary1!D12)</f>
        <v>3752.5537520923808</v>
      </c>
      <c r="E12" s="3756">
        <f>IFERROR(Summary1!E12*265,Summary1!E12)</f>
        <v>1742.0108753981426</v>
      </c>
      <c r="F12" s="615"/>
      <c r="G12" s="615"/>
      <c r="H12" s="615"/>
      <c r="I12" s="69"/>
      <c r="J12" s="69"/>
      <c r="K12" s="3829">
        <f t="shared" si="0"/>
        <v>259430.54036401355</v>
      </c>
      <c r="L12" s="19"/>
    </row>
    <row r="13" spans="2:12" ht="18" customHeight="1" x14ac:dyDescent="0.2">
      <c r="B13" s="1391" t="s">
        <v>1923</v>
      </c>
      <c r="C13" s="3756">
        <f>Summary1!C13</f>
        <v>145798.89301365922</v>
      </c>
      <c r="D13" s="3756">
        <f>IFERROR(Summary1!D13*28,Summary1!D13)</f>
        <v>165.95235125501313</v>
      </c>
      <c r="E13" s="3756">
        <f>IFERROR(Summary1!E13*265,Summary1!E13)</f>
        <v>431.70308392819419</v>
      </c>
      <c r="F13" s="615"/>
      <c r="G13" s="615"/>
      <c r="H13" s="615"/>
      <c r="I13" s="69"/>
      <c r="J13" s="69"/>
      <c r="K13" s="3829">
        <f t="shared" si="0"/>
        <v>146396.54844884243</v>
      </c>
      <c r="L13" s="19"/>
    </row>
    <row r="14" spans="2:12" ht="18" customHeight="1" x14ac:dyDescent="0.2">
      <c r="B14" s="1391" t="s">
        <v>1976</v>
      </c>
      <c r="C14" s="3756">
        <f>Summary1!C14</f>
        <v>35411.642792381535</v>
      </c>
      <c r="D14" s="3756">
        <f>IFERROR(Summary1!D14*28,Summary1!D14)</f>
        <v>55.913820496643488</v>
      </c>
      <c r="E14" s="3756">
        <f>IFERROR(Summary1!E14*265,Summary1!E14)</f>
        <v>293.34012576141271</v>
      </c>
      <c r="F14" s="615"/>
      <c r="G14" s="615"/>
      <c r="H14" s="615"/>
      <c r="I14" s="69"/>
      <c r="J14" s="69"/>
      <c r="K14" s="3829">
        <f t="shared" si="0"/>
        <v>35760.896738639589</v>
      </c>
      <c r="L14" s="19"/>
    </row>
    <row r="15" spans="2:12" ht="18" customHeight="1" x14ac:dyDescent="0.2">
      <c r="B15" s="1391" t="s">
        <v>1925</v>
      </c>
      <c r="C15" s="3756">
        <f>Summary1!C15</f>
        <v>59194.713824602695</v>
      </c>
      <c r="D15" s="3756">
        <f>IFERROR(Summary1!D15*28,Summary1!D15)</f>
        <v>736.38832620628853</v>
      </c>
      <c r="E15" s="3756">
        <f>IFERROR(Summary1!E15*265,Summary1!E15)</f>
        <v>870.43170888841985</v>
      </c>
      <c r="F15" s="615"/>
      <c r="G15" s="615"/>
      <c r="H15" s="615"/>
      <c r="I15" s="69"/>
      <c r="J15" s="69"/>
      <c r="K15" s="3829">
        <f t="shared" si="0"/>
        <v>60801.533859697403</v>
      </c>
      <c r="L15" s="19"/>
    </row>
    <row r="16" spans="2:12" ht="18" customHeight="1" x14ac:dyDescent="0.2">
      <c r="B16" s="1391" t="s">
        <v>1926</v>
      </c>
      <c r="C16" s="3756">
        <f>Summary1!C16</f>
        <v>13119.622313292621</v>
      </c>
      <c r="D16" s="3756">
        <f>IFERROR(Summary1!D16*28,Summary1!D16)</f>
        <v>2793.7390964509204</v>
      </c>
      <c r="E16" s="3756">
        <f>IFERROR(Summary1!E16*265,Summary1!E16)</f>
        <v>143.57869203712241</v>
      </c>
      <c r="F16" s="615"/>
      <c r="G16" s="615"/>
      <c r="H16" s="615"/>
      <c r="I16" s="69"/>
      <c r="J16" s="69"/>
      <c r="K16" s="3829">
        <f t="shared" si="0"/>
        <v>16056.940101780665</v>
      </c>
      <c r="L16" s="19"/>
    </row>
    <row r="17" spans="2:12" ht="18" customHeight="1" x14ac:dyDescent="0.2">
      <c r="B17" s="1391" t="s">
        <v>1927</v>
      </c>
      <c r="C17" s="3756">
        <f>Summary1!C17</f>
        <v>411.10379258697043</v>
      </c>
      <c r="D17" s="3756">
        <f>IFERROR(Summary1!D17*28,Summary1!D17)</f>
        <v>0.56015768351493034</v>
      </c>
      <c r="E17" s="3756">
        <f>IFERROR(Summary1!E17*265,Summary1!E17)</f>
        <v>2.9572647829933922</v>
      </c>
      <c r="F17" s="615"/>
      <c r="G17" s="615"/>
      <c r="H17" s="615"/>
      <c r="I17" s="69"/>
      <c r="J17" s="69"/>
      <c r="K17" s="3829">
        <f t="shared" si="0"/>
        <v>414.62121505347875</v>
      </c>
      <c r="L17" s="19"/>
    </row>
    <row r="18" spans="2:12" ht="18" customHeight="1" x14ac:dyDescent="0.2">
      <c r="B18" s="606" t="s">
        <v>201</v>
      </c>
      <c r="C18" s="3756">
        <f>Summary1!C18</f>
        <v>7001.4218799167465</v>
      </c>
      <c r="D18" s="3756">
        <f>IFERROR(Summary1!D18*28,Summary1!D18)</f>
        <v>32625.610802337815</v>
      </c>
      <c r="E18" s="3756">
        <f>IFERROR(Summary1!E18*265,Summary1!E18)</f>
        <v>33.107852392592186</v>
      </c>
      <c r="F18" s="615"/>
      <c r="G18" s="615"/>
      <c r="H18" s="615"/>
      <c r="I18" s="69"/>
      <c r="J18" s="69"/>
      <c r="K18" s="3829">
        <f t="shared" si="0"/>
        <v>39660.140534647151</v>
      </c>
      <c r="L18" s="19"/>
    </row>
    <row r="19" spans="2:12" ht="18" customHeight="1" x14ac:dyDescent="0.2">
      <c r="B19" s="1391" t="s">
        <v>1928</v>
      </c>
      <c r="C19" s="3756">
        <f>Summary1!C19</f>
        <v>1171.7683050721826</v>
      </c>
      <c r="D19" s="3756">
        <f>IFERROR(Summary1!D19*28,Summary1!D19)</f>
        <v>24798.806301597178</v>
      </c>
      <c r="E19" s="3756">
        <f>IFERROR(Summary1!E19*265,Summary1!E19)</f>
        <v>1.933383180283219E-4</v>
      </c>
      <c r="F19" s="615"/>
      <c r="G19" s="615"/>
      <c r="H19" s="615"/>
      <c r="I19" s="69"/>
      <c r="J19" s="69"/>
      <c r="K19" s="3829">
        <f t="shared" si="0"/>
        <v>25970.574800007678</v>
      </c>
      <c r="L19" s="19"/>
    </row>
    <row r="20" spans="2:12" ht="18" customHeight="1" x14ac:dyDescent="0.2">
      <c r="B20" s="1392" t="s">
        <v>1929</v>
      </c>
      <c r="C20" s="3756">
        <f>Summary1!C20</f>
        <v>5829.653574844564</v>
      </c>
      <c r="D20" s="3756">
        <f>IFERROR(Summary1!D20*28,Summary1!D20)</f>
        <v>7826.8045007406363</v>
      </c>
      <c r="E20" s="3756">
        <f>IFERROR(Summary1!E20*265,Summary1!E20)</f>
        <v>33.107659054274158</v>
      </c>
      <c r="F20" s="615"/>
      <c r="G20" s="615"/>
      <c r="H20" s="615"/>
      <c r="I20" s="69"/>
      <c r="J20" s="69"/>
      <c r="K20" s="3829">
        <f t="shared" si="0"/>
        <v>13689.565734639475</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17887.970274958665</v>
      </c>
      <c r="D22" s="3767">
        <f>IFERROR(Summary1!D22*28,Summary1!D22)</f>
        <v>84.103418324948322</v>
      </c>
      <c r="E22" s="3767">
        <f>IFERROR(Summary1!E22*265,Summary1!E22)</f>
        <v>751.12145223876917</v>
      </c>
      <c r="F22" s="3767">
        <f>Summary1!F22</f>
        <v>1193.6537599999999</v>
      </c>
      <c r="G22" s="3767">
        <f>Summary1!G22</f>
        <v>4146.8866252000589</v>
      </c>
      <c r="H22" s="3767" t="str">
        <f>Summary1!H22</f>
        <v>NO</v>
      </c>
      <c r="I22" s="3767">
        <f>IFERROR(Summary1!I22*23500,Summary1!I22)</f>
        <v>246.69030699012214</v>
      </c>
      <c r="J22" s="3831" t="str">
        <f>IFERROR(Summary1!J22*16100,Summary1!J22)</f>
        <v>NO</v>
      </c>
      <c r="K22" s="3828">
        <f t="shared" si="0"/>
        <v>24310.425837712566</v>
      </c>
      <c r="L22" s="19"/>
    </row>
    <row r="23" spans="2:12" ht="18" customHeight="1" x14ac:dyDescent="0.2">
      <c r="B23" s="1393" t="s">
        <v>1932</v>
      </c>
      <c r="C23" s="3756">
        <f>Summary1!C23</f>
        <v>5152.3958590686525</v>
      </c>
      <c r="D23" s="615"/>
      <c r="E23" s="615"/>
      <c r="F23" s="615"/>
      <c r="G23" s="615"/>
      <c r="H23" s="615"/>
      <c r="I23" s="69"/>
      <c r="J23" s="69"/>
      <c r="K23" s="3829">
        <f t="shared" si="0"/>
        <v>5152.3958590686525</v>
      </c>
      <c r="L23" s="19"/>
    </row>
    <row r="24" spans="2:12" ht="18" customHeight="1" x14ac:dyDescent="0.2">
      <c r="B24" s="1393" t="s">
        <v>846</v>
      </c>
      <c r="C24" s="3756">
        <f>Summary1!C24</f>
        <v>1061.0764716256642</v>
      </c>
      <c r="D24" s="3756">
        <f>IFERROR(Summary1!D24*28,Summary1!D24)</f>
        <v>11.302349463999999</v>
      </c>
      <c r="E24" s="3756">
        <f>IFERROR(Summary1!E24*265,Summary1!E24)</f>
        <v>731.9563966500001</v>
      </c>
      <c r="F24" s="1949">
        <f>Summary1!F24</f>
        <v>1193.6537599999999</v>
      </c>
      <c r="G24" s="1949" t="str">
        <f>Summary1!G24</f>
        <v>NO</v>
      </c>
      <c r="H24" s="1949" t="str">
        <f>Summary1!H24</f>
        <v>NO</v>
      </c>
      <c r="I24" s="602" t="str">
        <f>IFERROR(Summary1!I24*23500,Summary1!I24)</f>
        <v>NO</v>
      </c>
      <c r="J24" s="602" t="str">
        <f>IFERROR(Summary1!J24*16100,Summary1!J24)</f>
        <v>NO</v>
      </c>
      <c r="K24" s="3829">
        <f t="shared" si="0"/>
        <v>2997.9889777396638</v>
      </c>
      <c r="L24" s="19"/>
    </row>
    <row r="25" spans="2:12" ht="18" customHeight="1" x14ac:dyDescent="0.2">
      <c r="B25" s="1393" t="s">
        <v>637</v>
      </c>
      <c r="C25" s="3756">
        <f>Summary1!C25</f>
        <v>11331.682904243107</v>
      </c>
      <c r="D25" s="3756">
        <f>IFERROR(Summary1!D25*28,Summary1!D25)</f>
        <v>72.80106886094832</v>
      </c>
      <c r="E25" s="3756">
        <f>IFERROR(Summary1!E25*265,Summary1!E25)</f>
        <v>19.165055588768968</v>
      </c>
      <c r="F25" s="1949" t="str">
        <f>Summary1!F25</f>
        <v>NO</v>
      </c>
      <c r="G25" s="3756">
        <f>Summary1!G25</f>
        <v>4146.8866252000589</v>
      </c>
      <c r="H25" s="3756" t="str">
        <f>Summary1!H25</f>
        <v>NO</v>
      </c>
      <c r="I25" s="3756" t="str">
        <f>IFERROR(Summary1!I25*23500,Summary1!I25)</f>
        <v>NO</v>
      </c>
      <c r="J25" s="3756" t="str">
        <f>IFERROR(Summary1!J25*16100,Summary1!J25)</f>
        <v>NO</v>
      </c>
      <c r="K25" s="3829">
        <f t="shared" si="0"/>
        <v>15570.535653892883</v>
      </c>
      <c r="L25" s="19"/>
    </row>
    <row r="26" spans="2:12" ht="18" customHeight="1" x14ac:dyDescent="0.2">
      <c r="B26" s="1394" t="s">
        <v>1978</v>
      </c>
      <c r="C26" s="3756">
        <f>Summary1!C26</f>
        <v>257.74698899999999</v>
      </c>
      <c r="D26" s="3756" t="str">
        <f>IFERROR(Summary1!D26*28,Summary1!D26)</f>
        <v>NO</v>
      </c>
      <c r="E26" s="3756" t="str">
        <f>IFERROR(Summary1!E26*265,Summary1!E26)</f>
        <v>NO</v>
      </c>
      <c r="F26" s="615"/>
      <c r="G26" s="615"/>
      <c r="H26" s="615"/>
      <c r="I26" s="69"/>
      <c r="J26" s="69"/>
      <c r="K26" s="3829">
        <f t="shared" si="0"/>
        <v>257.74698899999999</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t="str">
        <f>Summary1!F28</f>
        <v>NO</v>
      </c>
      <c r="G28" s="3756" t="str">
        <f>Summary1!G28</f>
        <v>NO</v>
      </c>
      <c r="H28" s="3756" t="str">
        <f>Summary1!H28</f>
        <v>NO</v>
      </c>
      <c r="I28" s="3756" t="str">
        <f>IFERROR(Summary1!I28*23500,Summary1!I28)</f>
        <v>NO</v>
      </c>
      <c r="J28" s="3756" t="str">
        <f>IFERROR(Summary1!J28*16100,Summary1!J28)</f>
        <v>NO</v>
      </c>
      <c r="K28" s="3829" t="str">
        <f t="shared" si="0"/>
        <v>NO</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246.69030699012214</v>
      </c>
      <c r="J29" s="3756" t="str">
        <f>IFERROR(Summary1!J29*16100,Summary1!J29)</f>
        <v>NO</v>
      </c>
      <c r="K29" s="3829">
        <f t="shared" si="0"/>
        <v>246.69030699012214</v>
      </c>
      <c r="L29" s="19"/>
    </row>
    <row r="30" spans="2:12" ht="18" customHeight="1" thickBot="1" x14ac:dyDescent="0.25">
      <c r="B30" s="1406" t="s">
        <v>1982</v>
      </c>
      <c r="C30" s="3784">
        <f>Summary1!C30</f>
        <v>85.06805102123964</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85.06805102123964</v>
      </c>
      <c r="L30" s="19"/>
    </row>
    <row r="31" spans="2:12" ht="18" customHeight="1" x14ac:dyDescent="0.2">
      <c r="B31" s="780" t="s">
        <v>1937</v>
      </c>
      <c r="C31" s="3767">
        <f>Summary1!C31</f>
        <v>634.89614176008422</v>
      </c>
      <c r="D31" s="3767">
        <f>IFERROR(Summary1!D31*28,Summary1!D31)</f>
        <v>79497.935601491248</v>
      </c>
      <c r="E31" s="3767">
        <f>IFERROR(Summary1!E31*265,Summary1!E31)</f>
        <v>10305.444268617683</v>
      </c>
      <c r="F31" s="1550"/>
      <c r="G31" s="1550"/>
      <c r="H31" s="1550"/>
      <c r="I31" s="1553"/>
      <c r="J31" s="613"/>
      <c r="K31" s="3828">
        <f t="shared" si="0"/>
        <v>90438.276011869006</v>
      </c>
      <c r="L31" s="19"/>
    </row>
    <row r="32" spans="2:12" ht="18" customHeight="1" x14ac:dyDescent="0.2">
      <c r="B32" s="606" t="s">
        <v>1938</v>
      </c>
      <c r="C32" s="615"/>
      <c r="D32" s="3756">
        <f>IFERROR(Summary1!D32*28,Summary1!D32)</f>
        <v>71942.905081333622</v>
      </c>
      <c r="E32" s="615"/>
      <c r="F32" s="615"/>
      <c r="G32" s="615"/>
      <c r="H32" s="615"/>
      <c r="I32" s="69"/>
      <c r="J32" s="69"/>
      <c r="K32" s="3829">
        <f t="shared" si="0"/>
        <v>71942.905081333622</v>
      </c>
      <c r="L32" s="19"/>
    </row>
    <row r="33" spans="2:12" ht="18" customHeight="1" x14ac:dyDescent="0.2">
      <c r="B33" s="606" t="s">
        <v>1939</v>
      </c>
      <c r="C33" s="615"/>
      <c r="D33" s="3756">
        <f>IFERROR(Summary1!D33*28,Summary1!D33)</f>
        <v>6802.9265219897143</v>
      </c>
      <c r="E33" s="3756">
        <f>IFERROR(Summary1!E33*265,Summary1!E33)</f>
        <v>249.56123908765673</v>
      </c>
      <c r="F33" s="615"/>
      <c r="G33" s="615"/>
      <c r="H33" s="615"/>
      <c r="I33" s="69"/>
      <c r="J33" s="69"/>
      <c r="K33" s="3829">
        <f t="shared" si="0"/>
        <v>7052.487761077371</v>
      </c>
      <c r="L33" s="19"/>
    </row>
    <row r="34" spans="2:12" ht="18" customHeight="1" x14ac:dyDescent="0.2">
      <c r="B34" s="606" t="s">
        <v>1940</v>
      </c>
      <c r="C34" s="615"/>
      <c r="D34" s="3756">
        <f>IFERROR(Summary1!D34*28,Summary1!D34)</f>
        <v>429.68050177907804</v>
      </c>
      <c r="E34" s="615"/>
      <c r="F34" s="615"/>
      <c r="G34" s="615"/>
      <c r="H34" s="615"/>
      <c r="I34" s="69"/>
      <c r="J34" s="69"/>
      <c r="K34" s="3829">
        <f t="shared" si="0"/>
        <v>429.68050177907804</v>
      </c>
      <c r="L34" s="19"/>
    </row>
    <row r="35" spans="2:12" ht="18" customHeight="1" x14ac:dyDescent="0.2">
      <c r="B35" s="606" t="s">
        <v>1941</v>
      </c>
      <c r="C35" s="1950"/>
      <c r="D35" s="3756" t="str">
        <f>IFERROR(Summary1!D35*28,Summary1!D35)</f>
        <v>NE</v>
      </c>
      <c r="E35" s="3756">
        <f>IFERROR(Summary1!E35*265,Summary1!E35)</f>
        <v>9933.9099740326674</v>
      </c>
      <c r="F35" s="615"/>
      <c r="G35" s="615"/>
      <c r="H35" s="615"/>
      <c r="I35" s="69"/>
      <c r="J35" s="69"/>
      <c r="K35" s="3829">
        <f t="shared" si="0"/>
        <v>9933.9099740326674</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322.42349638885423</v>
      </c>
      <c r="E37" s="3756">
        <f>IFERROR(Summary1!E37*265,Summary1!E37)</f>
        <v>121.97305549735795</v>
      </c>
      <c r="F37" s="615"/>
      <c r="G37" s="615"/>
      <c r="H37" s="615"/>
      <c r="I37" s="69"/>
      <c r="J37" s="69"/>
      <c r="K37" s="3829">
        <f t="shared" si="0"/>
        <v>444.39655188621219</v>
      </c>
      <c r="L37" s="19"/>
    </row>
    <row r="38" spans="2:12" ht="18" customHeight="1" x14ac:dyDescent="0.2">
      <c r="B38" s="606" t="s">
        <v>955</v>
      </c>
      <c r="C38" s="1949">
        <f>Summary1!C38</f>
        <v>260.25846060066385</v>
      </c>
      <c r="D38" s="3832"/>
      <c r="E38" s="3832"/>
      <c r="F38" s="615"/>
      <c r="G38" s="615"/>
      <c r="H38" s="615"/>
      <c r="I38" s="69"/>
      <c r="J38" s="69"/>
      <c r="K38" s="3829">
        <f t="shared" si="0"/>
        <v>260.25846060066385</v>
      </c>
      <c r="L38" s="19"/>
    </row>
    <row r="39" spans="2:12" ht="18" customHeight="1" x14ac:dyDescent="0.2">
      <c r="B39" s="606" t="s">
        <v>956</v>
      </c>
      <c r="C39" s="1949">
        <f>Summary1!C39</f>
        <v>374.63768115942037</v>
      </c>
      <c r="D39" s="3832"/>
      <c r="E39" s="3832"/>
      <c r="F39" s="615"/>
      <c r="G39" s="615"/>
      <c r="H39" s="615"/>
      <c r="I39" s="69"/>
      <c r="J39" s="69"/>
      <c r="K39" s="3829">
        <f t="shared" si="0"/>
        <v>374.63768115942037</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133784.21891553813</v>
      </c>
      <c r="D42" s="1952">
        <f>IFERROR(Summary1!D42*28,Summary1!D42)</f>
        <v>19873.66634630851</v>
      </c>
      <c r="E42" s="1952">
        <f>IFERROR(Summary1!E42*265,Summary1!E42)</f>
        <v>4112.2738215261224</v>
      </c>
      <c r="F42" s="1550"/>
      <c r="G42" s="1550"/>
      <c r="H42" s="1550"/>
      <c r="I42" s="1553"/>
      <c r="J42" s="613"/>
      <c r="K42" s="3828">
        <f t="shared" si="0"/>
        <v>157770.15908337277</v>
      </c>
      <c r="L42" s="19"/>
    </row>
    <row r="43" spans="2:12" ht="18" customHeight="1" x14ac:dyDescent="0.2">
      <c r="B43" s="606" t="s">
        <v>1252</v>
      </c>
      <c r="C43" s="1949">
        <f>Summary1!C43</f>
        <v>-13884.157619537076</v>
      </c>
      <c r="D43" s="1949">
        <f>IFERROR(Summary1!D43*28,Summary1!D43)</f>
        <v>6782.1254665698498</v>
      </c>
      <c r="E43" s="1949">
        <f>IFERROR(Summary1!E43*265,Summary1!E43)</f>
        <v>1393.7266525660675</v>
      </c>
      <c r="F43" s="627"/>
      <c r="G43" s="627"/>
      <c r="H43" s="627"/>
      <c r="I43" s="614"/>
      <c r="J43" s="69"/>
      <c r="K43" s="3829">
        <f t="shared" si="0"/>
        <v>-5708.3055004011585</v>
      </c>
      <c r="L43" s="19"/>
    </row>
    <row r="44" spans="2:12" ht="18" customHeight="1" x14ac:dyDescent="0.2">
      <c r="B44" s="606" t="s">
        <v>1255</v>
      </c>
      <c r="C44" s="1949">
        <f>Summary1!C44</f>
        <v>34351.57617938632</v>
      </c>
      <c r="D44" s="1949">
        <f>IFERROR(Summary1!D44*28,Summary1!D44)</f>
        <v>592.66318240086241</v>
      </c>
      <c r="E44" s="1949">
        <f>IFERROR(Summary1!E44*265,Summary1!E44)</f>
        <v>129.65662212202736</v>
      </c>
      <c r="F44" s="627"/>
      <c r="G44" s="627"/>
      <c r="H44" s="627"/>
      <c r="I44" s="614"/>
      <c r="J44" s="69"/>
      <c r="K44" s="3829">
        <f t="shared" si="0"/>
        <v>35073.895983909213</v>
      </c>
      <c r="L44" s="19"/>
    </row>
    <row r="45" spans="2:12" ht="18" customHeight="1" x14ac:dyDescent="0.2">
      <c r="B45" s="606" t="s">
        <v>1258</v>
      </c>
      <c r="C45" s="1949">
        <f>Summary1!C45</f>
        <v>111128.53882818409</v>
      </c>
      <c r="D45" s="1949">
        <f>IFERROR(Summary1!D45*28,Summary1!D45)</f>
        <v>9927.5398492165386</v>
      </c>
      <c r="E45" s="1949">
        <f>IFERROR(Summary1!E45*265,Summary1!E45)</f>
        <v>2480.5004796929861</v>
      </c>
      <c r="F45" s="627"/>
      <c r="G45" s="627"/>
      <c r="H45" s="627"/>
      <c r="I45" s="614"/>
      <c r="J45" s="69"/>
      <c r="K45" s="3829">
        <f t="shared" si="0"/>
        <v>123536.57915709361</v>
      </c>
      <c r="L45" s="19"/>
    </row>
    <row r="46" spans="2:12" ht="18" customHeight="1" x14ac:dyDescent="0.2">
      <c r="B46" s="606" t="s">
        <v>1984</v>
      </c>
      <c r="C46" s="1949">
        <f>Summary1!C46</f>
        <v>2094.5991809202014</v>
      </c>
      <c r="D46" s="1949">
        <f>IFERROR(Summary1!D46*28,Summary1!D46)</f>
        <v>2412.9102331751114</v>
      </c>
      <c r="E46" s="1949">
        <f>IFERROR(Summary1!E46*265,Summary1!E46)</f>
        <v>72.502812573325627</v>
      </c>
      <c r="F46" s="627"/>
      <c r="G46" s="627"/>
      <c r="H46" s="627"/>
      <c r="I46" s="614"/>
      <c r="J46" s="69"/>
      <c r="K46" s="3829">
        <f t="shared" si="0"/>
        <v>4580.0122266686394</v>
      </c>
      <c r="L46" s="19"/>
    </row>
    <row r="47" spans="2:12" ht="18" customHeight="1" x14ac:dyDescent="0.2">
      <c r="B47" s="606" t="s">
        <v>1985</v>
      </c>
      <c r="C47" s="1949">
        <f>Summary1!C47</f>
        <v>6665.9078443745493</v>
      </c>
      <c r="D47" s="1949">
        <f>IFERROR(Summary1!D47*28,Summary1!D47)</f>
        <v>158.42761494614902</v>
      </c>
      <c r="E47" s="1949">
        <f>IFERROR(Summary1!E47*265,Summary1!E47)</f>
        <v>31.637222050287988</v>
      </c>
      <c r="F47" s="627"/>
      <c r="G47" s="627"/>
      <c r="H47" s="627"/>
      <c r="I47" s="614"/>
      <c r="J47" s="69"/>
      <c r="K47" s="3829">
        <f t="shared" si="0"/>
        <v>6855.9726813709867</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-6572.2454977899288</v>
      </c>
      <c r="D49" s="3833"/>
      <c r="E49" s="3833"/>
      <c r="F49" s="627"/>
      <c r="G49" s="627"/>
      <c r="H49" s="627"/>
      <c r="I49" s="614"/>
      <c r="J49" s="69"/>
      <c r="K49" s="3829">
        <f t="shared" si="0"/>
        <v>-6572.2454977899288</v>
      </c>
      <c r="L49" s="19"/>
    </row>
    <row r="50" spans="2:12" ht="18" customHeight="1" thickBot="1" x14ac:dyDescent="0.25">
      <c r="B50" s="1554" t="s">
        <v>1988</v>
      </c>
      <c r="C50" s="1951" t="str">
        <f>Summary1!C50</f>
        <v>NO</v>
      </c>
      <c r="D50" s="1951" t="str">
        <f>IFERROR(Summary1!D50*28,Summary1!D50)</f>
        <v>NO</v>
      </c>
      <c r="E50" s="1951">
        <f>IFERROR(Summary1!E50*265,Summary1!E50)</f>
        <v>4.2500325214285715</v>
      </c>
      <c r="F50" s="1953"/>
      <c r="G50" s="1953"/>
      <c r="H50" s="1953"/>
      <c r="I50" s="1555"/>
      <c r="J50" s="87"/>
      <c r="K50" s="3830">
        <f t="shared" si="0"/>
        <v>4.2500325214285715</v>
      </c>
      <c r="L50" s="19"/>
    </row>
    <row r="51" spans="2:12" ht="18" customHeight="1" x14ac:dyDescent="0.2">
      <c r="B51" s="1549" t="s">
        <v>1955</v>
      </c>
      <c r="C51" s="1952">
        <f>Summary1!C51</f>
        <v>73.988845759355272</v>
      </c>
      <c r="D51" s="1952">
        <f>IFERROR(Summary1!D51*28,Summary1!D51)</f>
        <v>23144.719752197972</v>
      </c>
      <c r="E51" s="1952">
        <f>IFERROR(Summary1!E51*265,Summary1!E51)</f>
        <v>163.80541480253592</v>
      </c>
      <c r="F51" s="1550"/>
      <c r="G51" s="1550"/>
      <c r="H51" s="1550"/>
      <c r="I51" s="1553"/>
      <c r="J51" s="613"/>
      <c r="K51" s="3828">
        <f t="shared" si="0"/>
        <v>23382.514012759864</v>
      </c>
      <c r="L51" s="19"/>
    </row>
    <row r="52" spans="2:12" ht="18" customHeight="1" x14ac:dyDescent="0.2">
      <c r="B52" s="606" t="s">
        <v>1989</v>
      </c>
      <c r="C52" s="615"/>
      <c r="D52" s="1949">
        <f>IFERROR(Summary1!D52*28,Summary1!D52)</f>
        <v>17044.793295696618</v>
      </c>
      <c r="E52" s="627"/>
      <c r="F52" s="615"/>
      <c r="G52" s="615"/>
      <c r="H52" s="615"/>
      <c r="I52" s="69"/>
      <c r="J52" s="69"/>
      <c r="K52" s="3829">
        <f t="shared" si="0"/>
        <v>17044.793295696618</v>
      </c>
      <c r="L52" s="19"/>
    </row>
    <row r="53" spans="2:12" ht="18" customHeight="1" x14ac:dyDescent="0.2">
      <c r="B53" s="1395" t="s">
        <v>1990</v>
      </c>
      <c r="C53" s="615"/>
      <c r="D53" s="1949">
        <f>IFERROR(Summary1!D53*28,Summary1!D53)</f>
        <v>13.526846539471713</v>
      </c>
      <c r="E53" s="1949">
        <f>IFERROR(Summary1!E53*265,Summary1!E53)</f>
        <v>16.386808379245736</v>
      </c>
      <c r="F53" s="615"/>
      <c r="G53" s="615"/>
      <c r="H53" s="615"/>
      <c r="I53" s="69"/>
      <c r="J53" s="69"/>
      <c r="K53" s="3829">
        <f t="shared" si="0"/>
        <v>29.913654918717448</v>
      </c>
      <c r="L53" s="19"/>
    </row>
    <row r="54" spans="2:12" ht="18" customHeight="1" x14ac:dyDescent="0.2">
      <c r="B54" s="1396" t="s">
        <v>1991</v>
      </c>
      <c r="C54" s="1949">
        <f>Summary1!C54</f>
        <v>73.988845759355272</v>
      </c>
      <c r="D54" s="1949">
        <f>IFERROR(Summary1!D54*28,Summary1!D54)</f>
        <v>2.5947936</v>
      </c>
      <c r="E54" s="1949">
        <f>IFERROR(Summary1!E54*265,Summary1!E54)</f>
        <v>10.064699999999998</v>
      </c>
      <c r="F54" s="615"/>
      <c r="G54" s="615"/>
      <c r="H54" s="615"/>
      <c r="I54" s="69"/>
      <c r="J54" s="69"/>
      <c r="K54" s="3829">
        <f t="shared" si="0"/>
        <v>86.648339359355276</v>
      </c>
      <c r="L54" s="19"/>
    </row>
    <row r="55" spans="2:12" ht="18" customHeight="1" x14ac:dyDescent="0.2">
      <c r="B55" s="606" t="s">
        <v>1992</v>
      </c>
      <c r="C55" s="615"/>
      <c r="D55" s="1949">
        <f>IFERROR(Summary1!D55*28,Summary1!D55)</f>
        <v>6083.8048163618814</v>
      </c>
      <c r="E55" s="1949">
        <f>IFERROR(Summary1!E55*265,Summary1!E55)</f>
        <v>137.35390642329017</v>
      </c>
      <c r="F55" s="615"/>
      <c r="G55" s="615"/>
      <c r="H55" s="615"/>
      <c r="I55" s="69"/>
      <c r="J55" s="69"/>
      <c r="K55" s="3829">
        <f t="shared" si="0"/>
        <v>6221.1587227851714</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6436.1739999999991</v>
      </c>
      <c r="D60" s="617">
        <f>IFERROR(Summary1!D61*28,Summary1!D61)</f>
        <v>5.2714370800000001</v>
      </c>
      <c r="E60" s="617">
        <f>IFERROR(Summary1!E61*265,Summary1!E61)</f>
        <v>19.977511906815792</v>
      </c>
      <c r="F60" s="1957"/>
      <c r="G60" s="1957"/>
      <c r="H60" s="1958"/>
      <c r="I60" s="618"/>
      <c r="J60" s="618"/>
      <c r="K60" s="619">
        <f t="shared" ref="K60:K66" si="2">IF(SUM(C60:J60)=0,"NO",SUM(C60:J60))</f>
        <v>6461.4229489868148</v>
      </c>
    </row>
    <row r="61" spans="2:12" ht="18" customHeight="1" x14ac:dyDescent="0.2">
      <c r="B61" s="1385" t="s">
        <v>218</v>
      </c>
      <c r="C61" s="617">
        <f>Summary1!C62</f>
        <v>4558.7999999999993</v>
      </c>
      <c r="D61" s="617">
        <f>IFERROR(Summary1!D62*28,Summary1!D62)</f>
        <v>0.22835707999999996</v>
      </c>
      <c r="E61" s="617">
        <f>IFERROR(Summary1!E62*265,Summary1!E62)</f>
        <v>6.3406119068157896</v>
      </c>
      <c r="F61" s="615"/>
      <c r="G61" s="615"/>
      <c r="H61" s="615"/>
      <c r="I61" s="621"/>
      <c r="J61" s="621"/>
      <c r="K61" s="622">
        <f t="shared" si="2"/>
        <v>4565.3689689868152</v>
      </c>
    </row>
    <row r="62" spans="2:12" ht="18" customHeight="1" x14ac:dyDescent="0.2">
      <c r="B62" s="1386" t="s">
        <v>1963</v>
      </c>
      <c r="C62" s="617">
        <f>Summary1!C63</f>
        <v>1877.374</v>
      </c>
      <c r="D62" s="617">
        <f>IFERROR(Summary1!D63*28,Summary1!D63)</f>
        <v>5.0430799999999998</v>
      </c>
      <c r="E62" s="617">
        <f>IFERROR(Summary1!E63*265,Summary1!E63)</f>
        <v>13.636900000000001</v>
      </c>
      <c r="F62" s="615"/>
      <c r="G62" s="615"/>
      <c r="H62" s="615"/>
      <c r="I62" s="623"/>
      <c r="J62" s="623"/>
      <c r="K62" s="619">
        <f t="shared" si="2"/>
        <v>1896.0539799999999</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15017.922219999999</v>
      </c>
      <c r="D64" s="627"/>
      <c r="E64" s="627"/>
      <c r="F64" s="627"/>
      <c r="G64" s="627"/>
      <c r="H64" s="627"/>
      <c r="I64" s="614"/>
      <c r="J64" s="614"/>
      <c r="K64" s="628">
        <f t="shared" si="2"/>
        <v>15017.922219999999</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191008.2991050088</v>
      </c>
      <c r="D66" s="631"/>
      <c r="E66" s="631"/>
      <c r="F66" s="631"/>
      <c r="G66" s="631"/>
      <c r="H66" s="631"/>
      <c r="I66" s="630"/>
      <c r="J66" s="630"/>
      <c r="K66" s="632">
        <f t="shared" si="2"/>
        <v>191008.2991050088</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437221.89676100214</v>
      </c>
      <c r="N71" s="1122"/>
    </row>
    <row r="72" spans="2:14" s="636" customFormat="1" ht="18" customHeight="1" x14ac:dyDescent="0.25">
      <c r="B72" s="640"/>
      <c r="C72" s="641"/>
      <c r="D72" s="641"/>
      <c r="E72" s="641"/>
      <c r="F72" s="641"/>
      <c r="G72" s="641"/>
      <c r="H72" s="641"/>
      <c r="I72" s="641"/>
      <c r="J72" s="2573" t="s">
        <v>1999</v>
      </c>
      <c r="K72" s="628">
        <f>K10</f>
        <v>594992.05584437493</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649715.02659164334</v>
      </c>
      <c r="D10" s="3055" t="s">
        <v>97</v>
      </c>
      <c r="E10" s="615"/>
      <c r="F10" s="615"/>
      <c r="G10" s="615"/>
      <c r="H10" s="4219">
        <f>IF(SUM(H11:H15)=0,"NO",SUM(H11:H15))</f>
        <v>35411.642792381528</v>
      </c>
      <c r="I10" s="4219">
        <f t="shared" ref="I10:K10" si="0">IF(SUM(I11:I16)=0,"NO",SUM(I11:I16))</f>
        <v>1.9969221605944099</v>
      </c>
      <c r="J10" s="4226">
        <f t="shared" si="0"/>
        <v>1.1069438707977839</v>
      </c>
      <c r="K10" s="3044" t="str">
        <f t="shared" si="0"/>
        <v>NO</v>
      </c>
    </row>
    <row r="11" spans="2:11" ht="18" customHeight="1" x14ac:dyDescent="0.2">
      <c r="B11" s="282" t="s">
        <v>243</v>
      </c>
      <c r="C11" s="1938">
        <f>IF(SUM(C18,C25,C32,C39,C46,C53,C68,C75,C82,C89,C96,C103,C120,C110:C113)=0,"NO",SUM(C18,C25,C32,C39,C46,C53,C68,C75,C82,C89,C96,C103,C120,C110:C113))</f>
        <v>168278.28914858532</v>
      </c>
      <c r="D11" s="3056" t="s">
        <v>97</v>
      </c>
      <c r="E11" s="1938">
        <f>IFERROR(H11*1000/$C11,"NA")</f>
        <v>68.334479194410747</v>
      </c>
      <c r="F11" s="1938">
        <f t="shared" ref="F11:G16" si="1">IFERROR(I11*1000000/$C11,"NA")</f>
        <v>4.695749651130698</v>
      </c>
      <c r="G11" s="1938">
        <f t="shared" si="1"/>
        <v>2.0657525549309459</v>
      </c>
      <c r="H11" s="1938">
        <f>IF(SUM(H18,H25,H32,H39,H46,H53,H68,H75,H82,H89,H96,H103,H120,H110:H113)=0,"NO",SUM(H18,H25,H32,H39,H46,H53,H68,H75,H82,H89,H96,H103,H120,H110:H113))</f>
        <v>11499.209248695039</v>
      </c>
      <c r="I11" s="1938">
        <f>IF(SUM(I18,I25,I32,I39,I46,I53,I68,I75,I82,I89,I96,I103,I120,I110:I113)=0,"NO",SUM(I18,I25,I32,I39,I46,I53,I68,I75,I82,I89,I96,I103,I120,I110:I113))</f>
        <v>0.79019271756234022</v>
      </c>
      <c r="J11" s="1938">
        <f>IF(SUM(J18,J25,J32,J39,J46,J53,J68,J75,J82,J89,J96,J103,J120,J110:J113)=0,"NO",SUM(J18,J25,J32,J39,J46,J53,J68,J75,J82,J89,J96,J103,J120,J110:J113))</f>
        <v>0.34762130574809857</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131427.42686046512</v>
      </c>
      <c r="D12" s="3056" t="s">
        <v>97</v>
      </c>
      <c r="E12" s="1938">
        <f t="shared" ref="E12:E16" si="2">IFERROR(H12*1000/$C12,"NA")</f>
        <v>80.464964034617964</v>
      </c>
      <c r="F12" s="1938">
        <f t="shared" si="1"/>
        <v>0.96684788218949214</v>
      </c>
      <c r="G12" s="1938">
        <f t="shared" si="1"/>
        <v>0.69860372347196364</v>
      </c>
      <c r="H12" s="1938">
        <f>IF(SUM(H19,H26,H33,H40,H47,H54,H69,H76,H83,H90,H97,H104,H121)=0,"NO",SUM(H19,H26,H33,H40,H47,H54,H69,H76,H83,H90,H97,H104,H121))</f>
        <v>10575.303175489709</v>
      </c>
      <c r="I12" s="1938">
        <f>IF(SUM(I19,I26,I33,I40,I47,I54,I69,I76,I83,I90,I97,I104,I121)=0,"NO",SUM(I19,I26,I33,I40,I47,I54,I69,I76,I83,I90,I97,I104,I121))</f>
        <v>0.12707032932165507</v>
      </c>
      <c r="J12" s="1938">
        <f>IF(SUM(J19,J26,J33,J40,J47,J54,J69,J76,J83,J90,J97,J104,J121)=0,"NO",SUM(J19,J26,J33,J40,J47,J54,J69,J76,J83,J90,J97,J104,J121))</f>
        <v>9.1815689771060111E-2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259399.99888791094</v>
      </c>
      <c r="D13" s="3056" t="s">
        <v>97</v>
      </c>
      <c r="E13" s="1938">
        <f t="shared" si="2"/>
        <v>51.415306188801779</v>
      </c>
      <c r="F13" s="1938">
        <f t="shared" si="1"/>
        <v>0.96019181795289843</v>
      </c>
      <c r="G13" s="1938">
        <f t="shared" si="1"/>
        <v>0.53566907345936332</v>
      </c>
      <c r="H13" s="1938">
        <f t="shared" ref="H13:K14" si="3">IF(SUM(H20,H27,H34,H41,H48,H55,H70,H77,H84,H91,H98,H105,H122,H115)=0,"NO",SUM(H20,H27,H34,H41,H48,H55,H70,H77,H84,H91,H98,H105,H122,H115))</f>
        <v>13337.130368196782</v>
      </c>
      <c r="I13" s="1938">
        <f t="shared" si="3"/>
        <v>0.24907375650916305</v>
      </c>
      <c r="J13" s="1938">
        <f t="shared" si="3"/>
        <v>0.13895255705964712</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90609.311694681965</v>
      </c>
      <c r="D16" s="3071" t="s">
        <v>97</v>
      </c>
      <c r="E16" s="1938">
        <f t="shared" si="2"/>
        <v>94.742852036239796</v>
      </c>
      <c r="F16" s="1938">
        <f t="shared" si="1"/>
        <v>9.1666666666666679</v>
      </c>
      <c r="G16" s="1938">
        <f t="shared" si="1"/>
        <v>5.833333333333333</v>
      </c>
      <c r="H16" s="1938">
        <f>IF(SUM(H23,H30,H37,H44,H51,H58,H73,H80,H87,H94,H101,H108,H125,H117)=0,"NO",SUM(H23,H30,H37,H44,H51,H58,H73,H80,H87,H94,H101,H108,H125,H117))</f>
        <v>8584.5846109947852</v>
      </c>
      <c r="I16" s="1938">
        <f>IF(SUM(I23,I30,I37,I44,I51,I58,I73,I80,I87,I94,I101,I108,I125,I117)=0,"NO",SUM(I23,I30,I37,I44,I51,I58,I73,I80,I87,I94,I101,I108,I125,I117))</f>
        <v>0.83058535720125148</v>
      </c>
      <c r="J16" s="1938">
        <f>IF(SUM(J23,J30,J37,J44,J51,J58,J73,J80,J87,J94,J101,J108,J125,J117)=0,"NO",SUM(J23,J30,J37,J44,J51,J58,J73,J80,J87,J94,J101,J108,J125,J117))</f>
        <v>0.52855431821897814</v>
      </c>
      <c r="K16" s="3044" t="str">
        <f>IF(SUM(K23,K30,K37,K44,K51,K58,K73,K80,K87,K94,K101,K108,K125,K117)=0,"NO",SUM(K23,K30,K37,K44,K51,K58,K73,K80,K87,K94,K101,K108,K125,K117))</f>
        <v>NO</v>
      </c>
    </row>
    <row r="17" spans="2:11" ht="18" customHeight="1" x14ac:dyDescent="0.2">
      <c r="B17" s="1240" t="s">
        <v>264</v>
      </c>
      <c r="C17" s="1938">
        <f>IF(SUM(C18:C23)=0,"NO",SUM(C18:C23))</f>
        <v>53915.700000000012</v>
      </c>
      <c r="D17" s="3055" t="s">
        <v>97</v>
      </c>
      <c r="E17" s="615"/>
      <c r="F17" s="615"/>
      <c r="G17" s="615"/>
      <c r="H17" s="1938">
        <f>IF(SUM(H18:H22)=0,"NO",SUM(H18:H22))</f>
        <v>2563.0038993119929</v>
      </c>
      <c r="I17" s="1938">
        <f t="shared" ref="I17:K17" si="4">IF(SUM(I18:I23)=0,"NO",SUM(I18:I23))</f>
        <v>8.7453920647880448E-2</v>
      </c>
      <c r="J17" s="1938">
        <f t="shared" si="4"/>
        <v>3.2962293845005319E-2</v>
      </c>
      <c r="K17" s="3044" t="str">
        <f t="shared" si="4"/>
        <v>NO</v>
      </c>
    </row>
    <row r="18" spans="2:11" ht="18" customHeight="1" x14ac:dyDescent="0.2">
      <c r="B18" s="282" t="s">
        <v>243</v>
      </c>
      <c r="C18" s="699">
        <v>2300</v>
      </c>
      <c r="D18" s="3056" t="s">
        <v>97</v>
      </c>
      <c r="E18" s="1938">
        <f>IFERROR(H18*1000/$C18,"NA")</f>
        <v>69.2</v>
      </c>
      <c r="F18" s="1938">
        <f t="shared" ref="F18:G23" si="5">IFERROR(I18*1000000/$C18,"NA")</f>
        <v>15.877313957576474</v>
      </c>
      <c r="G18" s="1938">
        <f t="shared" si="5"/>
        <v>1.0517879604672058</v>
      </c>
      <c r="H18" s="699">
        <v>159.16</v>
      </c>
      <c r="I18" s="699">
        <v>3.6517822102425886E-2</v>
      </c>
      <c r="J18" s="699">
        <v>2.4191123090745734E-3</v>
      </c>
      <c r="K18" s="3072" t="s">
        <v>199</v>
      </c>
    </row>
    <row r="19" spans="2:11" ht="18" customHeight="1" x14ac:dyDescent="0.2">
      <c r="B19" s="282" t="s">
        <v>245</v>
      </c>
      <c r="C19" s="699">
        <v>26915.700000000015</v>
      </c>
      <c r="D19" s="3056" t="s">
        <v>97</v>
      </c>
      <c r="E19" s="1938">
        <f t="shared" ref="E19:E23" si="6">IFERROR(H19*1000/$C19,"NA")</f>
        <v>42.512433263857133</v>
      </c>
      <c r="F19" s="1938">
        <f t="shared" si="5"/>
        <v>0.9553636117075297</v>
      </c>
      <c r="G19" s="1938">
        <f t="shared" si="5"/>
        <v>0.58423262336774506</v>
      </c>
      <c r="H19" s="699">
        <v>1144.2519000000002</v>
      </c>
      <c r="I19" s="699">
        <v>2.571428036363637E-2</v>
      </c>
      <c r="J19" s="699">
        <v>1.5725030020779227E-2</v>
      </c>
      <c r="K19" s="3072" t="s">
        <v>199</v>
      </c>
    </row>
    <row r="20" spans="2:11" ht="18" customHeight="1" x14ac:dyDescent="0.2">
      <c r="B20" s="282" t="s">
        <v>246</v>
      </c>
      <c r="C20" s="699">
        <v>24500</v>
      </c>
      <c r="D20" s="3056" t="s">
        <v>97</v>
      </c>
      <c r="E20" s="1938">
        <f t="shared" si="6"/>
        <v>51.411918339265007</v>
      </c>
      <c r="F20" s="1938">
        <f t="shared" si="5"/>
        <v>0.95463203463203472</v>
      </c>
      <c r="G20" s="1938">
        <f t="shared" si="5"/>
        <v>0.55720346320346315</v>
      </c>
      <c r="H20" s="699">
        <v>1259.5919993119926</v>
      </c>
      <c r="I20" s="699">
        <v>2.3388484848484853E-2</v>
      </c>
      <c r="J20" s="699">
        <v>1.3651484848484849E-2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v>199.99999999999994</v>
      </c>
      <c r="D23" s="3056" t="s">
        <v>97</v>
      </c>
      <c r="E23" s="1938">
        <f t="shared" si="6"/>
        <v>94.000000000000014</v>
      </c>
      <c r="F23" s="1938">
        <f t="shared" si="5"/>
        <v>9.1666666666666679</v>
      </c>
      <c r="G23" s="1938">
        <f t="shared" si="5"/>
        <v>5.8333333333333339</v>
      </c>
      <c r="H23" s="699">
        <v>18.799999999999997</v>
      </c>
      <c r="I23" s="699">
        <v>1.8333333333333331E-3</v>
      </c>
      <c r="J23" s="699">
        <v>1.1666666666666665E-3</v>
      </c>
      <c r="K23" s="3072" t="s">
        <v>199</v>
      </c>
    </row>
    <row r="24" spans="2:11" ht="18" customHeight="1" x14ac:dyDescent="0.2">
      <c r="B24" s="1240" t="s">
        <v>265</v>
      </c>
      <c r="C24" s="1938">
        <f>IF(SUM(C25:C30)=0,"NO",SUM(C25:C30))</f>
        <v>178918.27529640001</v>
      </c>
      <c r="D24" s="3056" t="s">
        <v>97</v>
      </c>
      <c r="E24" s="615"/>
      <c r="F24" s="615"/>
      <c r="G24" s="615"/>
      <c r="H24" s="1938">
        <f>IF(SUM(H25:H29)=0,"NO",SUM(H25:H29))</f>
        <v>11594.361165315668</v>
      </c>
      <c r="I24" s="1938">
        <f t="shared" ref="I24:K24" si="7">IF(SUM(I25:I30)=0,"NO",SUM(I25:I30))</f>
        <v>0.22628862040433323</v>
      </c>
      <c r="J24" s="1938">
        <f t="shared" si="7"/>
        <v>0.13251215009317313</v>
      </c>
      <c r="K24" s="3044" t="str">
        <f t="shared" si="7"/>
        <v>NO</v>
      </c>
    </row>
    <row r="25" spans="2:11" ht="18" customHeight="1" x14ac:dyDescent="0.2">
      <c r="B25" s="282" t="s">
        <v>243</v>
      </c>
      <c r="C25" s="699">
        <v>34235.240296399999</v>
      </c>
      <c r="D25" s="3056" t="s">
        <v>97</v>
      </c>
      <c r="E25" s="1938">
        <f>IFERROR(H25*1000/$C25,"NA")</f>
        <v>72.540861048662407</v>
      </c>
      <c r="F25" s="1938">
        <f t="shared" ref="F25:G30" si="8">IFERROR(I25*1000000/$C25,"NA")</f>
        <v>1.8034171136319843</v>
      </c>
      <c r="G25" s="1938">
        <f t="shared" si="8"/>
        <v>0.78779540310279084</v>
      </c>
      <c r="H25" s="699">
        <v>2483.4538093087203</v>
      </c>
      <c r="I25" s="699">
        <v>6.1740418239831091E-2</v>
      </c>
      <c r="J25" s="699">
        <v>2.6970364929623344E-2</v>
      </c>
      <c r="K25" s="3072" t="s">
        <v>199</v>
      </c>
    </row>
    <row r="26" spans="2:11" ht="18" customHeight="1" x14ac:dyDescent="0.2">
      <c r="B26" s="282" t="s">
        <v>245</v>
      </c>
      <c r="C26" s="699">
        <v>45583.034999999996</v>
      </c>
      <c r="D26" s="3056" t="s">
        <v>97</v>
      </c>
      <c r="E26" s="1938">
        <f t="shared" ref="E26:E30" si="9">IFERROR(H26*1000/$C26,"NA")</f>
        <v>91.711848218782123</v>
      </c>
      <c r="F26" s="1938">
        <f t="shared" si="8"/>
        <v>0.95238095238095222</v>
      </c>
      <c r="G26" s="1938">
        <f t="shared" si="8"/>
        <v>0.70609523809523822</v>
      </c>
      <c r="H26" s="699">
        <v>4180.5043872714332</v>
      </c>
      <c r="I26" s="699">
        <v>4.3412414285714275E-2</v>
      </c>
      <c r="J26" s="699">
        <v>3.2185963951428573E-2</v>
      </c>
      <c r="K26" s="3072" t="s">
        <v>199</v>
      </c>
    </row>
    <row r="27" spans="2:11" ht="18" customHeight="1" x14ac:dyDescent="0.2">
      <c r="B27" s="282" t="s">
        <v>246</v>
      </c>
      <c r="C27" s="699">
        <v>95900</v>
      </c>
      <c r="D27" s="3056" t="s">
        <v>97</v>
      </c>
      <c r="E27" s="1938">
        <f t="shared" si="9"/>
        <v>51.411918339265007</v>
      </c>
      <c r="F27" s="1938">
        <f t="shared" si="8"/>
        <v>0.95727272727272728</v>
      </c>
      <c r="G27" s="1938">
        <f t="shared" si="8"/>
        <v>0.57027272727272726</v>
      </c>
      <c r="H27" s="699">
        <v>4930.4029687355142</v>
      </c>
      <c r="I27" s="699">
        <v>9.1802454545454548E-2</v>
      </c>
      <c r="J27" s="699">
        <v>5.4689154545454546E-2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3199.9999999999995</v>
      </c>
      <c r="D30" s="3056" t="s">
        <v>97</v>
      </c>
      <c r="E30" s="1938">
        <f t="shared" si="9"/>
        <v>94.000000000000014</v>
      </c>
      <c r="F30" s="1938">
        <f t="shared" si="8"/>
        <v>9.1666666666666679</v>
      </c>
      <c r="G30" s="1938">
        <f t="shared" si="8"/>
        <v>5.8333333333333348</v>
      </c>
      <c r="H30" s="699">
        <v>300.8</v>
      </c>
      <c r="I30" s="699">
        <v>2.9333333333333336E-2</v>
      </c>
      <c r="J30" s="699">
        <v>1.8666666666666668E-2</v>
      </c>
      <c r="K30" s="3072" t="s">
        <v>199</v>
      </c>
    </row>
    <row r="31" spans="2:11" ht="18" customHeight="1" x14ac:dyDescent="0.2">
      <c r="B31" s="1240" t="s">
        <v>266</v>
      </c>
      <c r="C31" s="1938">
        <f>IF(SUM(C32:C37)=0,"NO",SUM(C32:C37))</f>
        <v>91874.461784870276</v>
      </c>
      <c r="D31" s="3056" t="s">
        <v>97</v>
      </c>
      <c r="E31" s="615"/>
      <c r="F31" s="615"/>
      <c r="G31" s="615"/>
      <c r="H31" s="1938">
        <f>IF(SUM(H32:H36)=0,"NO",SUM(H32:H36))</f>
        <v>5778.9643242434813</v>
      </c>
      <c r="I31" s="1938">
        <f t="shared" ref="I31:K31" si="10">IF(SUM(I32:I37)=0,"NO",SUM(I32:I37))</f>
        <v>0.36630313985659657</v>
      </c>
      <c r="J31" s="1938">
        <f t="shared" si="10"/>
        <v>8.692184959490748E-2</v>
      </c>
      <c r="K31" s="3044" t="str">
        <f t="shared" si="10"/>
        <v>NO</v>
      </c>
    </row>
    <row r="32" spans="2:11" ht="18" customHeight="1" x14ac:dyDescent="0.2">
      <c r="B32" s="282" t="s">
        <v>243</v>
      </c>
      <c r="C32" s="699">
        <v>53984.782664401195</v>
      </c>
      <c r="D32" s="3056" t="s">
        <v>97</v>
      </c>
      <c r="E32" s="1938">
        <f>IFERROR(H32*1000/$C32,"NA")</f>
        <v>64.337369303485715</v>
      </c>
      <c r="F32" s="1938">
        <f t="shared" ref="F32:G37" si="11">IFERROR(I32*1000000/$C32,"NA")</f>
        <v>6.1145367764493317</v>
      </c>
      <c r="G32" s="1938">
        <f t="shared" si="11"/>
        <v>1.239162155543168</v>
      </c>
      <c r="H32" s="699">
        <v>3473.2388990479931</v>
      </c>
      <c r="I32" s="699">
        <v>0.33009193897010541</v>
      </c>
      <c r="J32" s="699">
        <v>6.6895899652948843E-2</v>
      </c>
      <c r="K32" s="3072" t="s">
        <v>199</v>
      </c>
    </row>
    <row r="33" spans="2:11" ht="18" customHeight="1" x14ac:dyDescent="0.2">
      <c r="B33" s="282" t="s">
        <v>245</v>
      </c>
      <c r="C33" s="699">
        <v>9089.6802325581393</v>
      </c>
      <c r="D33" s="3056" t="s">
        <v>97</v>
      </c>
      <c r="E33" s="1938">
        <f t="shared" ref="E33:E37" si="12">IFERROR(H33*1000/$C33,"NA")</f>
        <v>90.769115424326372</v>
      </c>
      <c r="F33" s="1938">
        <f t="shared" si="11"/>
        <v>0.95238095238095244</v>
      </c>
      <c r="G33" s="1938">
        <f t="shared" si="11"/>
        <v>0.66666666666666663</v>
      </c>
      <c r="H33" s="699">
        <v>825.06223419928745</v>
      </c>
      <c r="I33" s="699">
        <v>8.6568383167220375E-3</v>
      </c>
      <c r="J33" s="699">
        <v>6.0597868217054252E-3</v>
      </c>
      <c r="K33" s="3072" t="s">
        <v>199</v>
      </c>
    </row>
    <row r="34" spans="2:11" ht="18" customHeight="1" x14ac:dyDescent="0.2">
      <c r="B34" s="282" t="s">
        <v>246</v>
      </c>
      <c r="C34" s="699">
        <v>28799.998887910944</v>
      </c>
      <c r="D34" s="3056" t="s">
        <v>97</v>
      </c>
      <c r="E34" s="1938">
        <f t="shared" si="12"/>
        <v>51.411918339265</v>
      </c>
      <c r="F34" s="1938">
        <f t="shared" si="11"/>
        <v>0.95674873728329624</v>
      </c>
      <c r="G34" s="1938">
        <f t="shared" si="11"/>
        <v>0.4849362381786631</v>
      </c>
      <c r="H34" s="699">
        <v>1480.6631909962002</v>
      </c>
      <c r="I34" s="699">
        <v>2.755436256976913E-2</v>
      </c>
      <c r="J34" s="699">
        <v>1.3966163120253214E-2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t="s">
        <v>199</v>
      </c>
      <c r="D37" s="3056" t="s">
        <v>97</v>
      </c>
      <c r="E37" s="1938" t="str">
        <f t="shared" si="12"/>
        <v>NA</v>
      </c>
      <c r="F37" s="1938" t="str">
        <f t="shared" si="11"/>
        <v>NA</v>
      </c>
      <c r="G37" s="1938" t="str">
        <f t="shared" si="11"/>
        <v>NA</v>
      </c>
      <c r="H37" s="699" t="s">
        <v>199</v>
      </c>
      <c r="I37" s="699" t="s">
        <v>199</v>
      </c>
      <c r="J37" s="699" t="s">
        <v>199</v>
      </c>
      <c r="K37" s="3072" t="s">
        <v>199</v>
      </c>
    </row>
    <row r="38" spans="2:11" ht="18" customHeight="1" x14ac:dyDescent="0.2">
      <c r="B38" s="1240" t="s">
        <v>267</v>
      </c>
      <c r="C38" s="1938">
        <f>IF(SUM(C39:C44)=0,"NO",SUM(C39:C44))</f>
        <v>35500</v>
      </c>
      <c r="D38" s="3056" t="s">
        <v>97</v>
      </c>
      <c r="E38" s="615"/>
      <c r="F38" s="615"/>
      <c r="G38" s="615"/>
      <c r="H38" s="1938">
        <f>IF(SUM(H39:H43)=0,"NO",SUM(H39:H43))</f>
        <v>1153.6984139456579</v>
      </c>
      <c r="I38" s="1938">
        <f t="shared" ref="I38:K38" si="13">IF(SUM(I39:I44)=0,"NO",SUM(I39:I44))</f>
        <v>0.16622620779220781</v>
      </c>
      <c r="J38" s="1938">
        <f t="shared" si="13"/>
        <v>0.11113160779220781</v>
      </c>
      <c r="K38" s="3044" t="str">
        <f t="shared" si="13"/>
        <v>NO</v>
      </c>
    </row>
    <row r="39" spans="2:11" ht="18" customHeight="1" x14ac:dyDescent="0.2">
      <c r="B39" s="282" t="s">
        <v>243</v>
      </c>
      <c r="C39" s="699">
        <v>1800</v>
      </c>
      <c r="D39" s="3056" t="s">
        <v>97</v>
      </c>
      <c r="E39" s="1938">
        <f>IFERROR(H39*1000/$C39,"NA")</f>
        <v>67.283333333333346</v>
      </c>
      <c r="F39" s="1938">
        <f t="shared" ref="F39:G44" si="14">IFERROR(I39*1000000/$C39,"NA")</f>
        <v>0.89428571428571435</v>
      </c>
      <c r="G39" s="1938">
        <f t="shared" si="14"/>
        <v>1.1649841269841272</v>
      </c>
      <c r="H39" s="699">
        <v>121.11000000000001</v>
      </c>
      <c r="I39" s="699">
        <v>1.6097142857142857E-3</v>
      </c>
      <c r="J39" s="699">
        <v>2.0969714285714288E-3</v>
      </c>
      <c r="K39" s="3072" t="s">
        <v>199</v>
      </c>
    </row>
    <row r="40" spans="2:11" ht="18" customHeight="1" x14ac:dyDescent="0.2">
      <c r="B40" s="282" t="s">
        <v>245</v>
      </c>
      <c r="C40" s="699">
        <v>3300</v>
      </c>
      <c r="D40" s="3056" t="s">
        <v>97</v>
      </c>
      <c r="E40" s="1938">
        <f t="shared" ref="E40:E44" si="15">IFERROR(H40*1000/$C40,"NA")</f>
        <v>91.678537432756045</v>
      </c>
      <c r="F40" s="1938">
        <f t="shared" si="14"/>
        <v>0.95238095238095233</v>
      </c>
      <c r="G40" s="1938">
        <f t="shared" si="14"/>
        <v>0.66666666666666652</v>
      </c>
      <c r="H40" s="699">
        <v>302.53917352809498</v>
      </c>
      <c r="I40" s="699">
        <v>3.1428571428571426E-3</v>
      </c>
      <c r="J40" s="699">
        <v>2.1999999999999997E-3</v>
      </c>
      <c r="K40" s="3072" t="s">
        <v>199</v>
      </c>
    </row>
    <row r="41" spans="2:11" ht="18" customHeight="1" x14ac:dyDescent="0.2">
      <c r="B41" s="282" t="s">
        <v>246</v>
      </c>
      <c r="C41" s="699">
        <v>14199.999999999998</v>
      </c>
      <c r="D41" s="3056" t="s">
        <v>97</v>
      </c>
      <c r="E41" s="1938">
        <f t="shared" si="15"/>
        <v>51.411918339265</v>
      </c>
      <c r="F41" s="1938">
        <f t="shared" si="14"/>
        <v>0.91363636363636347</v>
      </c>
      <c r="G41" s="1938">
        <f t="shared" si="14"/>
        <v>0.86863636363636365</v>
      </c>
      <c r="H41" s="699">
        <v>730.04924041756294</v>
      </c>
      <c r="I41" s="699">
        <v>1.2973636363636361E-2</v>
      </c>
      <c r="J41" s="699">
        <v>1.2334636363636362E-2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16200</v>
      </c>
      <c r="D44" s="3055" t="s">
        <v>97</v>
      </c>
      <c r="E44" s="1938">
        <f t="shared" si="15"/>
        <v>93.999999999999986</v>
      </c>
      <c r="F44" s="1938">
        <f t="shared" si="14"/>
        <v>9.1666666666666679</v>
      </c>
      <c r="G44" s="1938">
        <f t="shared" si="14"/>
        <v>5.8333333333333339</v>
      </c>
      <c r="H44" s="699">
        <v>1522.7999999999997</v>
      </c>
      <c r="I44" s="699">
        <v>0.14850000000000002</v>
      </c>
      <c r="J44" s="699">
        <v>9.4500000000000015E-2</v>
      </c>
      <c r="K44" s="3072" t="s">
        <v>199</v>
      </c>
    </row>
    <row r="45" spans="2:11" ht="18" customHeight="1" x14ac:dyDescent="0.2">
      <c r="B45" s="1240" t="s">
        <v>268</v>
      </c>
      <c r="C45" s="1938">
        <f>IF(SUM(C46:C51)=0,"NO",SUM(C46:C51))</f>
        <v>115118.32332258894</v>
      </c>
      <c r="D45" s="3055" t="s">
        <v>97</v>
      </c>
      <c r="E45" s="615"/>
      <c r="F45" s="615"/>
      <c r="G45" s="615"/>
      <c r="H45" s="1938">
        <f>IF(SUM(H46:H50)=0,"NO",SUM(H46:H50))</f>
        <v>3005.066006979403</v>
      </c>
      <c r="I45" s="1938">
        <f t="shared" ref="I45:K45" si="16">IF(SUM(I46:I51)=0,"NO",SUM(I46:I51))</f>
        <v>0.68955586916671419</v>
      </c>
      <c r="J45" s="1938">
        <f t="shared" si="16"/>
        <v>0.45377165844644329</v>
      </c>
      <c r="K45" s="3044" t="str">
        <f t="shared" si="16"/>
        <v>NO</v>
      </c>
    </row>
    <row r="46" spans="2:11" ht="18" customHeight="1" x14ac:dyDescent="0.2">
      <c r="B46" s="282" t="s">
        <v>243</v>
      </c>
      <c r="C46" s="699">
        <v>6500.0000000000018</v>
      </c>
      <c r="D46" s="3055" t="s">
        <v>97</v>
      </c>
      <c r="E46" s="1938">
        <f>IFERROR(H46*1000/$C46,"NA")</f>
        <v>66.433846153846147</v>
      </c>
      <c r="F46" s="1938">
        <f t="shared" ref="F46:G51" si="17">IFERROR(I46*1000000/$C46,"NA")</f>
        <v>1.8376401637578104</v>
      </c>
      <c r="G46" s="1938">
        <f t="shared" si="17"/>
        <v>2.2780206851971556</v>
      </c>
      <c r="H46" s="699">
        <v>431.82000000000005</v>
      </c>
      <c r="I46" s="699">
        <v>1.1944661064425771E-2</v>
      </c>
      <c r="J46" s="699">
        <v>1.4807134453781515E-2</v>
      </c>
      <c r="K46" s="3072" t="s">
        <v>199</v>
      </c>
    </row>
    <row r="47" spans="2:11" ht="18" customHeight="1" x14ac:dyDescent="0.2">
      <c r="B47" s="282" t="s">
        <v>245</v>
      </c>
      <c r="C47" s="699">
        <v>14809.011627906975</v>
      </c>
      <c r="D47" s="3055" t="s">
        <v>97</v>
      </c>
      <c r="E47" s="1938">
        <f t="shared" ref="E47:E51" si="18">IFERROR(H47*1000/$C47,"NA")</f>
        <v>91.077215429903021</v>
      </c>
      <c r="F47" s="1938">
        <f t="shared" si="17"/>
        <v>0.95238095238095222</v>
      </c>
      <c r="G47" s="1938">
        <f t="shared" si="17"/>
        <v>0.67523809523809519</v>
      </c>
      <c r="H47" s="699">
        <v>1348.7635423388226</v>
      </c>
      <c r="I47" s="699">
        <v>1.4103820598006642E-2</v>
      </c>
      <c r="J47" s="699">
        <v>9.9996088039867106E-3</v>
      </c>
      <c r="K47" s="3072" t="s">
        <v>199</v>
      </c>
    </row>
    <row r="48" spans="2:11" ht="18" customHeight="1" x14ac:dyDescent="0.2">
      <c r="B48" s="282" t="s">
        <v>246</v>
      </c>
      <c r="C48" s="699">
        <v>23800</v>
      </c>
      <c r="D48" s="3055" t="s">
        <v>97</v>
      </c>
      <c r="E48" s="1938">
        <f t="shared" si="18"/>
        <v>51.448843052125234</v>
      </c>
      <c r="F48" s="1938">
        <f t="shared" si="17"/>
        <v>0.91409090909090907</v>
      </c>
      <c r="G48" s="1938">
        <f t="shared" si="17"/>
        <v>0.86459090909090885</v>
      </c>
      <c r="H48" s="699">
        <v>1224.4824646405805</v>
      </c>
      <c r="I48" s="699">
        <v>2.1755363636363635E-2</v>
      </c>
      <c r="J48" s="699">
        <v>2.057726363636363E-2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70009.311694681965</v>
      </c>
      <c r="D51" s="3055" t="s">
        <v>97</v>
      </c>
      <c r="E51" s="1938">
        <f t="shared" si="18"/>
        <v>94.961433701679923</v>
      </c>
      <c r="F51" s="1938">
        <f t="shared" si="17"/>
        <v>9.1666666666666696</v>
      </c>
      <c r="G51" s="1938">
        <f t="shared" si="17"/>
        <v>5.833333333333333</v>
      </c>
      <c r="H51" s="699">
        <v>6648.1846109947865</v>
      </c>
      <c r="I51" s="699">
        <v>0.64175202386791819</v>
      </c>
      <c r="J51" s="699">
        <v>0.40838765155231144</v>
      </c>
      <c r="K51" s="3072" t="s">
        <v>199</v>
      </c>
    </row>
    <row r="52" spans="2:11" ht="18" customHeight="1" x14ac:dyDescent="0.2">
      <c r="B52" s="1240" t="s">
        <v>269</v>
      </c>
      <c r="C52" s="3073">
        <f>IF(SUM(C53:C58)=0,"NO",SUM(C53:C58))</f>
        <v>79300</v>
      </c>
      <c r="D52" s="3055" t="s">
        <v>97</v>
      </c>
      <c r="E52" s="615"/>
      <c r="F52" s="615"/>
      <c r="G52" s="615"/>
      <c r="H52" s="1938">
        <f>IF(SUM(H53:H57)=0,"NO",SUM(H53:H57))</f>
        <v>4972.9678353025156</v>
      </c>
      <c r="I52" s="1938">
        <f t="shared" ref="I52:K52" si="19">IF(SUM(I53:I58)=0,"NO",SUM(I53:I58))</f>
        <v>0.13761178533589485</v>
      </c>
      <c r="J52" s="1938">
        <f t="shared" si="19"/>
        <v>3.8504889596952495E-2</v>
      </c>
      <c r="K52" s="3044" t="str">
        <f t="shared" si="19"/>
        <v>NO</v>
      </c>
    </row>
    <row r="53" spans="2:11" ht="18" customHeight="1" x14ac:dyDescent="0.2">
      <c r="B53" s="282" t="s">
        <v>243</v>
      </c>
      <c r="C53" s="2173">
        <v>5000.0000000000009</v>
      </c>
      <c r="D53" s="3055" t="s">
        <v>97</v>
      </c>
      <c r="E53" s="1938">
        <f>IFERROR(H53*1000/$C53,"NA")</f>
        <v>67.591999999999999</v>
      </c>
      <c r="F53" s="1938">
        <f t="shared" ref="F53:G58" si="20">IFERROR(I53*1000000/$C53,"NA")</f>
        <v>11.255059231681134</v>
      </c>
      <c r="G53" s="1938">
        <f t="shared" si="20"/>
        <v>1.7152238934164712</v>
      </c>
      <c r="H53" s="699">
        <v>337.96000000000004</v>
      </c>
      <c r="I53" s="699">
        <v>5.627529615840568E-2</v>
      </c>
      <c r="J53" s="699">
        <v>8.5761194670823573E-3</v>
      </c>
      <c r="K53" s="3072" t="s">
        <v>199</v>
      </c>
    </row>
    <row r="54" spans="2:11" ht="18" customHeight="1" x14ac:dyDescent="0.2">
      <c r="B54" s="282" t="s">
        <v>245</v>
      </c>
      <c r="C54" s="699">
        <v>22300.000000000004</v>
      </c>
      <c r="D54" s="3055" t="s">
        <v>97</v>
      </c>
      <c r="E54" s="1938">
        <f t="shared" ref="E54:E58" si="21">IFERROR(H54*1000/$C54,"NA")</f>
        <v>90.269058295964129</v>
      </c>
      <c r="F54" s="1938">
        <f t="shared" si="20"/>
        <v>0.95238095238095233</v>
      </c>
      <c r="G54" s="1938">
        <f t="shared" si="20"/>
        <v>0.82456544949818511</v>
      </c>
      <c r="H54" s="699">
        <v>2013.0000000000005</v>
      </c>
      <c r="I54" s="699">
        <v>2.123809523809524E-2</v>
      </c>
      <c r="J54" s="699">
        <v>1.8387809523809528E-2</v>
      </c>
      <c r="K54" s="3072" t="s">
        <v>199</v>
      </c>
    </row>
    <row r="55" spans="2:11" ht="18" customHeight="1" x14ac:dyDescent="0.2">
      <c r="B55" s="282" t="s">
        <v>246</v>
      </c>
      <c r="C55" s="699">
        <v>51000</v>
      </c>
      <c r="D55" s="3055" t="s">
        <v>97</v>
      </c>
      <c r="E55" s="1938">
        <f t="shared" si="21"/>
        <v>51.411918339264993</v>
      </c>
      <c r="F55" s="1938">
        <f t="shared" si="20"/>
        <v>0.99866131907308375</v>
      </c>
      <c r="G55" s="1938">
        <f t="shared" si="20"/>
        <v>0.11191426024955436</v>
      </c>
      <c r="H55" s="699">
        <v>2622.0078353025146</v>
      </c>
      <c r="I55" s="699">
        <v>5.0931727272727274E-2</v>
      </c>
      <c r="J55" s="699">
        <v>5.7076272727272729E-3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1000</v>
      </c>
      <c r="D58" s="3055" t="s">
        <v>97</v>
      </c>
      <c r="E58" s="3074">
        <f t="shared" si="21"/>
        <v>94</v>
      </c>
      <c r="F58" s="3074">
        <f t="shared" si="20"/>
        <v>9.1666666666666696</v>
      </c>
      <c r="G58" s="3074">
        <f t="shared" si="20"/>
        <v>5.8333333333333348</v>
      </c>
      <c r="H58" s="2215">
        <v>94</v>
      </c>
      <c r="I58" s="699">
        <v>9.1666666666666702E-3</v>
      </c>
      <c r="J58" s="699">
        <v>5.8333333333333345E-3</v>
      </c>
      <c r="K58" s="3072" t="s">
        <v>199</v>
      </c>
    </row>
    <row r="59" spans="2:11" ht="18" customHeight="1" x14ac:dyDescent="0.2">
      <c r="B59" s="1240" t="s">
        <v>270</v>
      </c>
      <c r="C59" s="3073">
        <f>IF(SUM(C60:C65)=0,"NO",SUM(C60:C65))</f>
        <v>95088.266187784116</v>
      </c>
      <c r="D59" s="4224" t="s">
        <v>97</v>
      </c>
      <c r="E59" s="4225"/>
      <c r="F59" s="4225"/>
      <c r="G59" s="4225"/>
      <c r="H59" s="1938">
        <f>IF(SUM(H60:H64)=0,"NO",SUM(H60:H64))</f>
        <v>6343.5811472828163</v>
      </c>
      <c r="I59" s="1938">
        <f t="shared" ref="I59:K59" si="22">IF(SUM(I60:I65)=0,"NO",SUM(I60:I65))</f>
        <v>0.32348261739078288</v>
      </c>
      <c r="J59" s="1938">
        <f t="shared" si="22"/>
        <v>0.25113942142909451</v>
      </c>
      <c r="K59" s="3044" t="str">
        <f t="shared" si="22"/>
        <v>NO</v>
      </c>
    </row>
    <row r="60" spans="2:11" ht="18" customHeight="1" x14ac:dyDescent="0.2">
      <c r="B60" s="282" t="s">
        <v>243</v>
      </c>
      <c r="C60" s="4223">
        <f>IF(SUM(C68,C75,C82,C89,C96,C103,C110,C111,C111,C112,C113,C120)=0,"NO",SUM(C68,C75,C82,C89,C96,C103,C110,C111,C111,C112,C113,C120))</f>
        <v>64458.266187784124</v>
      </c>
      <c r="D60" s="4224" t="s">
        <v>97</v>
      </c>
      <c r="E60" s="3074">
        <f t="shared" ref="E60:E65" si="23">IFERROR(H60*1000/$C60,"NA")</f>
        <v>69.695739678299361</v>
      </c>
      <c r="F60" s="3074">
        <f t="shared" ref="F60:F65" si="24">IFERROR(I60*1000000/$C60,"NA")</f>
        <v>4.5302625095549542</v>
      </c>
      <c r="G60" s="3074">
        <f t="shared" ref="G60:G65" si="25">IFERROR(J60*1000000/$C60,"NA")</f>
        <v>3.5039059668319137</v>
      </c>
      <c r="H60" s="3074">
        <f>IF(SUM(H68,H75,H82,H89,H96,H103,H110,H111,H111,H112,H113,H120)=0,"NO",SUM(H68,H75,H82,H89,H96,H103,H110,H111,H111,H112,H113,H120))</f>
        <v>4492.4665403383278</v>
      </c>
      <c r="I60" s="3074">
        <f>IF(SUM(I68,I75,I82,I89,I96,I103,I110,I111,I111,I112,I113,I120)=0,"NO",SUM(I68,I75,I82,I89,I96,I103,I110,I111,I111,I112,I113,I120))</f>
        <v>0.29201286674143218</v>
      </c>
      <c r="J60" s="3074">
        <f>IF(SUM(J68,J75,J82,J89,J96,J103,J110,J111,J111,J112,J113,J120)=0,"NO",SUM(J68,J75,J82,J89,J96,J103,J110,J111,J111,J112,J113,J120))</f>
        <v>0.22585570350701659</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9429.9999999999982</v>
      </c>
      <c r="D61" s="4224" t="s">
        <v>97</v>
      </c>
      <c r="E61" s="3074">
        <f t="shared" si="23"/>
        <v>80.719187502870653</v>
      </c>
      <c r="F61" s="3074">
        <f t="shared" si="24"/>
        <v>1.1454955860682268</v>
      </c>
      <c r="G61" s="3074">
        <f t="shared" si="25"/>
        <v>0.76961724807536058</v>
      </c>
      <c r="H61" s="3074">
        <f>IF(SUM(H69,H76,H83,H90,H97,H104,H121)=0,"NO",SUM(H69,H76,H83,H90,H97,H104,H121))</f>
        <v>761.18193815207019</v>
      </c>
      <c r="I61" s="3074">
        <f>IF(SUM(I69,I76,I83,I90,I97,I104,I121)=0,"NO",SUM(I69,I76,I83,I90,I97,I104,I121))</f>
        <v>1.0802023376623376E-2</v>
      </c>
      <c r="J61" s="3074">
        <f>IF(SUM(J69,J76,J83,J90,J97,J104,J121)=0,"NO",SUM(J69,J76,J83,J90,J97,J104,J121))</f>
        <v>7.2574906493506489E-3</v>
      </c>
      <c r="K61" s="3044" t="str">
        <f>IF(SUM(K69,K76,K83,K90,K97,K104,K121)=0,"NO",SUM(K69,K76,K83,K90,K97,K104,K121))</f>
        <v>NO</v>
      </c>
    </row>
    <row r="62" spans="2:11" ht="18" customHeight="1" x14ac:dyDescent="0.2">
      <c r="B62" s="282" t="s">
        <v>246</v>
      </c>
      <c r="C62" s="4223">
        <f>IF(SUM(C70,C77,C84,C91,C98,C105,C115,C122)=0,"NO",SUM(C70,C77,C84,C91,C98,C105,C115,C122))</f>
        <v>21200.000000000007</v>
      </c>
      <c r="D62" s="4224" t="s">
        <v>97</v>
      </c>
      <c r="E62" s="3074">
        <f t="shared" si="23"/>
        <v>51.411918339265014</v>
      </c>
      <c r="F62" s="3074">
        <f t="shared" si="24"/>
        <v>0.97489279588336242</v>
      </c>
      <c r="G62" s="3074">
        <f t="shared" si="25"/>
        <v>0.85029373927958818</v>
      </c>
      <c r="H62" s="3074">
        <f t="shared" ref="H62:K63" si="26">IF(SUM(H70,H77,H84,H91,H98,H105,H115,H122)=0,"NO",SUM(H70,H77,H84,H91,H98,H105,H115,H122))</f>
        <v>1089.9326687924186</v>
      </c>
      <c r="I62" s="3074">
        <f t="shared" si="26"/>
        <v>2.0667727272727289E-2</v>
      </c>
      <c r="J62" s="3074">
        <f t="shared" si="26"/>
        <v>1.8026227272727277E-2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8899.9999999999982</v>
      </c>
      <c r="D67" s="3055" t="s">
        <v>97</v>
      </c>
      <c r="E67" s="615"/>
      <c r="F67" s="615"/>
      <c r="G67" s="615"/>
      <c r="H67" s="1938">
        <f>IF(SUM(H68:H72)=0,"NO",SUM(H68:H72))</f>
        <v>465.56653854804648</v>
      </c>
      <c r="I67" s="1938">
        <f t="shared" ref="I67:K67" si="27">IF(SUM(I68:I73)=0,"NO",SUM(I68:I73))</f>
        <v>4.1237761904761895E-2</v>
      </c>
      <c r="J67" s="1938">
        <f t="shared" si="27"/>
        <v>8.2900619047619022E-3</v>
      </c>
      <c r="K67" s="3044" t="str">
        <f t="shared" si="27"/>
        <v>NO</v>
      </c>
    </row>
    <row r="68" spans="2:11" ht="18" customHeight="1" x14ac:dyDescent="0.2">
      <c r="B68" s="158" t="s">
        <v>243</v>
      </c>
      <c r="C68" s="699">
        <v>799.99999999999977</v>
      </c>
      <c r="D68" s="3055" t="s">
        <v>97</v>
      </c>
      <c r="E68" s="1938">
        <f>IFERROR(H68*1000/$C68,"NA")</f>
        <v>61.412500000000009</v>
      </c>
      <c r="F68" s="1938">
        <f t="shared" ref="F68:G73" si="28">IFERROR(I68*1000000/$C68,"NA")</f>
        <v>42.13095238095238</v>
      </c>
      <c r="G68" s="1938">
        <f t="shared" si="28"/>
        <v>2.1309523809523814</v>
      </c>
      <c r="H68" s="699">
        <v>49.129999999999995</v>
      </c>
      <c r="I68" s="699">
        <v>3.3704761904761897E-2</v>
      </c>
      <c r="J68" s="699">
        <v>1.7047619047619047E-3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8099.9999999999982</v>
      </c>
      <c r="D70" s="3055" t="s">
        <v>97</v>
      </c>
      <c r="E70" s="1938">
        <f t="shared" si="29"/>
        <v>51.411918339265007</v>
      </c>
      <c r="F70" s="1938">
        <f t="shared" si="28"/>
        <v>0.92999999999999994</v>
      </c>
      <c r="G70" s="1938">
        <f t="shared" si="28"/>
        <v>0.81299999999999994</v>
      </c>
      <c r="H70" s="699">
        <v>416.43653854804649</v>
      </c>
      <c r="I70" s="699">
        <v>7.532999999999998E-3</v>
      </c>
      <c r="J70" s="699">
        <v>6.5852999999999979E-3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34386.657608695656</v>
      </c>
      <c r="D81" s="3056" t="s">
        <v>97</v>
      </c>
      <c r="E81" s="615"/>
      <c r="F81" s="615"/>
      <c r="G81" s="615"/>
      <c r="H81" s="1938">
        <f>IF(SUM(H82:H86)=0,"NO",SUM(H82:H86))</f>
        <v>2459.0007575643922</v>
      </c>
      <c r="I81" s="1938">
        <f t="shared" ref="I81:K81" si="33">IF(SUM(I82:I87)=0,"NO",SUM(I82:I87))</f>
        <v>9.9048229242737929E-2</v>
      </c>
      <c r="J81" s="1938">
        <f t="shared" si="33"/>
        <v>9.2579495314637023E-2</v>
      </c>
      <c r="K81" s="3044" t="str">
        <f t="shared" si="33"/>
        <v>NO</v>
      </c>
    </row>
    <row r="82" spans="2:11" ht="18" customHeight="1" x14ac:dyDescent="0.2">
      <c r="B82" s="158" t="s">
        <v>243</v>
      </c>
      <c r="C82" s="699">
        <v>25256.657608695648</v>
      </c>
      <c r="D82" s="3056" t="s">
        <v>97</v>
      </c>
      <c r="E82" s="1938">
        <f>IFERROR(H82*1000/$C82,"NA")</f>
        <v>70.091052294648961</v>
      </c>
      <c r="F82" s="1938">
        <f t="shared" ref="F82:G87" si="34">IFERROR(I82*1000000/$C82,"NA")</f>
        <v>3.4607326334959918</v>
      </c>
      <c r="G82" s="1938">
        <f t="shared" si="34"/>
        <v>3.3767722624706811</v>
      </c>
      <c r="H82" s="699">
        <v>1770.2657092391303</v>
      </c>
      <c r="I82" s="699">
        <v>8.7406539199447866E-2</v>
      </c>
      <c r="J82" s="699">
        <v>8.5285980855762555E-2</v>
      </c>
      <c r="K82" s="3072" t="s">
        <v>199</v>
      </c>
    </row>
    <row r="83" spans="2:11" ht="18" customHeight="1" x14ac:dyDescent="0.2">
      <c r="B83" s="158" t="s">
        <v>245</v>
      </c>
      <c r="C83" s="699">
        <v>8029.9999999999991</v>
      </c>
      <c r="D83" s="3056" t="s">
        <v>97</v>
      </c>
      <c r="E83" s="1938">
        <f t="shared" ref="E83:E87" si="35">IFERROR(H83*1000/$C83,"NA")</f>
        <v>78.72751409116691</v>
      </c>
      <c r="F83" s="1938">
        <f t="shared" si="34"/>
        <v>1.1791643889526831</v>
      </c>
      <c r="G83" s="1938">
        <f t="shared" si="34"/>
        <v>0.78707527507776576</v>
      </c>
      <c r="H83" s="699">
        <v>632.18193815207019</v>
      </c>
      <c r="I83" s="699">
        <v>9.4686900432900435E-3</v>
      </c>
      <c r="J83" s="699">
        <v>6.3202144588744586E-3</v>
      </c>
      <c r="K83" s="3072" t="s">
        <v>199</v>
      </c>
    </row>
    <row r="84" spans="2:11" ht="18" customHeight="1" x14ac:dyDescent="0.2">
      <c r="B84" s="158" t="s">
        <v>246</v>
      </c>
      <c r="C84" s="699">
        <v>1100.0000000000086</v>
      </c>
      <c r="D84" s="3056" t="s">
        <v>97</v>
      </c>
      <c r="E84" s="1938">
        <f t="shared" si="35"/>
        <v>51.411918339265</v>
      </c>
      <c r="F84" s="1938">
        <f t="shared" si="34"/>
        <v>1.9754545454545451</v>
      </c>
      <c r="G84" s="1938">
        <f t="shared" si="34"/>
        <v>0.88481818181818161</v>
      </c>
      <c r="H84" s="699">
        <v>56.553110173191946</v>
      </c>
      <c r="I84" s="699">
        <v>2.1730000000000169E-3</v>
      </c>
      <c r="J84" s="699">
        <v>9.7330000000000745E-4</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37001.608579088475</v>
      </c>
      <c r="D95" s="3056" t="s">
        <v>97</v>
      </c>
      <c r="E95" s="615"/>
      <c r="F95" s="615"/>
      <c r="G95" s="615"/>
      <c r="H95" s="1938">
        <f>IF(SUM(H96:H100)=0,"NO",SUM(H96:H100))</f>
        <v>2582.4132147670498</v>
      </c>
      <c r="I95" s="1938">
        <f t="shared" ref="I95:K95" si="41">IF(SUM(I96:I101)=0,"NO",SUM(I96:I101))</f>
        <v>0.13661498555064236</v>
      </c>
      <c r="J95" s="1938">
        <f t="shared" si="41"/>
        <v>0.13592559451272587</v>
      </c>
      <c r="K95" s="3044" t="str">
        <f t="shared" si="41"/>
        <v>NO</v>
      </c>
    </row>
    <row r="96" spans="2:11" ht="18" customHeight="1" x14ac:dyDescent="0.2">
      <c r="B96" s="158" t="s">
        <v>243</v>
      </c>
      <c r="C96" s="699">
        <v>36801.608579088475</v>
      </c>
      <c r="D96" s="3056" t="s">
        <v>97</v>
      </c>
      <c r="E96" s="1938">
        <f>IFERROR(H96*1000/$C96,"NA")</f>
        <v>69.89180447293657</v>
      </c>
      <c r="F96" s="1938">
        <f t="shared" ref="F96:G101" si="42">IFERROR(I96*1000000/$C96,"NA")</f>
        <v>3.7072609768027549</v>
      </c>
      <c r="G96" s="1938">
        <f t="shared" si="42"/>
        <v>3.6885283435148666</v>
      </c>
      <c r="H96" s="699">
        <v>2572.1308310991967</v>
      </c>
      <c r="I96" s="699">
        <v>0.13643316736882419</v>
      </c>
      <c r="J96" s="699">
        <v>0.1357437763309077</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200</v>
      </c>
      <c r="D98" s="3056" t="s">
        <v>97</v>
      </c>
      <c r="E98" s="1938">
        <f t="shared" si="43"/>
        <v>51.411918339265</v>
      </c>
      <c r="F98" s="1938">
        <f t="shared" si="42"/>
        <v>0.90909090909090917</v>
      </c>
      <c r="G98" s="1938">
        <f t="shared" si="42"/>
        <v>0.90909090909090917</v>
      </c>
      <c r="H98" s="699">
        <v>10.282383667853001</v>
      </c>
      <c r="I98" s="699">
        <v>1.8181818181818183E-4</v>
      </c>
      <c r="J98" s="699">
        <v>1.8181818181818183E-4</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8400</v>
      </c>
      <c r="D102" s="3055" t="s">
        <v>97</v>
      </c>
      <c r="E102" s="615"/>
      <c r="F102" s="615"/>
      <c r="G102" s="615"/>
      <c r="H102" s="1938">
        <f>IF(SUM(H103:H107)=0,"NO",SUM(H103:H107))</f>
        <v>495.70508553736954</v>
      </c>
      <c r="I102" s="1938">
        <f t="shared" ref="I102:K102" si="47">IF(SUM(I103:I108)=0,"NO",SUM(I103:I108))</f>
        <v>8.0646926406926413E-3</v>
      </c>
      <c r="J102" s="1938">
        <f t="shared" si="47"/>
        <v>7.8957056277056282E-3</v>
      </c>
      <c r="K102" s="3044" t="str">
        <f t="shared" si="47"/>
        <v>NO</v>
      </c>
    </row>
    <row r="103" spans="2:11" ht="18" customHeight="1" x14ac:dyDescent="0.2">
      <c r="B103" s="158" t="s">
        <v>243</v>
      </c>
      <c r="C103" s="699">
        <v>799.99999999999989</v>
      </c>
      <c r="D103" s="3055" t="s">
        <v>97</v>
      </c>
      <c r="E103" s="1938">
        <f>IFERROR(H103*1000/$C103,"NA")</f>
        <v>64.762500000000003</v>
      </c>
      <c r="F103" s="1938">
        <f t="shared" ref="F103:G108" si="48">IFERROR(I103*1000000/$C103,"NA")</f>
        <v>1.3168831168831172</v>
      </c>
      <c r="G103" s="1938">
        <f t="shared" si="48"/>
        <v>2.1369350649350651</v>
      </c>
      <c r="H103" s="699">
        <v>51.81</v>
      </c>
      <c r="I103" s="699">
        <v>1.0535064935064935E-3</v>
      </c>
      <c r="J103" s="699">
        <v>1.7095480519480517E-3</v>
      </c>
      <c r="K103" s="3072" t="s">
        <v>199</v>
      </c>
    </row>
    <row r="104" spans="2:11" ht="18" customHeight="1" x14ac:dyDescent="0.2">
      <c r="B104" s="158" t="s">
        <v>245</v>
      </c>
      <c r="C104" s="699">
        <v>1299.9999999999998</v>
      </c>
      <c r="D104" s="3055" t="s">
        <v>97</v>
      </c>
      <c r="E104" s="1938">
        <f t="shared" ref="E104:E108" si="49">IFERROR(H104*1000/$C104,"NA")</f>
        <v>92.307692307692321</v>
      </c>
      <c r="F104" s="1938">
        <f t="shared" si="48"/>
        <v>0.95238095238095233</v>
      </c>
      <c r="G104" s="1938">
        <f t="shared" si="48"/>
        <v>0.66666666666666674</v>
      </c>
      <c r="H104" s="699">
        <v>120</v>
      </c>
      <c r="I104" s="699">
        <v>1.2380952380952378E-3</v>
      </c>
      <c r="J104" s="699">
        <v>8.6666666666666663E-4</v>
      </c>
      <c r="K104" s="3072" t="s">
        <v>199</v>
      </c>
    </row>
    <row r="105" spans="2:11" ht="18" customHeight="1" x14ac:dyDescent="0.2">
      <c r="B105" s="158" t="s">
        <v>246</v>
      </c>
      <c r="C105" s="699">
        <v>6300.0000000000009</v>
      </c>
      <c r="D105" s="3055" t="s">
        <v>97</v>
      </c>
      <c r="E105" s="1938">
        <f t="shared" si="49"/>
        <v>51.411918339265</v>
      </c>
      <c r="F105" s="1938">
        <f t="shared" si="48"/>
        <v>0.91636363636363638</v>
      </c>
      <c r="G105" s="1938">
        <f t="shared" si="48"/>
        <v>0.84436363636363632</v>
      </c>
      <c r="H105" s="699">
        <v>323.89508553736954</v>
      </c>
      <c r="I105" s="699">
        <v>5.77309090909091E-3</v>
      </c>
      <c r="J105" s="699">
        <v>5.3194909090909098E-3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6399.9999999999982</v>
      </c>
      <c r="D118" s="3055" t="s">
        <v>97</v>
      </c>
      <c r="E118" s="615"/>
      <c r="F118" s="615"/>
      <c r="G118" s="615"/>
      <c r="H118" s="1938">
        <f>H119</f>
        <v>340.89555086595743</v>
      </c>
      <c r="I118" s="1938">
        <f>I119</f>
        <v>3.8516948051948052E-2</v>
      </c>
      <c r="J118" s="1938">
        <f>J119</f>
        <v>6.4485640692640662E-3</v>
      </c>
      <c r="K118" s="3044" t="str">
        <f>K119</f>
        <v>NO</v>
      </c>
    </row>
    <row r="119" spans="2:11" ht="18" customHeight="1" x14ac:dyDescent="0.2">
      <c r="B119" s="3069" t="s">
        <v>286</v>
      </c>
      <c r="C119" s="3077">
        <f>IF(SUM(C120:C125)=0,"NO",SUM(C120:C125))</f>
        <v>6399.9999999999982</v>
      </c>
      <c r="D119" s="3055" t="s">
        <v>97</v>
      </c>
      <c r="E119" s="615"/>
      <c r="F119" s="615"/>
      <c r="G119" s="615"/>
      <c r="H119" s="3077">
        <f>IF(SUM(H120:H124)=0,"NO",SUM(H120:H124))</f>
        <v>340.89555086595743</v>
      </c>
      <c r="I119" s="3077">
        <f t="shared" ref="I119" si="56">IF(SUM(I120:I125)=0,"NO",SUM(I120:I125))</f>
        <v>3.8516948051948052E-2</v>
      </c>
      <c r="J119" s="3077">
        <f t="shared" ref="J119" si="57">IF(SUM(J120:J125)=0,"NO",SUM(J120:J125))</f>
        <v>6.4485640692640662E-3</v>
      </c>
      <c r="K119" s="3078" t="str">
        <f t="shared" ref="K119" si="58">IF(SUM(K120:K125)=0,"NO",SUM(K120:K125))</f>
        <v>NO</v>
      </c>
    </row>
    <row r="120" spans="2:11" ht="18" customHeight="1" x14ac:dyDescent="0.2">
      <c r="B120" s="158" t="s">
        <v>243</v>
      </c>
      <c r="C120" s="699">
        <v>800</v>
      </c>
      <c r="D120" s="3055" t="s">
        <v>97</v>
      </c>
      <c r="E120" s="1938">
        <f>IFERROR(H120*1000/$C120,"NA")</f>
        <v>61.412500000000009</v>
      </c>
      <c r="F120" s="1938">
        <f t="shared" ref="F120:G125" si="59">IFERROR(I120*1000000/$C120,"NA")</f>
        <v>41.768614718614728</v>
      </c>
      <c r="G120" s="1938">
        <f t="shared" si="59"/>
        <v>1.7645454545454542</v>
      </c>
      <c r="H120" s="699">
        <v>49.13000000000001</v>
      </c>
      <c r="I120" s="699">
        <v>3.3414891774891778E-2</v>
      </c>
      <c r="J120" s="699">
        <v>1.4116363636363632E-3</v>
      </c>
      <c r="K120" s="3072" t="s">
        <v>199</v>
      </c>
    </row>
    <row r="121" spans="2:11" ht="18" customHeight="1" x14ac:dyDescent="0.2">
      <c r="B121" s="158" t="s">
        <v>245</v>
      </c>
      <c r="C121" s="699">
        <v>100</v>
      </c>
      <c r="D121" s="3055" t="s">
        <v>97</v>
      </c>
      <c r="E121" s="1938">
        <f t="shared" ref="E121:E125" si="60">IFERROR(H121*1000/$C121,"NA")</f>
        <v>90</v>
      </c>
      <c r="F121" s="1938">
        <f t="shared" si="59"/>
        <v>0.95238095238095222</v>
      </c>
      <c r="G121" s="1938">
        <f t="shared" si="59"/>
        <v>0.70609523809523822</v>
      </c>
      <c r="H121" s="699">
        <v>9</v>
      </c>
      <c r="I121" s="699">
        <v>9.5238095238095227E-5</v>
      </c>
      <c r="J121" s="699">
        <v>7.0609523809523819E-5</v>
      </c>
      <c r="K121" s="3072" t="s">
        <v>199</v>
      </c>
    </row>
    <row r="122" spans="2:11" ht="18" customHeight="1" x14ac:dyDescent="0.2">
      <c r="B122" s="158" t="s">
        <v>246</v>
      </c>
      <c r="C122" s="699">
        <v>5499.9999999999982</v>
      </c>
      <c r="D122" s="3055" t="s">
        <v>97</v>
      </c>
      <c r="E122" s="1938">
        <f t="shared" si="60"/>
        <v>51.411918339265007</v>
      </c>
      <c r="F122" s="1938">
        <f t="shared" si="59"/>
        <v>0.91033057851239674</v>
      </c>
      <c r="G122" s="1938">
        <f t="shared" si="59"/>
        <v>0.90296694214876017</v>
      </c>
      <c r="H122" s="699">
        <v>282.76555086595744</v>
      </c>
      <c r="I122" s="699">
        <v>5.00681818181818E-3</v>
      </c>
      <c r="J122" s="699">
        <v>4.9663181818181794E-3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5677.806774026888</v>
      </c>
      <c r="D10" s="695">
        <f t="shared" ref="D10:F10" si="0">SUM(D11:D16)</f>
        <v>27596.68319553716</v>
      </c>
      <c r="E10" s="695">
        <f t="shared" si="0"/>
        <v>2501.7998234847901</v>
      </c>
      <c r="F10" s="695">
        <f t="shared" si="0"/>
        <v>2374.4923383508944</v>
      </c>
      <c r="G10" s="696" t="s">
        <v>199</v>
      </c>
      <c r="H10" s="697" t="s">
        <v>2035</v>
      </c>
      <c r="I10" s="698" t="s">
        <v>2036</v>
      </c>
    </row>
    <row r="11" spans="2:9" ht="18" customHeight="1" x14ac:dyDescent="0.2">
      <c r="B11" s="1561" t="s">
        <v>1921</v>
      </c>
      <c r="C11" s="3696">
        <f>Table1!D10</f>
        <v>1299.2201626582212</v>
      </c>
      <c r="D11" s="3697">
        <f>Table1!G10</f>
        <v>5287.7693337574365</v>
      </c>
      <c r="E11" s="3697">
        <f>Table1!H10</f>
        <v>790.86032233113099</v>
      </c>
      <c r="F11" s="3697">
        <f>Table1!F10</f>
        <v>1531.7060092690283</v>
      </c>
      <c r="G11" s="3698" t="s">
        <v>199</v>
      </c>
      <c r="H11" s="3699" t="s">
        <v>221</v>
      </c>
      <c r="I11" s="3700" t="s">
        <v>221</v>
      </c>
    </row>
    <row r="12" spans="2:9" ht="18" customHeight="1" x14ac:dyDescent="0.2">
      <c r="B12" s="2419" t="s">
        <v>2037</v>
      </c>
      <c r="C12" s="3149">
        <f>'Table2(I)'!D10</f>
        <v>3.0036935116052974</v>
      </c>
      <c r="D12" s="699">
        <f>'Table2(I)'!L10</f>
        <v>9.9138160894991874</v>
      </c>
      <c r="E12" s="699">
        <f>'Table2(I)'!M10</f>
        <v>209.24375373797261</v>
      </c>
      <c r="F12" s="699">
        <f>'Table2(I)'!K10</f>
        <v>37.115349448777216</v>
      </c>
      <c r="G12" s="3125" t="s">
        <v>199</v>
      </c>
      <c r="H12" s="3701" t="s">
        <v>199</v>
      </c>
      <c r="I12" s="2921" t="s">
        <v>199</v>
      </c>
    </row>
    <row r="13" spans="2:9" ht="18" customHeight="1" x14ac:dyDescent="0.2">
      <c r="B13" s="2419" t="s">
        <v>2038</v>
      </c>
      <c r="C13" s="3149">
        <f>Table3!D10</f>
        <v>2839.2119857675448</v>
      </c>
      <c r="D13" s="699">
        <f>Table3!G10</f>
        <v>449.08986997018991</v>
      </c>
      <c r="E13" s="699">
        <f>Table3!H10</f>
        <v>26.196909081594409</v>
      </c>
      <c r="F13" s="699">
        <f>Table3!F10</f>
        <v>26.592482533729303</v>
      </c>
      <c r="G13" s="3702"/>
      <c r="H13" s="3701" t="s">
        <v>221</v>
      </c>
      <c r="I13" s="2921" t="s">
        <v>274</v>
      </c>
    </row>
    <row r="14" spans="2:9" ht="18" customHeight="1" x14ac:dyDescent="0.2">
      <c r="B14" s="2419" t="s">
        <v>2039</v>
      </c>
      <c r="C14" s="3149">
        <f>Table4!D10</f>
        <v>709.77379808244677</v>
      </c>
      <c r="D14" s="699">
        <f>Table4!G10</f>
        <v>21849.910175720033</v>
      </c>
      <c r="E14" s="3125">
        <f>Table4!H10</f>
        <v>995.59445489074858</v>
      </c>
      <c r="F14" s="3125">
        <f>Table4!F10</f>
        <v>779.07849709935965</v>
      </c>
      <c r="G14" s="3702"/>
      <c r="H14" s="3703" t="s">
        <v>221</v>
      </c>
      <c r="I14" s="2921" t="s">
        <v>221</v>
      </c>
    </row>
    <row r="15" spans="2:9" ht="18" customHeight="1" x14ac:dyDescent="0.2">
      <c r="B15" s="2419" t="s">
        <v>2040</v>
      </c>
      <c r="C15" s="3149">
        <f>Table5!D10</f>
        <v>826.59713400707039</v>
      </c>
      <c r="D15" s="699" t="str">
        <f>Table5!G10</f>
        <v>NO</v>
      </c>
      <c r="E15" s="3125">
        <f>Table5!H10</f>
        <v>479.90438344334387</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1991</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439341.82550684205</v>
      </c>
      <c r="D10" s="3840">
        <f>SUM(D11,D22,D30,D41,D50,D56)</f>
        <v>413318.47179445607</v>
      </c>
      <c r="E10" s="3842">
        <f>IF(D10="NO",IF(C10="NO","NA",-C10),IF(C10="NO",D10,D10-C10))</f>
        <v>-26023.353712385986</v>
      </c>
      <c r="F10" s="3840">
        <f>IF(E10="NA","NA",E10/C10*100)</f>
        <v>-5.9232588844379697</v>
      </c>
      <c r="G10" s="3843">
        <f>IF(E10="NA","NA",E10/Table8s2!$G$35*100)</f>
        <v>-5.9519785960333751</v>
      </c>
      <c r="H10" s="3844">
        <f>IF(E10="NA","NA",E10/Table8s2!$G$34*100)</f>
        <v>-4.3737312888077629</v>
      </c>
      <c r="I10" s="4488">
        <f>SUM(I11,I22,I30,I41,I50,I56)</f>
        <v>158679.44413875433</v>
      </c>
      <c r="J10" s="3840">
        <f>SUM(J11,J22,J30,J41,J50,J56)</f>
        <v>158978.58967275286</v>
      </c>
      <c r="K10" s="3842">
        <f t="shared" ref="K10:K12" si="0">IF(J10="NO",IF(I10="NO","NA",-I10),IF(I10="NO",J10,J10-I10))</f>
        <v>299.14553399852593</v>
      </c>
      <c r="L10" s="3840">
        <f t="shared" ref="L10:L12" si="1">IF(K10="NA","NA",K10/I10*100)</f>
        <v>0.18852191953542741</v>
      </c>
      <c r="M10" s="3843">
        <f>IF(K10="NA","NA",K10/Table8s2!$G$35*100)</f>
        <v>6.8419613979683033E-2</v>
      </c>
      <c r="N10" s="3844">
        <f>IF(K10="NA","NA",K10/Table8s2!$G$34*100)</f>
        <v>5.0277231613453661E-2</v>
      </c>
      <c r="O10" s="4488">
        <f>SUM(O11,O22,O30,O41,O50,O56)</f>
        <v>17888.523874473522</v>
      </c>
      <c r="P10" s="3840">
        <f>SUM(P11,P22,P30,P41,P50,P56)</f>
        <v>17107.763684975846</v>
      </c>
      <c r="Q10" s="3842">
        <f t="shared" ref="Q10:Q12" si="2">IF(P10="NO",IF(O10="NO","NA",-O10),IF(O10="NO",P10,P10-O10))</f>
        <v>-780.76018949767604</v>
      </c>
      <c r="R10" s="3840">
        <f t="shared" ref="R10:R12" si="3">IF(Q10="NA","NA",Q10/O10*100)</f>
        <v>-4.3645870110713902</v>
      </c>
      <c r="S10" s="3843">
        <f>IF(Q10="NA","NA",Q10/Table8s2!$G$35*100)</f>
        <v>-0.17857298440028993</v>
      </c>
      <c r="T10" s="3844">
        <f>IF(Q10="NA","NA",Q10/Table8s2!$G$34*100)</f>
        <v>-0.13122195192836161</v>
      </c>
    </row>
    <row r="11" spans="2:20" ht="18" customHeight="1" x14ac:dyDescent="0.2">
      <c r="B11" s="1404" t="s">
        <v>1921</v>
      </c>
      <c r="C11" s="3841">
        <f>SUM(C12,C18,C21)</f>
        <v>260937.17654980806</v>
      </c>
      <c r="D11" s="3841">
        <f>Summary2!C11</f>
        <v>260937.39761643976</v>
      </c>
      <c r="E11" s="3845">
        <f t="shared" ref="E11:E38" si="4">IF(D11="NO",IF(C11="NO","NA",-C11),IF(C11="NO",D11,D11-C11))</f>
        <v>0.22106663169688545</v>
      </c>
      <c r="F11" s="3841">
        <f t="shared" ref="F11:F38" si="5">IF(E11="NA","NA",E11/C11*100)</f>
        <v>8.4720251295693756E-5</v>
      </c>
      <c r="G11" s="3846">
        <f>IF(E11="NA","NA",E11/Table8s2!$G$35*100)</f>
        <v>5.0561656068595019E-5</v>
      </c>
      <c r="H11" s="3847">
        <f>IF(E11="NA","NA",E11/Table8s2!$G$34*100)</f>
        <v>3.7154551817193885E-5</v>
      </c>
      <c r="I11" s="3848">
        <f>SUM(I12,I18,I21)</f>
        <v>36378.408692432793</v>
      </c>
      <c r="J11" s="3841">
        <f>Summary2!D11</f>
        <v>36378.164554430194</v>
      </c>
      <c r="K11" s="3845">
        <f t="shared" si="0"/>
        <v>-0.2441380025993567</v>
      </c>
      <c r="L11" s="3841">
        <f t="shared" si="1"/>
        <v>-6.7110687733336935E-4</v>
      </c>
      <c r="M11" s="3846">
        <f>IF(K11="NA","NA",K11/Table8s2!$G$35*100)</f>
        <v>-5.5838466556218582E-5</v>
      </c>
      <c r="N11" s="3847">
        <f>IF(K11="NA","NA",K11/Table8s2!$G$34*100)</f>
        <v>-4.1032144917110121E-5</v>
      </c>
      <c r="O11" s="3848">
        <f>SUM(O12,O18,O21)</f>
        <v>1775.1187277907345</v>
      </c>
      <c r="P11" s="3841">
        <f>Summary2!E11</f>
        <v>1775.1187277907347</v>
      </c>
      <c r="Q11" s="3845">
        <f t="shared" si="2"/>
        <v>2.2737367544323206E-13</v>
      </c>
      <c r="R11" s="3841">
        <f t="shared" si="3"/>
        <v>1.2808927756974051E-14</v>
      </c>
      <c r="S11" s="3846">
        <f>IF(Q11="NA","NA",Q11/Table8s2!$G$35*100)</f>
        <v>5.2004183031007013E-17</v>
      </c>
      <c r="T11" s="3847">
        <f>IF(Q11="NA","NA",Q11/Table8s2!$G$34*100)</f>
        <v>3.8214573322421555E-17</v>
      </c>
    </row>
    <row r="12" spans="2:20" ht="18" customHeight="1" x14ac:dyDescent="0.2">
      <c r="B12" s="606" t="s">
        <v>242</v>
      </c>
      <c r="C12" s="3841">
        <f>SUM(C13:C17)</f>
        <v>253935.97573652311</v>
      </c>
      <c r="D12" s="3841">
        <f>Summary2!C12</f>
        <v>253935.97573652302</v>
      </c>
      <c r="E12" s="3841">
        <f t="shared" si="4"/>
        <v>-8.7311491370201111E-11</v>
      </c>
      <c r="F12" s="3849">
        <f t="shared" si="5"/>
        <v>-3.4383269687156533E-14</v>
      </c>
      <c r="G12" s="3846">
        <f>IF(E12="NA","NA",E12/Table8s2!$G$35*100)</f>
        <v>-1.9969606283906692E-14</v>
      </c>
      <c r="H12" s="3847">
        <f>IF(E12="NA","NA",E12/Table8s2!$G$34*100)</f>
        <v>-1.4674396155809876E-14</v>
      </c>
      <c r="I12" s="3848">
        <f>SUM(I13:I17)</f>
        <v>3752.5537520923822</v>
      </c>
      <c r="J12" s="3841">
        <f>Summary2!D12</f>
        <v>3752.5537520923808</v>
      </c>
      <c r="K12" s="3841">
        <f t="shared" si="0"/>
        <v>-1.3642420526593924E-12</v>
      </c>
      <c r="L12" s="3849">
        <f t="shared" si="1"/>
        <v>-3.635503027501488E-14</v>
      </c>
      <c r="M12" s="3846">
        <f>IF(K12="NA","NA",K12/Table8s2!$G$35*100)</f>
        <v>-3.1202509818604207E-16</v>
      </c>
      <c r="N12" s="3847">
        <f>IF(K12="NA","NA",K12/Table8s2!$G$34*100)</f>
        <v>-2.2928743993452932E-16</v>
      </c>
      <c r="O12" s="3850">
        <f>SUM(O13:O17)</f>
        <v>1742.0108753981424</v>
      </c>
      <c r="P12" s="3849">
        <f>Summary2!E12</f>
        <v>1742.0108753981426</v>
      </c>
      <c r="Q12" s="3841">
        <f t="shared" si="2"/>
        <v>2.2737367544323206E-13</v>
      </c>
      <c r="R12" s="3849">
        <f t="shared" si="3"/>
        <v>1.3052368309196984E-14</v>
      </c>
      <c r="S12" s="3846">
        <f>IF(Q12="NA","NA",Q12/Table8s2!$G$35*100)</f>
        <v>5.2004183031007013E-17</v>
      </c>
      <c r="T12" s="3847">
        <f>IF(Q12="NA","NA",Q12/Table8s2!$G$34*100)</f>
        <v>3.8214573322421555E-17</v>
      </c>
    </row>
    <row r="13" spans="2:20" ht="18" customHeight="1" x14ac:dyDescent="0.2">
      <c r="B13" s="1391" t="s">
        <v>1923</v>
      </c>
      <c r="C13" s="3849">
        <v>145798.89301365928</v>
      </c>
      <c r="D13" s="3841">
        <f>Summary2!C13</f>
        <v>145798.89301365922</v>
      </c>
      <c r="E13" s="3841">
        <f t="shared" si="4"/>
        <v>-5.8207660913467407E-11</v>
      </c>
      <c r="F13" s="3849">
        <f t="shared" si="5"/>
        <v>-3.99232529893174E-14</v>
      </c>
      <c r="G13" s="3846">
        <f>IF(E13="NA","NA",E13/Table8s2!$G$35*100)</f>
        <v>-1.3313070855937795E-14</v>
      </c>
      <c r="H13" s="3847">
        <f>IF(E13="NA","NA",E13/Table8s2!$G$34*100)</f>
        <v>-9.7829307705399181E-15</v>
      </c>
      <c r="I13" s="3848">
        <v>165.95235125501318</v>
      </c>
      <c r="J13" s="3841">
        <f>Summary2!D13</f>
        <v>165.95235125501313</v>
      </c>
      <c r="K13" s="3841">
        <f t="shared" ref="K13" si="6">IF(J13="NO",IF(I13="NO","NA",-I13),IF(I13="NO",J13,J13-I13))</f>
        <v>-5.6843418860808015E-14</v>
      </c>
      <c r="L13" s="3849">
        <f t="shared" ref="L13" si="7">IF(K13="NA","NA",K13/I13*100)</f>
        <v>-3.4252855371394354E-14</v>
      </c>
      <c r="M13" s="3846">
        <f>IF(K13="NA","NA",K13/Table8s2!$G$35*100)</f>
        <v>-1.3001045757751753E-17</v>
      </c>
      <c r="N13" s="3847">
        <f>IF(K13="NA","NA",K13/Table8s2!$G$34*100)</f>
        <v>-9.5536433306053888E-18</v>
      </c>
      <c r="O13" s="3850">
        <v>431.70308392819425</v>
      </c>
      <c r="P13" s="3849">
        <f>Summary2!E13</f>
        <v>431.70308392819419</v>
      </c>
      <c r="Q13" s="3841">
        <f t="shared" ref="Q13" si="8">IF(P13="NO",IF(O13="NO","NA",-O13),IF(O13="NO",P13,P13-O13))</f>
        <v>-5.6843418860808015E-14</v>
      </c>
      <c r="R13" s="3849">
        <f t="shared" ref="R13" si="9">IF(Q13="NA","NA",Q13/O13*100)</f>
        <v>-1.3167248735768323E-14</v>
      </c>
      <c r="S13" s="3846">
        <f>IF(Q13="NA","NA",Q13/Table8s2!$G$35*100)</f>
        <v>-1.3001045757751753E-17</v>
      </c>
      <c r="T13" s="3847">
        <f>IF(Q13="NA","NA",Q13/Table8s2!$G$34*100)</f>
        <v>-9.5536433306053888E-18</v>
      </c>
    </row>
    <row r="14" spans="2:20" ht="18" customHeight="1" x14ac:dyDescent="0.2">
      <c r="B14" s="1391" t="s">
        <v>1976</v>
      </c>
      <c r="C14" s="3849">
        <v>35411.642792381514</v>
      </c>
      <c r="D14" s="3841">
        <f>Summary2!C14</f>
        <v>35411.642792381535</v>
      </c>
      <c r="E14" s="3841">
        <f t="shared" si="4"/>
        <v>2.1827872842550278E-11</v>
      </c>
      <c r="F14" s="3849">
        <f t="shared" si="5"/>
        <v>6.1640384690784072E-14</v>
      </c>
      <c r="G14" s="3846">
        <f>IF(E14="NA","NA",E14/Table8s2!$G$35*100)</f>
        <v>4.992401570976673E-15</v>
      </c>
      <c r="H14" s="3847">
        <f>IF(E14="NA","NA",E14/Table8s2!$G$34*100)</f>
        <v>3.6685990389524691E-15</v>
      </c>
      <c r="I14" s="3848">
        <v>55.913820496643481</v>
      </c>
      <c r="J14" s="3841">
        <f>Summary2!D14</f>
        <v>55.913820496643488</v>
      </c>
      <c r="K14" s="3841">
        <f t="shared" ref="K14:K20" si="10">IF(J14="NO",IF(I14="NO","NA",-I14),IF(I14="NO",J14,J14-I14))</f>
        <v>7.1054273576010019E-15</v>
      </c>
      <c r="L14" s="3849">
        <f t="shared" ref="L14:L20" si="11">IF(K14="NA","NA",K14/I14*100)</f>
        <v>1.2707819452307936E-14</v>
      </c>
      <c r="M14" s="3846">
        <f>IF(K14="NA","NA",K14/Table8s2!$G$35*100)</f>
        <v>1.6251307197189692E-18</v>
      </c>
      <c r="N14" s="3847">
        <f>IF(K14="NA","NA",K14/Table8s2!$G$34*100)</f>
        <v>1.1942054163256736E-18</v>
      </c>
      <c r="O14" s="3850">
        <v>293.34012576141271</v>
      </c>
      <c r="P14" s="3849">
        <f>Summary2!E14</f>
        <v>293.34012576141271</v>
      </c>
      <c r="Q14" s="3841">
        <f t="shared" ref="Q14:Q20" si="12">IF(P14="NO",IF(O14="NO","NA",-O14),IF(O14="NO",P14,P14-O14))</f>
        <v>0</v>
      </c>
      <c r="R14" s="3849">
        <f t="shared" ref="R14:R20" si="13">IF(Q14="NA","NA",Q14/O14*100)</f>
        <v>0</v>
      </c>
      <c r="S14" s="3846">
        <f>IF(Q14="NA","NA",Q14/Table8s2!$G$35*100)</f>
        <v>0</v>
      </c>
      <c r="T14" s="3847">
        <f>IF(Q14="NA","NA",Q14/Table8s2!$G$34*100)</f>
        <v>0</v>
      </c>
    </row>
    <row r="15" spans="2:20" ht="18" customHeight="1" x14ac:dyDescent="0.2">
      <c r="B15" s="1391" t="s">
        <v>1925</v>
      </c>
      <c r="C15" s="3849">
        <v>59194.715442148321</v>
      </c>
      <c r="D15" s="3841">
        <f>Summary2!C15</f>
        <v>59194.713824602695</v>
      </c>
      <c r="E15" s="3841">
        <f t="shared" si="4"/>
        <v>-1.6175456257769838E-3</v>
      </c>
      <c r="F15" s="3849">
        <f t="shared" si="5"/>
        <v>-2.7325845114634089E-6</v>
      </c>
      <c r="G15" s="3846">
        <f>IF(E15="NA","NA",E15/Table8s2!$G$35*100)</f>
        <v>-3.6995988484565309E-7</v>
      </c>
      <c r="H15" s="3847">
        <f>IF(E15="NA","NA",E15/Table8s2!$G$34*100)</f>
        <v>-2.7186003743889751E-7</v>
      </c>
      <c r="I15" s="3848">
        <v>736.38832620628853</v>
      </c>
      <c r="J15" s="3841">
        <f>Summary2!D15</f>
        <v>736.38832620628853</v>
      </c>
      <c r="K15" s="3841">
        <f t="shared" si="10"/>
        <v>0</v>
      </c>
      <c r="L15" s="3849">
        <f t="shared" si="11"/>
        <v>0</v>
      </c>
      <c r="M15" s="3846">
        <f>IF(K15="NA","NA",K15/Table8s2!$G$35*100)</f>
        <v>0</v>
      </c>
      <c r="N15" s="3847">
        <f>IF(K15="NA","NA",K15/Table8s2!$G$34*100)</f>
        <v>0</v>
      </c>
      <c r="O15" s="3850">
        <v>870.43170888841962</v>
      </c>
      <c r="P15" s="3849">
        <f>Summary2!E15</f>
        <v>870.43170888841985</v>
      </c>
      <c r="Q15" s="3841">
        <f t="shared" si="12"/>
        <v>2.2737367544323206E-13</v>
      </c>
      <c r="R15" s="3849">
        <f t="shared" si="13"/>
        <v>2.6121943068181473E-14</v>
      </c>
      <c r="S15" s="3846">
        <f>IF(Q15="NA","NA",Q15/Table8s2!$G$35*100)</f>
        <v>5.2004183031007013E-17</v>
      </c>
      <c r="T15" s="3847">
        <f>IF(Q15="NA","NA",Q15/Table8s2!$G$34*100)</f>
        <v>3.8214573322421555E-17</v>
      </c>
    </row>
    <row r="16" spans="2:20" ht="18" customHeight="1" x14ac:dyDescent="0.2">
      <c r="B16" s="1391" t="s">
        <v>1926</v>
      </c>
      <c r="C16" s="3849">
        <v>13119.620695746995</v>
      </c>
      <c r="D16" s="3841">
        <f>Summary2!C16</f>
        <v>13119.622313292621</v>
      </c>
      <c r="E16" s="3841">
        <f t="shared" si="4"/>
        <v>1.6175456257769838E-3</v>
      </c>
      <c r="F16" s="3849">
        <f t="shared" si="5"/>
        <v>1.2329210297225633E-5</v>
      </c>
      <c r="G16" s="3846">
        <f>IF(E16="NA","NA",E16/Table8s2!$G$35*100)</f>
        <v>3.6995988484565309E-7</v>
      </c>
      <c r="H16" s="3847">
        <f>IF(E16="NA","NA",E16/Table8s2!$G$34*100)</f>
        <v>2.7186003743889751E-7</v>
      </c>
      <c r="I16" s="3848">
        <v>2793.7390964509223</v>
      </c>
      <c r="J16" s="3841">
        <f>Summary2!D16</f>
        <v>2793.7390964509204</v>
      </c>
      <c r="K16" s="3841">
        <f t="shared" si="10"/>
        <v>-1.8189894035458565E-12</v>
      </c>
      <c r="L16" s="3849">
        <f t="shared" si="11"/>
        <v>-6.5109494507079893E-14</v>
      </c>
      <c r="M16" s="3846">
        <f>IF(K16="NA","NA",K16/Table8s2!$G$35*100)</f>
        <v>-4.160334642480561E-16</v>
      </c>
      <c r="N16" s="3847">
        <f>IF(K16="NA","NA",K16/Table8s2!$G$34*100)</f>
        <v>-3.0571658657937244E-16</v>
      </c>
      <c r="O16" s="3850">
        <v>143.57869203712232</v>
      </c>
      <c r="P16" s="3849">
        <f>Summary2!E16</f>
        <v>143.57869203712241</v>
      </c>
      <c r="Q16" s="3841">
        <f t="shared" si="12"/>
        <v>8.5265128291212022E-14</v>
      </c>
      <c r="R16" s="3849">
        <f t="shared" si="13"/>
        <v>5.9385642173956214E-14</v>
      </c>
      <c r="S16" s="3846">
        <f>IF(Q16="NA","NA",Q16/Table8s2!$G$35*100)</f>
        <v>1.9501568636627629E-17</v>
      </c>
      <c r="T16" s="3847">
        <f>IF(Q16="NA","NA",Q16/Table8s2!$G$34*100)</f>
        <v>1.4330464995908082E-17</v>
      </c>
    </row>
    <row r="17" spans="2:20" ht="18" customHeight="1" x14ac:dyDescent="0.2">
      <c r="B17" s="1391" t="s">
        <v>1927</v>
      </c>
      <c r="C17" s="3849">
        <v>411.10379258697037</v>
      </c>
      <c r="D17" s="3841">
        <f>Summary2!C17</f>
        <v>411.10379258697043</v>
      </c>
      <c r="E17" s="3841">
        <f t="shared" si="4"/>
        <v>5.6843418860808015E-14</v>
      </c>
      <c r="F17" s="3849">
        <f t="shared" si="5"/>
        <v>1.3827023706861716E-14</v>
      </c>
      <c r="G17" s="3846">
        <f>IF(E17="NA","NA",E17/Table8s2!$G$35*100)</f>
        <v>1.3001045757751753E-17</v>
      </c>
      <c r="H17" s="3847">
        <f>IF(E17="NA","NA",E17/Table8s2!$G$34*100)</f>
        <v>9.5536433306053888E-18</v>
      </c>
      <c r="I17" s="3848">
        <v>0.56015768351493023</v>
      </c>
      <c r="J17" s="3841">
        <f>Summary2!D17</f>
        <v>0.56015768351493034</v>
      </c>
      <c r="K17" s="3841">
        <f t="shared" si="10"/>
        <v>1.1102230246251565E-16</v>
      </c>
      <c r="L17" s="3849">
        <f t="shared" si="11"/>
        <v>1.981983033167776E-14</v>
      </c>
      <c r="M17" s="3846">
        <f>IF(K17="NA","NA",K17/Table8s2!$G$35*100)</f>
        <v>2.5392667495608893E-20</v>
      </c>
      <c r="N17" s="3847">
        <f>IF(K17="NA","NA",K17/Table8s2!$G$34*100)</f>
        <v>1.865945963008865E-20</v>
      </c>
      <c r="O17" s="3850">
        <v>2.9572647829933927</v>
      </c>
      <c r="P17" s="3849">
        <f>Summary2!E17</f>
        <v>2.9572647829933922</v>
      </c>
      <c r="Q17" s="3841">
        <f t="shared" si="12"/>
        <v>-4.4408920985006262E-16</v>
      </c>
      <c r="R17" s="3849">
        <f t="shared" si="13"/>
        <v>-1.5016890350973175E-14</v>
      </c>
      <c r="S17" s="3846">
        <f>IF(Q17="NA","NA",Q17/Table8s2!$G$35*100)</f>
        <v>-1.0157066998243557E-19</v>
      </c>
      <c r="T17" s="3847">
        <f>IF(Q17="NA","NA",Q17/Table8s2!$G$34*100)</f>
        <v>-7.46378385203546E-20</v>
      </c>
    </row>
    <row r="18" spans="2:20" ht="18" customHeight="1" x14ac:dyDescent="0.2">
      <c r="B18" s="606" t="s">
        <v>201</v>
      </c>
      <c r="C18" s="3849">
        <f>SUM(C19:C20)</f>
        <v>7001.2008132849487</v>
      </c>
      <c r="D18" s="3841">
        <f>Summary2!C18</f>
        <v>7001.4218799167465</v>
      </c>
      <c r="E18" s="3841">
        <f t="shared" si="4"/>
        <v>0.22106663179783936</v>
      </c>
      <c r="F18" s="3849">
        <f t="shared" si="5"/>
        <v>3.1575530782999403E-3</v>
      </c>
      <c r="G18" s="3846">
        <f>IF(E18="NA","NA",E18/Table8s2!$G$35*100)</f>
        <v>5.0561656091684873E-5</v>
      </c>
      <c r="H18" s="3847">
        <f>IF(E18="NA","NA",E18/Table8s2!$G$34*100)</f>
        <v>3.7154551834161154E-5</v>
      </c>
      <c r="I18" s="3848">
        <f>SUM(I19:I20)</f>
        <v>32625.85494034041</v>
      </c>
      <c r="J18" s="3841">
        <f>Summary2!D18</f>
        <v>32625.610802337815</v>
      </c>
      <c r="K18" s="3841">
        <f t="shared" si="10"/>
        <v>-0.24413800259571872</v>
      </c>
      <c r="L18" s="3849">
        <f t="shared" si="11"/>
        <v>-7.4829610761817313E-4</v>
      </c>
      <c r="M18" s="3846">
        <f>IF(K18="NA","NA",K18/Table8s2!$G$35*100)</f>
        <v>-5.5838466555386511E-5</v>
      </c>
      <c r="N18" s="3847">
        <f>IF(K18="NA","NA",K18/Table8s2!$G$34*100)</f>
        <v>-4.1032144916498685E-5</v>
      </c>
      <c r="O18" s="3850">
        <f>SUM(O19:O20)</f>
        <v>33.107852392592186</v>
      </c>
      <c r="P18" s="3849">
        <f>Summary2!E18</f>
        <v>33.107852392592186</v>
      </c>
      <c r="Q18" s="3841">
        <f t="shared" si="12"/>
        <v>0</v>
      </c>
      <c r="R18" s="3849">
        <f t="shared" si="13"/>
        <v>0</v>
      </c>
      <c r="S18" s="3846">
        <f>IF(Q18="NA","NA",Q18/Table8s2!$G$35*100)</f>
        <v>0</v>
      </c>
      <c r="T18" s="3847">
        <f>IF(Q18="NA","NA",Q18/Table8s2!$G$34*100)</f>
        <v>0</v>
      </c>
    </row>
    <row r="19" spans="2:20" ht="18" customHeight="1" x14ac:dyDescent="0.2">
      <c r="B19" s="1391" t="s">
        <v>1928</v>
      </c>
      <c r="C19" s="3849">
        <v>1171.7683050721828</v>
      </c>
      <c r="D19" s="3841">
        <f>Summary2!C19</f>
        <v>1171.7683050721826</v>
      </c>
      <c r="E19" s="3841">
        <f t="shared" si="4"/>
        <v>-2.2737367544323206E-13</v>
      </c>
      <c r="F19" s="3849">
        <f t="shared" si="5"/>
        <v>-1.9404320330137749E-14</v>
      </c>
      <c r="G19" s="3846">
        <f>IF(E19="NA","NA",E19/Table8s2!$G$35*100)</f>
        <v>-5.2004183031007013E-17</v>
      </c>
      <c r="H19" s="3847">
        <f>IF(E19="NA","NA",E19/Table8s2!$G$34*100)</f>
        <v>-3.8214573322421555E-17</v>
      </c>
      <c r="I19" s="3848">
        <v>24798.806301597178</v>
      </c>
      <c r="J19" s="3841">
        <f>Summary2!D19</f>
        <v>24798.806301597178</v>
      </c>
      <c r="K19" s="3841">
        <f t="shared" si="10"/>
        <v>0</v>
      </c>
      <c r="L19" s="3849">
        <f t="shared" si="11"/>
        <v>0</v>
      </c>
      <c r="M19" s="3846">
        <f>IF(K19="NA","NA",K19/Table8s2!$G$35*100)</f>
        <v>0</v>
      </c>
      <c r="N19" s="3847">
        <f>IF(K19="NA","NA",K19/Table8s2!$G$34*100)</f>
        <v>0</v>
      </c>
      <c r="O19" s="3850">
        <v>1.9333831802832187E-4</v>
      </c>
      <c r="P19" s="3849">
        <f>Summary2!E19</f>
        <v>1.933383180283219E-4</v>
      </c>
      <c r="Q19" s="3841">
        <f t="shared" si="12"/>
        <v>2.7105054312137611E-20</v>
      </c>
      <c r="R19" s="3849">
        <f t="shared" si="13"/>
        <v>1.4019494215402778E-14</v>
      </c>
      <c r="S19" s="3846">
        <f>IF(Q19="NA","NA",Q19/Table8s2!$G$35*100)</f>
        <v>6.1993817127951399E-24</v>
      </c>
      <c r="T19" s="3847">
        <f>IF(Q19="NA","NA",Q19/Table8s2!$G$34*100)</f>
        <v>4.5555321362521118E-24</v>
      </c>
    </row>
    <row r="20" spans="2:20" ht="18" customHeight="1" x14ac:dyDescent="0.2">
      <c r="B20" s="1392" t="s">
        <v>1929</v>
      </c>
      <c r="C20" s="3851">
        <v>5829.4325082127662</v>
      </c>
      <c r="D20" s="3852">
        <f>Summary2!C20</f>
        <v>5829.653574844564</v>
      </c>
      <c r="E20" s="3852">
        <f t="shared" si="4"/>
        <v>0.22106663179783936</v>
      </c>
      <c r="F20" s="3851">
        <f t="shared" si="5"/>
        <v>3.7922496141157957E-3</v>
      </c>
      <c r="G20" s="3853">
        <f>IF(E20="NA","NA",E20/Table8s2!$G$35*100)</f>
        <v>5.0561656091684873E-5</v>
      </c>
      <c r="H20" s="3854">
        <f>IF(E20="NA","NA",E20/Table8s2!$G$34*100)</f>
        <v>3.7154551834161154E-5</v>
      </c>
      <c r="I20" s="3855">
        <v>7827.0486387432338</v>
      </c>
      <c r="J20" s="3852">
        <f>Summary2!D20</f>
        <v>7826.8045007406363</v>
      </c>
      <c r="K20" s="3841">
        <f t="shared" si="10"/>
        <v>-0.24413800259753771</v>
      </c>
      <c r="L20" s="3849">
        <f t="shared" si="11"/>
        <v>-3.1191578571401115E-3</v>
      </c>
      <c r="M20" s="3846">
        <f>IF(K20="NA","NA",K20/Table8s2!$G$35*100)</f>
        <v>-5.583846655580254E-5</v>
      </c>
      <c r="N20" s="3847">
        <f>IF(K20="NA","NA",K20/Table8s2!$G$34*100)</f>
        <v>-4.1032144916804403E-5</v>
      </c>
      <c r="O20" s="3856">
        <v>33.107659054274158</v>
      </c>
      <c r="P20" s="3851">
        <f>Summary2!E20</f>
        <v>33.107659054274158</v>
      </c>
      <c r="Q20" s="3841">
        <f t="shared" si="12"/>
        <v>0</v>
      </c>
      <c r="R20" s="3849">
        <f t="shared" si="13"/>
        <v>0</v>
      </c>
      <c r="S20" s="3846">
        <f>IF(Q20="NA","NA",Q20/Table8s2!$G$35*100)</f>
        <v>0</v>
      </c>
      <c r="T20" s="3847">
        <f>IF(Q20="NA","NA",Q20/Table8s2!$G$34*100)</f>
        <v>0</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17887.970274958665</v>
      </c>
      <c r="D22" s="3841">
        <f>Summary2!C22</f>
        <v>17887.970274958665</v>
      </c>
      <c r="E22" s="3863">
        <f t="shared" si="4"/>
        <v>0</v>
      </c>
      <c r="F22" s="3863">
        <f t="shared" si="5"/>
        <v>0</v>
      </c>
      <c r="G22" s="3864">
        <f>IF(E22="NA","NA",E22/Table8s2!$G$35*100)</f>
        <v>0</v>
      </c>
      <c r="H22" s="3865">
        <f>IF(E22="NA","NA",E22/Table8s2!$G$34*100)</f>
        <v>0</v>
      </c>
      <c r="I22" s="3841">
        <f>SUM(I23:I29)</f>
        <v>84.103418324948336</v>
      </c>
      <c r="J22" s="3841">
        <f>Summary2!D22</f>
        <v>84.103418324948322</v>
      </c>
      <c r="K22" s="3863">
        <f t="shared" ref="K22" si="14">IF(J22="NO",IF(I22="NO","NA",-I22),IF(I22="NO",J22,J22-I22))</f>
        <v>-1.4210854715202004E-14</v>
      </c>
      <c r="L22" s="3863">
        <f t="shared" ref="L22" si="15">IF(K22="NA","NA",K22/I22*100)</f>
        <v>-1.6896881242443521E-14</v>
      </c>
      <c r="M22" s="3864">
        <f>IF(K22="NA","NA",K22/Table8s2!$G$35*100)</f>
        <v>-3.2502614394379383E-18</v>
      </c>
      <c r="N22" s="3865">
        <f>IF(K22="NA","NA",K22/Table8s2!$G$34*100)</f>
        <v>-2.3884108326513472E-18</v>
      </c>
      <c r="O22" s="3841">
        <f>SUM(O23:O29)</f>
        <v>751.12145223876894</v>
      </c>
      <c r="P22" s="3841">
        <f>Summary2!E22</f>
        <v>751.12145223876917</v>
      </c>
      <c r="Q22" s="3863">
        <f t="shared" ref="Q22" si="16">IF(P22="NO",IF(O22="NO","NA",-O22),IF(O22="NO",P22,P22-O22))</f>
        <v>2.2737367544323206E-13</v>
      </c>
      <c r="R22" s="3866">
        <f t="shared" ref="R22" si="17">IF(Q22="NA","NA",Q22/O22*100)</f>
        <v>3.0271226412922867E-14</v>
      </c>
      <c r="S22" s="3867">
        <f>IF(Q22="NA","NA",Q22/Table8s2!$G$35*100)</f>
        <v>5.2004183031007013E-17</v>
      </c>
      <c r="T22" s="3868">
        <f>IF(Q22="NA","NA",Q22/Table8s2!$G$34*100)</f>
        <v>3.8214573322421555E-17</v>
      </c>
    </row>
    <row r="23" spans="2:20" ht="18" customHeight="1" x14ac:dyDescent="0.2">
      <c r="B23" s="1393" t="s">
        <v>1932</v>
      </c>
      <c r="C23" s="3841">
        <v>5152.3958590686525</v>
      </c>
      <c r="D23" s="3841">
        <f>Summary2!C23</f>
        <v>5152.3958590686525</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1061.0764716256642</v>
      </c>
      <c r="D24" s="3841">
        <f>Summary2!C24</f>
        <v>1061.0764716256642</v>
      </c>
      <c r="E24" s="3841">
        <f t="shared" si="4"/>
        <v>0</v>
      </c>
      <c r="F24" s="3849">
        <f t="shared" si="5"/>
        <v>0</v>
      </c>
      <c r="G24" s="3846">
        <f>IF(E24="NA","NA",E24/Table8s2!$G$35*100)</f>
        <v>0</v>
      </c>
      <c r="H24" s="3847">
        <f>IF(E24="NA","NA",E24/Table8s2!$G$34*100)</f>
        <v>0</v>
      </c>
      <c r="I24" s="3848">
        <v>11.302349463999999</v>
      </c>
      <c r="J24" s="3841">
        <f>Summary2!D24</f>
        <v>11.302349463999999</v>
      </c>
      <c r="K24" s="3841">
        <f t="shared" ref="K24" si="18">IF(J24="NO",IF(I24="NO","NA",-I24),IF(I24="NO",J24,J24-I24))</f>
        <v>0</v>
      </c>
      <c r="L24" s="3849">
        <f t="shared" ref="L24" si="19">IF(K24="NA","NA",K24/I24*100)</f>
        <v>0</v>
      </c>
      <c r="M24" s="3846">
        <f>IF(K24="NA","NA",K24/Table8s2!$G$35*100)</f>
        <v>0</v>
      </c>
      <c r="N24" s="3847">
        <f>IF(K24="NA","NA",K24/Table8s2!$G$34*100)</f>
        <v>0</v>
      </c>
      <c r="O24" s="3850">
        <v>731.95639664999999</v>
      </c>
      <c r="P24" s="3849">
        <f>Summary2!E24</f>
        <v>731.9563966500001</v>
      </c>
      <c r="Q24" s="3841">
        <f t="shared" ref="Q24" si="20">IF(P24="NO",IF(O24="NO","NA",-O24),IF(O24="NO",P24,P24-O24))</f>
        <v>1.1368683772161603E-13</v>
      </c>
      <c r="R24" s="3849">
        <f t="shared" ref="R24" si="21">IF(Q24="NA","NA",Q24/O24*100)</f>
        <v>1.5531913955795066E-14</v>
      </c>
      <c r="S24" s="3846">
        <f>IF(Q24="NA","NA",Q24/Table8s2!$G$35*100)</f>
        <v>2.6002091515503506E-17</v>
      </c>
      <c r="T24" s="3847">
        <f>IF(Q24="NA","NA",Q24/Table8s2!$G$34*100)</f>
        <v>1.9107286661210778E-17</v>
      </c>
    </row>
    <row r="25" spans="2:20" ht="18" customHeight="1" x14ac:dyDescent="0.2">
      <c r="B25" s="1393" t="s">
        <v>637</v>
      </c>
      <c r="C25" s="3841">
        <v>11331.682904243107</v>
      </c>
      <c r="D25" s="3841">
        <f>Summary2!C25</f>
        <v>11331.682904243107</v>
      </c>
      <c r="E25" s="3841">
        <f t="shared" si="4"/>
        <v>0</v>
      </c>
      <c r="F25" s="3849">
        <f t="shared" si="5"/>
        <v>0</v>
      </c>
      <c r="G25" s="3846">
        <f>IF(E25="NA","NA",E25/Table8s2!$G$35*100)</f>
        <v>0</v>
      </c>
      <c r="H25" s="3847">
        <f>IF(E25="NA","NA",E25/Table8s2!$G$34*100)</f>
        <v>0</v>
      </c>
      <c r="I25" s="3848">
        <v>72.801068860948334</v>
      </c>
      <c r="J25" s="3841">
        <f>Summary2!D25</f>
        <v>72.80106886094832</v>
      </c>
      <c r="K25" s="3841">
        <f t="shared" ref="K25:K26" si="22">IF(J25="NO",IF(I25="NO","NA",-I25),IF(I25="NO",J25,J25-I25))</f>
        <v>-1.4210854715202004E-14</v>
      </c>
      <c r="L25" s="3849">
        <f t="shared" ref="L25:L26" si="23">IF(K25="NA","NA",K25/I25*100)</f>
        <v>-1.9520118231155442E-14</v>
      </c>
      <c r="M25" s="3846">
        <f>IF(K25="NA","NA",K25/Table8s2!$G$35*100)</f>
        <v>-3.2502614394379383E-18</v>
      </c>
      <c r="N25" s="3847">
        <f>IF(K25="NA","NA",K25/Table8s2!$G$34*100)</f>
        <v>-2.3884108326513472E-18</v>
      </c>
      <c r="O25" s="3850">
        <v>19.165055588768972</v>
      </c>
      <c r="P25" s="3849">
        <f>Summary2!E25</f>
        <v>19.165055588768968</v>
      </c>
      <c r="Q25" s="3841">
        <f t="shared" ref="Q25:Q29" si="24">IF(P25="NO",IF(O25="NO","NA",-O25),IF(O25="NO",P25,P25-O25))</f>
        <v>-3.5527136788005009E-15</v>
      </c>
      <c r="R25" s="3849">
        <f t="shared" ref="R25:R29" si="25">IF(Q25="NA","NA",Q25/O25*100)</f>
        <v>-1.853745564339739E-14</v>
      </c>
      <c r="S25" s="3846">
        <f>IF(Q25="NA","NA",Q25/Table8s2!$G$35*100)</f>
        <v>-8.1256535985948458E-19</v>
      </c>
      <c r="T25" s="3847">
        <f>IF(Q25="NA","NA",Q25/Table8s2!$G$34*100)</f>
        <v>-5.971027081628368E-19</v>
      </c>
    </row>
    <row r="26" spans="2:20" ht="18" customHeight="1" x14ac:dyDescent="0.2">
      <c r="B26" s="1394" t="s">
        <v>1978</v>
      </c>
      <c r="C26" s="3841">
        <v>257.74698899999999</v>
      </c>
      <c r="D26" s="3841">
        <f>Summary2!C26</f>
        <v>257.74698899999999</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85.06805102123964</v>
      </c>
      <c r="D29" s="3857">
        <f>Summary2!C30</f>
        <v>85.06805102123964</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634.89614176008422</v>
      </c>
      <c r="D30" s="3877">
        <f>Summary2!C31</f>
        <v>634.89614176008422</v>
      </c>
      <c r="E30" s="3863">
        <f t="shared" si="4"/>
        <v>0</v>
      </c>
      <c r="F30" s="3878">
        <f t="shared" si="5"/>
        <v>0</v>
      </c>
      <c r="G30" s="3879">
        <f>IF(E30="NA","NA",E30/Table8s2!$G$35*100)</f>
        <v>0</v>
      </c>
      <c r="H30" s="3880">
        <f>IF(E30="NA","NA",E30/Table8s2!$G$34*100)</f>
        <v>0</v>
      </c>
      <c r="I30" s="3876">
        <f>SUM(I31:I40)</f>
        <v>79491.36675100775</v>
      </c>
      <c r="J30" s="3877">
        <f>Summary2!D31</f>
        <v>79497.935601491248</v>
      </c>
      <c r="K30" s="3863">
        <f t="shared" ref="K30" si="28">IF(J30="NO",IF(I30="NO","NA",-I30),IF(I30="NO",J30,J30-I30))</f>
        <v>6.568850483497954</v>
      </c>
      <c r="L30" s="3878">
        <f t="shared" ref="L30" si="29">IF(K30="NA","NA",K30/I30*100)</f>
        <v>8.2636023910290582E-3</v>
      </c>
      <c r="M30" s="3879">
        <f>IF(K30="NA","NA",K30/Table8s2!$G$35*100)</f>
        <v>1.5024065656731446E-3</v>
      </c>
      <c r="N30" s="3880">
        <f>IF(K30="NA","NA",K30/Table8s2!$G$34*100)</f>
        <v>1.1040232250119472E-3</v>
      </c>
      <c r="O30" s="3876">
        <f>SUM(O31:O40)</f>
        <v>11134.668142299457</v>
      </c>
      <c r="P30" s="3877">
        <f>Summary2!E31</f>
        <v>10305.444268617683</v>
      </c>
      <c r="Q30" s="3863">
        <f t="shared" ref="Q30" si="30">IF(P30="NO",IF(O30="NO","NA",-O30),IF(O30="NO",P30,P30-O30))</f>
        <v>-829.22387368177442</v>
      </c>
      <c r="R30" s="3882">
        <f t="shared" ref="R30" si="31">IF(Q30="NA","NA",Q30/O30*100)</f>
        <v>-7.4472257554909813</v>
      </c>
      <c r="S30" s="3883">
        <f>IF(Q30="NA","NA",Q30/Table8s2!$G$35*100)</f>
        <v>-0.18965744392601902</v>
      </c>
      <c r="T30" s="3884">
        <f>IF(Q30="NA","NA",Q30/Table8s2!$G$34*100)</f>
        <v>-0.13936721768578786</v>
      </c>
    </row>
    <row r="31" spans="2:20" ht="18" customHeight="1" x14ac:dyDescent="0.2">
      <c r="B31" s="606" t="s">
        <v>1938</v>
      </c>
      <c r="C31" s="3869"/>
      <c r="D31" s="3869"/>
      <c r="E31" s="3870"/>
      <c r="F31" s="3870"/>
      <c r="G31" s="3871"/>
      <c r="H31" s="3872"/>
      <c r="I31" s="3848">
        <v>71942.905081333636</v>
      </c>
      <c r="J31" s="3841">
        <f>Summary2!D32</f>
        <v>71942.905081333622</v>
      </c>
      <c r="K31" s="3885">
        <f t="shared" ref="K31:K33" si="32">IF(J31="NO",IF(I31="NO","NA",-I31),IF(I31="NO",J31,J31-I31))</f>
        <v>-1.4551915228366852E-11</v>
      </c>
      <c r="L31" s="3885">
        <f t="shared" ref="L31:L33" si="33">IF(K31="NA","NA",K31/I31*100)</f>
        <v>-2.0227033106204801E-14</v>
      </c>
      <c r="M31" s="3886">
        <f>IF(K31="NA","NA",K31/Table8s2!$G$35*100)</f>
        <v>-3.3282677139844488E-15</v>
      </c>
      <c r="N31" s="3887">
        <f>IF(K31="NA","NA",K31/Table8s2!$G$34*100)</f>
        <v>-2.4457326926349795E-15</v>
      </c>
      <c r="O31" s="3888"/>
      <c r="P31" s="3889"/>
      <c r="Q31" s="3870"/>
      <c r="R31" s="3890"/>
      <c r="S31" s="3891"/>
      <c r="T31" s="3892"/>
    </row>
    <row r="32" spans="2:20" ht="18" customHeight="1" x14ac:dyDescent="0.2">
      <c r="B32" s="606" t="s">
        <v>1939</v>
      </c>
      <c r="C32" s="3893"/>
      <c r="D32" s="3893"/>
      <c r="E32" s="3894"/>
      <c r="F32" s="3894"/>
      <c r="G32" s="3871"/>
      <c r="H32" s="3872"/>
      <c r="I32" s="3848">
        <v>6796.3576715061854</v>
      </c>
      <c r="J32" s="3849">
        <f>Summary2!D33</f>
        <v>6802.9265219897143</v>
      </c>
      <c r="K32" s="3895">
        <f t="shared" si="32"/>
        <v>6.5688504835288768</v>
      </c>
      <c r="L32" s="3895">
        <f t="shared" si="33"/>
        <v>9.6652513022804323E-2</v>
      </c>
      <c r="M32" s="3886">
        <f>IF(K32="NA","NA",K32/Table8s2!$G$35*100)</f>
        <v>1.502406565680217E-3</v>
      </c>
      <c r="N32" s="3887">
        <f>IF(K32="NA","NA",K32/Table8s2!$G$34*100)</f>
        <v>1.1040232250171444E-3</v>
      </c>
      <c r="O32" s="3850">
        <v>206.33389153975813</v>
      </c>
      <c r="P32" s="3849">
        <f>Summary2!E33</f>
        <v>249.56123908765673</v>
      </c>
      <c r="Q32" s="3895">
        <f t="shared" ref="Q32" si="34">IF(P32="NO",IF(O32="NO","NA",-O32),IF(O32="NO",P32,P32-O32))</f>
        <v>43.227347547898603</v>
      </c>
      <c r="R32" s="3896">
        <f t="shared" ref="R32" si="35">IF(Q32="NA","NA",Q32/O32*100)</f>
        <v>20.950192537598312</v>
      </c>
      <c r="S32" s="3897">
        <f>IF(Q32="NA","NA",Q32/Table8s2!$G$35*100)</f>
        <v>9.8868212841425676E-3</v>
      </c>
      <c r="T32" s="3898">
        <f>IF(Q32="NA","NA",Q32/Table8s2!$G$34*100)</f>
        <v>7.265197429661998E-3</v>
      </c>
    </row>
    <row r="33" spans="2:21" ht="18" customHeight="1" x14ac:dyDescent="0.2">
      <c r="B33" s="606" t="s">
        <v>1940</v>
      </c>
      <c r="C33" s="3893"/>
      <c r="D33" s="3893"/>
      <c r="E33" s="3894"/>
      <c r="F33" s="3894"/>
      <c r="G33" s="3899"/>
      <c r="H33" s="3900"/>
      <c r="I33" s="3850">
        <v>429.68050177907804</v>
      </c>
      <c r="J33" s="3849">
        <f>Summary2!D34</f>
        <v>429.68050177907804</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10806.361195262341</v>
      </c>
      <c r="P34" s="3849">
        <f>Summary2!E35</f>
        <v>9933.9099740326674</v>
      </c>
      <c r="Q34" s="3895">
        <f t="shared" ref="Q34" si="36">IF(P34="NO",IF(O34="NO","NA",-O34),IF(O34="NO",P34,P34-O34))</f>
        <v>-872.45122122967405</v>
      </c>
      <c r="R34" s="3896">
        <f t="shared" ref="R34" si="37">IF(Q34="NA","NA",Q34/O34*100)</f>
        <v>-8.0734967623714891</v>
      </c>
      <c r="S34" s="3897">
        <f>IF(Q34="NA","NA",Q34/Table8s2!$G$35*100)</f>
        <v>-0.19954426521016183</v>
      </c>
      <c r="T34" s="3898">
        <f>IF(Q34="NA","NA",Q34/Table8s2!$G$34*100)</f>
        <v>-0.14663241511545</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322.42349638885418</v>
      </c>
      <c r="J36" s="3849">
        <f>Summary2!D37</f>
        <v>322.42349638885423</v>
      </c>
      <c r="K36" s="3895">
        <f t="shared" ref="K36" si="38">IF(J36="NO",IF(I36="NO","NA",-I36),IF(I36="NO",J36,J36-I36))</f>
        <v>5.6843418860808015E-14</v>
      </c>
      <c r="L36" s="3895">
        <f t="shared" ref="L36" si="39">IF(K36="NA","NA",K36/I36*100)</f>
        <v>1.7630048522348641E-14</v>
      </c>
      <c r="M36" s="3886">
        <f>IF(K36="NA","NA",K36/Table8s2!$G$35*100)</f>
        <v>1.3001045757751753E-17</v>
      </c>
      <c r="N36" s="3887">
        <f>IF(K36="NA","NA",K36/Table8s2!$G$34*100)</f>
        <v>9.5536433306053888E-18</v>
      </c>
      <c r="O36" s="3850">
        <v>121.97305549735796</v>
      </c>
      <c r="P36" s="3849">
        <f>Summary2!E37</f>
        <v>121.97305549735795</v>
      </c>
      <c r="Q36" s="3895">
        <f t="shared" ref="Q36" si="40">IF(P36="NO",IF(O36="NO","NA",-O36),IF(O36="NO",P36,P36-O36))</f>
        <v>-1.4210854715202004E-14</v>
      </c>
      <c r="R36" s="3896">
        <f t="shared" ref="R36" si="41">IF(Q36="NA","NA",Q36/O36*100)</f>
        <v>-1.1650814728921687E-14</v>
      </c>
      <c r="S36" s="3897">
        <f>IF(Q36="NA","NA",Q36/Table8s2!$G$35*100)</f>
        <v>-3.2502614394379383E-18</v>
      </c>
      <c r="T36" s="3898">
        <f>IF(Q36="NA","NA",Q36/Table8s2!$G$34*100)</f>
        <v>-2.3884108326513472E-18</v>
      </c>
    </row>
    <row r="37" spans="2:21" ht="18" customHeight="1" x14ac:dyDescent="0.2">
      <c r="B37" s="606" t="s">
        <v>955</v>
      </c>
      <c r="C37" s="3849">
        <v>260.25846060066385</v>
      </c>
      <c r="D37" s="3849">
        <f>Summary2!C38</f>
        <v>260.25846060066385</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374.63768115942037</v>
      </c>
      <c r="D38" s="3849">
        <f>Summary2!C39</f>
        <v>374.63768115942037</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159807.7936945559</v>
      </c>
      <c r="D41" s="3841">
        <f>Summary2!C42</f>
        <v>133784.21891553813</v>
      </c>
      <c r="E41" s="3931">
        <f t="shared" ref="E41" si="42">IF(D41="NO",IF(C41="NO","NA",-C41),IF(C41="NO",D41,D41-C41))</f>
        <v>-26023.57477901777</v>
      </c>
      <c r="F41" s="3931">
        <f t="shared" ref="F41" si="43">IF(E41="NA","NA",E41/C41*100)</f>
        <v>-16.284296389672452</v>
      </c>
      <c r="G41" s="3871"/>
      <c r="H41" s="3931">
        <f>IF(E41="NA","NA",E41/Table8s2!$G$34*100)</f>
        <v>-4.3737684433595954</v>
      </c>
      <c r="I41" s="3848">
        <f>SUM(I42:I49)</f>
        <v>19576.130034385347</v>
      </c>
      <c r="J41" s="3841">
        <f>Summary2!D42</f>
        <v>19873.66634630851</v>
      </c>
      <c r="K41" s="3931">
        <f t="shared" ref="K41:K46" si="44">IF(J41="NO",IF(I41="NO","NA",-I41),IF(I41="NO",J41,J41-I41))</f>
        <v>297.53631192316243</v>
      </c>
      <c r="L41" s="3931">
        <f t="shared" ref="L41:L46" si="45">IF(K41="NA","NA",K41/I41*100)</f>
        <v>1.5198934181604935</v>
      </c>
      <c r="M41" s="3891"/>
      <c r="N41" s="3932">
        <f>IF(K41="NA","NA",K41/Table8s2!$G$34*100)</f>
        <v>5.0006770510728549E-2</v>
      </c>
      <c r="O41" s="3848">
        <f>SUM(O42:O49)</f>
        <v>4063.8101373420236</v>
      </c>
      <c r="P41" s="3841">
        <f>Summary2!E42</f>
        <v>4112.2738215261224</v>
      </c>
      <c r="Q41" s="3931">
        <f t="shared" ref="Q41" si="46">IF(P41="NO",IF(O41="NO","NA",-O41),IF(O41="NO",P41,P41-O41))</f>
        <v>48.463684184098838</v>
      </c>
      <c r="R41" s="3931">
        <f t="shared" ref="R41" si="47">IF(Q41="NA","NA",Q41/O41*100)</f>
        <v>1.1925676285604476</v>
      </c>
      <c r="S41" s="3891"/>
      <c r="T41" s="3932">
        <f>IF(Q41="NA","NA",Q41/Table8s2!$G$34*100)</f>
        <v>8.1452657574263322E-3</v>
      </c>
      <c r="U41" s="721"/>
    </row>
    <row r="42" spans="2:21" ht="18" customHeight="1" x14ac:dyDescent="0.2">
      <c r="B42" s="606" t="s">
        <v>1252</v>
      </c>
      <c r="C42" s="3849">
        <v>-12082.033388131174</v>
      </c>
      <c r="D42" s="3849">
        <f>Summary2!C43</f>
        <v>-13884.157619537076</v>
      </c>
      <c r="E42" s="3933">
        <f t="shared" ref="E42:E50" si="48">IF(D42="NO",IF(C42="NO","NA",-C42),IF(C42="NO",D42,D42-C42))</f>
        <v>-1802.1242314059018</v>
      </c>
      <c r="F42" s="3933">
        <f t="shared" ref="F42:F50" si="49">IF(E42="NA","NA",E42/C42*100)</f>
        <v>14.915736230097036</v>
      </c>
      <c r="G42" s="3891"/>
      <c r="H42" s="3933">
        <f>IF(E42="NA","NA",E42/Table8s2!$G$34*100)</f>
        <v>-0.30288206602161127</v>
      </c>
      <c r="I42" s="3850">
        <v>6542.6685273097983</v>
      </c>
      <c r="J42" s="3849">
        <f>Summary2!D43</f>
        <v>6782.1254665698498</v>
      </c>
      <c r="K42" s="3933">
        <f t="shared" si="44"/>
        <v>239.45693926005151</v>
      </c>
      <c r="L42" s="3933">
        <f t="shared" si="45"/>
        <v>3.6599277230771001</v>
      </c>
      <c r="M42" s="3891"/>
      <c r="N42" s="3934">
        <f>IF(K42="NA","NA",K42/Table8s2!$G$34*100)</f>
        <v>4.0245401078545399E-2</v>
      </c>
      <c r="O42" s="3850">
        <v>1288.1945678700147</v>
      </c>
      <c r="P42" s="3849">
        <f>Summary2!E43</f>
        <v>1393.7266525660675</v>
      </c>
      <c r="Q42" s="3933">
        <f t="shared" ref="Q42:Q46" si="50">IF(P42="NO",IF(O42="NO","NA",-O42),IF(O42="NO",P42,P42-O42))</f>
        <v>105.53208469605283</v>
      </c>
      <c r="R42" s="3933">
        <f t="shared" ref="R42:R46" si="51">IF(Q42="NA","NA",Q42/O42*100)</f>
        <v>8.1922472992993995</v>
      </c>
      <c r="S42" s="3891"/>
      <c r="T42" s="3934">
        <f>IF(Q42="NA","NA",Q42/Table8s2!$G$34*100)</f>
        <v>1.7736721635096184E-2</v>
      </c>
      <c r="U42" s="721"/>
    </row>
    <row r="43" spans="2:21" ht="18" customHeight="1" x14ac:dyDescent="0.2">
      <c r="B43" s="606" t="s">
        <v>1255</v>
      </c>
      <c r="C43" s="3849">
        <v>39717.35915062674</v>
      </c>
      <c r="D43" s="3849">
        <f>Summary2!C44</f>
        <v>34351.57617938632</v>
      </c>
      <c r="E43" s="3933">
        <f t="shared" si="48"/>
        <v>-5365.78297124042</v>
      </c>
      <c r="F43" s="3933">
        <f t="shared" si="49"/>
        <v>-13.509918801224597</v>
      </c>
      <c r="G43" s="3891"/>
      <c r="H43" s="3933">
        <f>IF(E43="NA","NA",E43/Table8s2!$G$34*100)</f>
        <v>-0.90182430480111897</v>
      </c>
      <c r="I43" s="3850">
        <v>599.08786559999999</v>
      </c>
      <c r="J43" s="3849">
        <f>Summary2!D44</f>
        <v>592.66318240086241</v>
      </c>
      <c r="K43" s="3933">
        <f t="shared" si="44"/>
        <v>-6.4246831991375757</v>
      </c>
      <c r="L43" s="3933">
        <f t="shared" si="45"/>
        <v>-1.072410837883206</v>
      </c>
      <c r="M43" s="3891"/>
      <c r="N43" s="3934">
        <f>IF(K43="NA","NA",K43/Table8s2!$G$34*100)</f>
        <v>-1.0797931058121562E-3</v>
      </c>
      <c r="O43" s="3850">
        <v>135.4864260441374</v>
      </c>
      <c r="P43" s="3849">
        <f>Summary2!E44</f>
        <v>129.65662212202736</v>
      </c>
      <c r="Q43" s="3933">
        <f t="shared" si="50"/>
        <v>-5.8298039221100453</v>
      </c>
      <c r="R43" s="3933">
        <f t="shared" si="51"/>
        <v>-4.3028693665672977</v>
      </c>
      <c r="S43" s="3891"/>
      <c r="T43" s="3934">
        <f>IF(Q43="NA","NA",Q43/Table8s2!$G$34*100)</f>
        <v>-9.7981206048822927E-4</v>
      </c>
      <c r="U43" s="721"/>
    </row>
    <row r="44" spans="2:21" ht="18" customHeight="1" x14ac:dyDescent="0.2">
      <c r="B44" s="606" t="s">
        <v>1258</v>
      </c>
      <c r="C44" s="3849">
        <v>130310.91111872904</v>
      </c>
      <c r="D44" s="3849">
        <f>Summary2!C45</f>
        <v>111128.53882818409</v>
      </c>
      <c r="E44" s="3933">
        <f t="shared" si="48"/>
        <v>-19182.372290544954</v>
      </c>
      <c r="F44" s="3933">
        <f t="shared" si="49"/>
        <v>-14.720465175066948</v>
      </c>
      <c r="G44" s="3891"/>
      <c r="H44" s="3933">
        <f>IF(E44="NA","NA",E44/Table8s2!$G$34*100)</f>
        <v>-3.2239711609800485</v>
      </c>
      <c r="I44" s="3850">
        <v>9709.6700206463029</v>
      </c>
      <c r="J44" s="3849">
        <f>Summary2!D45</f>
        <v>9927.5398492165386</v>
      </c>
      <c r="K44" s="3933">
        <f t="shared" si="44"/>
        <v>217.86982857023577</v>
      </c>
      <c r="L44" s="3933">
        <f t="shared" si="45"/>
        <v>2.2438437980586876</v>
      </c>
      <c r="M44" s="3891"/>
      <c r="N44" s="3934">
        <f>IF(K44="NA","NA",K44/Table8s2!$G$34*100)</f>
        <v>3.661726680720951E-2</v>
      </c>
      <c r="O44" s="3850">
        <v>2536.6881205946383</v>
      </c>
      <c r="P44" s="3849">
        <f>Summary2!E45</f>
        <v>2480.5004796929861</v>
      </c>
      <c r="Q44" s="3933">
        <f t="shared" si="50"/>
        <v>-56.18764090165223</v>
      </c>
      <c r="R44" s="3933">
        <f t="shared" si="51"/>
        <v>-2.2149999617801259</v>
      </c>
      <c r="S44" s="3891"/>
      <c r="T44" s="3934">
        <f>IF(Q44="NA","NA",Q44/Table8s2!$G$34*100)</f>
        <v>-9.4434270759992407E-3</v>
      </c>
      <c r="U44" s="721"/>
    </row>
    <row r="45" spans="2:21" ht="18" customHeight="1" x14ac:dyDescent="0.2">
      <c r="B45" s="606" t="s">
        <v>1984</v>
      </c>
      <c r="C45" s="3849">
        <v>1678.2768901873424</v>
      </c>
      <c r="D45" s="3849">
        <f>Summary2!C46</f>
        <v>2094.5991809202014</v>
      </c>
      <c r="E45" s="3933">
        <f t="shared" si="48"/>
        <v>416.32229073285907</v>
      </c>
      <c r="F45" s="3933">
        <f t="shared" si="49"/>
        <v>24.80653181647433</v>
      </c>
      <c r="G45" s="3891"/>
      <c r="H45" s="3933">
        <f>IF(E45="NA","NA",E45/Table8s2!$G$34*100)</f>
        <v>6.9971067116524926E-2</v>
      </c>
      <c r="I45" s="3850">
        <v>2566.5093104292446</v>
      </c>
      <c r="J45" s="3849">
        <f>Summary2!D46</f>
        <v>2412.9102331751114</v>
      </c>
      <c r="K45" s="3933">
        <f t="shared" si="44"/>
        <v>-153.59907725413314</v>
      </c>
      <c r="L45" s="3933">
        <f t="shared" si="45"/>
        <v>-5.9847465438745644</v>
      </c>
      <c r="M45" s="3891"/>
      <c r="N45" s="3934">
        <f>IF(K45="NA","NA",K45/Table8s2!$G$34*100)</f>
        <v>-2.5815315640837437E-2</v>
      </c>
      <c r="O45" s="3850">
        <v>66.072520683361105</v>
      </c>
      <c r="P45" s="3849">
        <f>Summary2!E46</f>
        <v>72.502812573325627</v>
      </c>
      <c r="Q45" s="3933">
        <f t="shared" si="50"/>
        <v>6.4302918899645221</v>
      </c>
      <c r="R45" s="3933">
        <f t="shared" si="51"/>
        <v>9.7321728056666199</v>
      </c>
      <c r="S45" s="3891"/>
      <c r="T45" s="3934">
        <f>IF(Q45="NA","NA",Q45/Table8s2!$G$34*100)</f>
        <v>1.0807357555117371E-3</v>
      </c>
      <c r="U45" s="721"/>
    </row>
    <row r="46" spans="2:21" ht="18" customHeight="1" x14ac:dyDescent="0.2">
      <c r="B46" s="606" t="s">
        <v>1985</v>
      </c>
      <c r="C46" s="3849">
        <v>6750.9811935626794</v>
      </c>
      <c r="D46" s="3849">
        <f>Summary2!C47</f>
        <v>6665.9078443745493</v>
      </c>
      <c r="E46" s="3933">
        <f t="shared" si="48"/>
        <v>-85.073349188130123</v>
      </c>
      <c r="F46" s="3933">
        <f t="shared" si="49"/>
        <v>-1.2601627341111665</v>
      </c>
      <c r="G46" s="3891"/>
      <c r="H46" s="3933">
        <f>IF(E46="NA","NA",E46/Table8s2!$G$34*100)</f>
        <v>-1.4298232783528417E-2</v>
      </c>
      <c r="I46" s="3850">
        <v>158.19431040000001</v>
      </c>
      <c r="J46" s="3849">
        <f>Summary2!D47</f>
        <v>158.42761494614902</v>
      </c>
      <c r="K46" s="3933">
        <f t="shared" si="44"/>
        <v>0.23330454614901441</v>
      </c>
      <c r="L46" s="3933">
        <f t="shared" si="45"/>
        <v>0.14747973271547848</v>
      </c>
      <c r="M46" s="3891"/>
      <c r="N46" s="3934">
        <f>IF(K46="NA","NA",K46/Table8s2!$G$34*100)</f>
        <v>3.9211371623764525E-5</v>
      </c>
      <c r="O46" s="3850">
        <v>33.118469628443187</v>
      </c>
      <c r="P46" s="3849">
        <f>Summary2!E47</f>
        <v>31.637222050287988</v>
      </c>
      <c r="Q46" s="3933">
        <f t="shared" si="50"/>
        <v>-1.4812475781551981</v>
      </c>
      <c r="R46" s="3933">
        <f t="shared" si="51"/>
        <v>-4.47257253965339</v>
      </c>
      <c r="S46" s="3891"/>
      <c r="T46" s="3934">
        <f>IF(Q46="NA","NA",Q46/Table8s2!$G$34*100)</f>
        <v>-2.489524966939442E-4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-6567.7012704187282</v>
      </c>
      <c r="D48" s="3849">
        <f>Summary2!C49</f>
        <v>-6572.2454977899288</v>
      </c>
      <c r="E48" s="3933">
        <f t="shared" si="48"/>
        <v>-4.5442273712005772</v>
      </c>
      <c r="F48" s="3933">
        <f t="shared" si="49"/>
        <v>6.9190530812782494E-2</v>
      </c>
      <c r="G48" s="3891"/>
      <c r="H48" s="3933">
        <f>IF(E48="NA","NA",E48/Table8s2!$G$34*100)</f>
        <v>-7.6374588980884762E-4</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4.2500325214285715</v>
      </c>
      <c r="P49" s="3857">
        <f>Summary2!E50</f>
        <v>4.2500325214285715</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73.988845759355272</v>
      </c>
      <c r="D50" s="3841">
        <f>Summary2!C51</f>
        <v>73.988845759355272</v>
      </c>
      <c r="E50" s="3841">
        <f t="shared" si="48"/>
        <v>0</v>
      </c>
      <c r="F50" s="3841">
        <f t="shared" si="49"/>
        <v>0</v>
      </c>
      <c r="G50" s="3846">
        <f>IF(E50="NA","NA",E50/Table8s2!$G$35*100)</f>
        <v>0</v>
      </c>
      <c r="H50" s="3847">
        <f>IF(E50="NA","NA",E50/Table8s2!$G$34*100)</f>
        <v>0</v>
      </c>
      <c r="I50" s="3841">
        <f>SUM(I51:I55)</f>
        <v>23149.435242603497</v>
      </c>
      <c r="J50" s="3841">
        <f>Summary2!D51</f>
        <v>23144.719752197972</v>
      </c>
      <c r="K50" s="3841">
        <f t="shared" ref="K50" si="54">IF(J50="NO",IF(I50="NO","NA",-I50),IF(I50="NO",J50,J50-I50))</f>
        <v>-4.7154904055241786</v>
      </c>
      <c r="L50" s="3841">
        <f t="shared" ref="L50" si="55">IF(K50="NA","NA",K50/I50*100)</f>
        <v>-2.0369785941239456E-2</v>
      </c>
      <c r="M50" s="3846">
        <f>IF(K50="NA","NA",K50/Table8s2!$G$35*100)</f>
        <v>-1.0785119502150183E-3</v>
      </c>
      <c r="N50" s="3847">
        <f>IF(K50="NA","NA",K50/Table8s2!$G$34*100)</f>
        <v>-7.9252997736789174E-4</v>
      </c>
      <c r="O50" s="3841">
        <f>SUM(O51:O55)</f>
        <v>163.80541480253589</v>
      </c>
      <c r="P50" s="3841">
        <f>Summary2!E51</f>
        <v>163.80541480253592</v>
      </c>
      <c r="Q50" s="3841">
        <f t="shared" si="52"/>
        <v>2.8421709430404007E-14</v>
      </c>
      <c r="R50" s="3841">
        <f t="shared" si="53"/>
        <v>1.7350897383133396E-14</v>
      </c>
      <c r="S50" s="3846">
        <f>IF(Q50="NA","NA",Q50/Table8s2!$G$35*100)</f>
        <v>6.5005228788758766E-18</v>
      </c>
      <c r="T50" s="3847">
        <f>IF(Q50="NA","NA",Q50/Table8s2!$G$34*100)</f>
        <v>4.7768216653026944E-18</v>
      </c>
    </row>
    <row r="51" spans="2:21" ht="18" customHeight="1" x14ac:dyDescent="0.2">
      <c r="B51" s="606" t="s">
        <v>1989</v>
      </c>
      <c r="C51" s="3920"/>
      <c r="D51" s="3920"/>
      <c r="E51" s="3890"/>
      <c r="F51" s="3905"/>
      <c r="G51" s="3906"/>
      <c r="H51" s="3907"/>
      <c r="I51" s="3841">
        <v>17049.508786102142</v>
      </c>
      <c r="J51" s="3841">
        <f>Summary2!D52</f>
        <v>17044.793295696618</v>
      </c>
      <c r="K51" s="3841">
        <f t="shared" ref="K51:K52" si="56">IF(J51="NO",IF(I51="NO","NA",-I51),IF(I51="NO",J51,J51-I51))</f>
        <v>-4.7154904055241786</v>
      </c>
      <c r="L51" s="3841">
        <f t="shared" ref="L51:L52" si="57">IF(K51="NA","NA",K51/I51*100)</f>
        <v>-2.7657632044906757E-2</v>
      </c>
      <c r="M51" s="3846">
        <f>IF(K51="NA","NA",K51/Table8s2!$G$35*100)</f>
        <v>-1.0785119502150183E-3</v>
      </c>
      <c r="N51" s="3847">
        <f>IF(K51="NA","NA",K51/Table8s2!$G$34*100)</f>
        <v>-7.9252997736789174E-4</v>
      </c>
      <c r="O51" s="3888"/>
      <c r="P51" s="3889"/>
      <c r="Q51" s="3942"/>
      <c r="R51" s="3943"/>
      <c r="S51" s="3944"/>
      <c r="T51" s="3945"/>
    </row>
    <row r="52" spans="2:21" ht="18" customHeight="1" x14ac:dyDescent="0.2">
      <c r="B52" s="1395" t="s">
        <v>1990</v>
      </c>
      <c r="C52" s="3920"/>
      <c r="D52" s="3920"/>
      <c r="E52" s="3890"/>
      <c r="F52" s="3905"/>
      <c r="G52" s="3906"/>
      <c r="H52" s="3907"/>
      <c r="I52" s="3851">
        <v>13.526846539471713</v>
      </c>
      <c r="J52" s="3849">
        <f>Summary2!D53</f>
        <v>13.526846539471713</v>
      </c>
      <c r="K52" s="3841">
        <f t="shared" si="56"/>
        <v>0</v>
      </c>
      <c r="L52" s="3841">
        <f t="shared" si="57"/>
        <v>0</v>
      </c>
      <c r="M52" s="3846">
        <f>IF(K52="NA","NA",K52/Table8s2!$G$35*100)</f>
        <v>0</v>
      </c>
      <c r="N52" s="3847">
        <f>IF(K52="NA","NA",K52/Table8s2!$G$34*100)</f>
        <v>0</v>
      </c>
      <c r="O52" s="3841">
        <v>16.386808379245736</v>
      </c>
      <c r="P52" s="3841">
        <f>Summary2!E53</f>
        <v>16.386808379245736</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73.988845759355272</v>
      </c>
      <c r="D53" s="3841">
        <f>Summary2!C54</f>
        <v>73.988845759355272</v>
      </c>
      <c r="E53" s="3841">
        <f t="shared" ref="E53" si="60">IF(D53="NO",IF(C53="NO","NA",-C53),IF(C53="NO",D53,D53-C53))</f>
        <v>0</v>
      </c>
      <c r="F53" s="3841">
        <f t="shared" ref="F53" si="61">IF(E53="NA","NA",E53/C53*100)</f>
        <v>0</v>
      </c>
      <c r="G53" s="3846">
        <f>IF(E53="NA","NA",E53/Table8s2!$G$35*100)</f>
        <v>0</v>
      </c>
      <c r="H53" s="3847">
        <f>IF(E53="NA","NA",E53/Table8s2!$G$34*100)</f>
        <v>0</v>
      </c>
      <c r="I53" s="3851">
        <v>2.5947936</v>
      </c>
      <c r="J53" s="3849">
        <f>Summary2!D54</f>
        <v>2.5947936</v>
      </c>
      <c r="K53" s="3841" t="s">
        <v>205</v>
      </c>
      <c r="L53" s="3946" t="s">
        <v>205</v>
      </c>
      <c r="M53" s="3897" t="s">
        <v>205</v>
      </c>
      <c r="N53" s="3898" t="s">
        <v>205</v>
      </c>
      <c r="O53" s="3841">
        <v>10.064699999999998</v>
      </c>
      <c r="P53" s="3841">
        <f>Summary2!E54</f>
        <v>10.064699999999998</v>
      </c>
      <c r="Q53" s="3841" t="s">
        <v>205</v>
      </c>
      <c r="R53" s="3841" t="s">
        <v>205</v>
      </c>
      <c r="S53" s="3846" t="s">
        <v>205</v>
      </c>
      <c r="T53" s="3847" t="s">
        <v>205</v>
      </c>
    </row>
    <row r="54" spans="2:21" ht="18" customHeight="1" x14ac:dyDescent="0.2">
      <c r="B54" s="606" t="s">
        <v>1992</v>
      </c>
      <c r="C54" s="3947"/>
      <c r="D54" s="3948"/>
      <c r="E54" s="3949"/>
      <c r="F54" s="3948"/>
      <c r="G54" s="3950"/>
      <c r="H54" s="3951"/>
      <c r="I54" s="3849">
        <v>6083.8048163618814</v>
      </c>
      <c r="J54" s="3849">
        <f>Summary2!D55</f>
        <v>6083.8048163618814</v>
      </c>
      <c r="K54" s="3841">
        <f t="shared" ref="K54" si="62">IF(J54="NO",IF(I54="NO","NA",-I54),IF(I54="NO",J54,J54-I54))</f>
        <v>0</v>
      </c>
      <c r="L54" s="3841">
        <f t="shared" ref="L54" si="63">IF(K54="NA","NA",K54/I54*100)</f>
        <v>0</v>
      </c>
      <c r="M54" s="3846">
        <f>IF(K54="NA","NA",K54/Table8s2!$G$35*100)</f>
        <v>0</v>
      </c>
      <c r="N54" s="3847">
        <f>IF(K54="NA","NA",K54/Table8s2!$G$34*100)</f>
        <v>0</v>
      </c>
      <c r="O54" s="3841">
        <v>137.35390642329017</v>
      </c>
      <c r="P54" s="3841">
        <f>Summary2!E55</f>
        <v>137.35390642329017</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6436.174</v>
      </c>
      <c r="D59" s="3849">
        <f>Summary2!C60</f>
        <v>6436.1739999999991</v>
      </c>
      <c r="E59" s="3863">
        <f t="shared" ref="E59" si="66">IF(D59="NO",IF(C59="NO","NA",-C59),IF(C59="NO",D59,D59-C59))</f>
        <v>-9.0949470177292824E-13</v>
      </c>
      <c r="F59" s="3863">
        <f t="shared" ref="F59" si="67">IF(E59="NA","NA",E59/C59*100)</f>
        <v>-1.4130983745512912E-14</v>
      </c>
      <c r="G59" s="3864">
        <f>IF(E59="NA","NA",E59/Table8s2!$G$35*100)</f>
        <v>-2.0801673212402805E-16</v>
      </c>
      <c r="H59" s="3865">
        <f>IF(E59="NA","NA",E59/Table8s2!$G$34*100)</f>
        <v>-1.5285829328968622E-16</v>
      </c>
      <c r="I59" s="3849">
        <v>5.2714370800000001</v>
      </c>
      <c r="J59" s="3849">
        <f>Summary2!D60</f>
        <v>5.2714370800000001</v>
      </c>
      <c r="K59" s="3863">
        <f t="shared" ref="K59:K61" si="68">IF(J59="NO",IF(I59="NO","NA",-I59),IF(I59="NO",J59,J59-I59))</f>
        <v>0</v>
      </c>
      <c r="L59" s="3863">
        <f t="shared" ref="L59:L61" si="69">IF(K59="NA","NA",K59/I59*100)</f>
        <v>0</v>
      </c>
      <c r="M59" s="3864">
        <f>IF(K59="NA","NA",K59/Table8s2!$G$35*100)</f>
        <v>0</v>
      </c>
      <c r="N59" s="3865">
        <f>IF(K59="NA","NA",K59/Table8s2!$G$34*100)</f>
        <v>0</v>
      </c>
      <c r="O59" s="3850">
        <v>19.97751190681565</v>
      </c>
      <c r="P59" s="3849">
        <f>Summary2!E60</f>
        <v>19.977511906815792</v>
      </c>
      <c r="Q59" s="3863">
        <f t="shared" ref="Q59" si="70">IF(P59="NO",IF(O59="NO","NA",-O59),IF(O59="NO",P59,P59-O59))</f>
        <v>1.4210854715202004E-13</v>
      </c>
      <c r="R59" s="3968">
        <f t="shared" ref="R59" si="71">IF(Q59="NA","NA",Q59/O59*100)</f>
        <v>7.1134257266310233E-13</v>
      </c>
      <c r="S59" s="3969">
        <f>IF(Q59="NA","NA",Q59/Table8s2!$G$35*100)</f>
        <v>3.2502614394379381E-17</v>
      </c>
      <c r="T59" s="3970">
        <f>IF(Q59="NA","NA",Q59/Table8s2!$G$34*100)</f>
        <v>2.3884108326513473E-17</v>
      </c>
    </row>
    <row r="60" spans="2:21" ht="18" customHeight="1" x14ac:dyDescent="0.2">
      <c r="B60" s="1409" t="s">
        <v>218</v>
      </c>
      <c r="C60" s="3849">
        <v>4558.8</v>
      </c>
      <c r="D60" s="3849">
        <f>Summary2!C61</f>
        <v>4558.7999999999993</v>
      </c>
      <c r="E60" s="3863">
        <f t="shared" ref="E60:E61" si="72">IF(D60="NO",IF(C60="NO","NA",-C60),IF(C60="NO",D60,D60-C60))</f>
        <v>-9.0949470177292824E-13</v>
      </c>
      <c r="F60" s="3863">
        <f t="shared" ref="F60:F61" si="73">IF(E60="NA","NA",E60/C60*100)</f>
        <v>-1.9950309330809165E-14</v>
      </c>
      <c r="G60" s="3864">
        <f>IF(E60="NA","NA",E60/Table8s2!$G$35*100)</f>
        <v>-2.0801673212402805E-16</v>
      </c>
      <c r="H60" s="3865">
        <f>IF(E60="NA","NA",E60/Table8s2!$G$34*100)</f>
        <v>-1.5285829328968622E-16</v>
      </c>
      <c r="I60" s="3849">
        <v>0.22835708000000002</v>
      </c>
      <c r="J60" s="3849">
        <f>Summary2!D61</f>
        <v>0.22835707999999996</v>
      </c>
      <c r="K60" s="3863">
        <f t="shared" si="68"/>
        <v>-5.5511151231257827E-17</v>
      </c>
      <c r="L60" s="3863">
        <f t="shared" si="69"/>
        <v>-2.4308924965785087E-14</v>
      </c>
      <c r="M60" s="3864">
        <f>IF(K60="NA","NA",K60/Table8s2!$G$35*100)</f>
        <v>-1.2696333747804447E-20</v>
      </c>
      <c r="N60" s="3865">
        <f>IF(K60="NA","NA",K60/Table8s2!$G$34*100)</f>
        <v>-9.329729815044325E-21</v>
      </c>
      <c r="O60" s="3850">
        <v>6.3406119068156501</v>
      </c>
      <c r="P60" s="3849">
        <f>Summary2!E61</f>
        <v>6.3406119068157896</v>
      </c>
      <c r="Q60" s="3863">
        <f t="shared" ref="Q60:Q61" si="74">IF(P60="NO",IF(O60="NO","NA",-O60),IF(O60="NO",P60,P60-O60))</f>
        <v>1.3944401189291966E-13</v>
      </c>
      <c r="R60" s="3968">
        <f t="shared" ref="R60:R61" si="75">IF(Q60="NA","NA",Q60/O60*100)</f>
        <v>2.1992201059179874E-12</v>
      </c>
      <c r="S60" s="3969">
        <f>IF(Q60="NA","NA",Q60/Table8s2!$G$35*100)</f>
        <v>3.1893190374484768E-17</v>
      </c>
      <c r="T60" s="3970">
        <f>IF(Q60="NA","NA",Q60/Table8s2!$G$34*100)</f>
        <v>2.3436281295391346E-17</v>
      </c>
    </row>
    <row r="61" spans="2:21" ht="18" customHeight="1" x14ac:dyDescent="0.2">
      <c r="B61" s="1410" t="s">
        <v>1963</v>
      </c>
      <c r="C61" s="3849">
        <v>1877.374</v>
      </c>
      <c r="D61" s="3849">
        <f>Summary2!C62</f>
        <v>1877.374</v>
      </c>
      <c r="E61" s="3863">
        <f t="shared" si="72"/>
        <v>0</v>
      </c>
      <c r="F61" s="3863">
        <f t="shared" si="73"/>
        <v>0</v>
      </c>
      <c r="G61" s="3864">
        <f>IF(E61="NA","NA",E61/Table8s2!$G$35*100)</f>
        <v>0</v>
      </c>
      <c r="H61" s="3865">
        <f>IF(E61="NA","NA",E61/Table8s2!$G$34*100)</f>
        <v>0</v>
      </c>
      <c r="I61" s="3849">
        <v>5.0430799999999998</v>
      </c>
      <c r="J61" s="3849">
        <f>Summary2!D62</f>
        <v>5.0430799999999998</v>
      </c>
      <c r="K61" s="3863">
        <f t="shared" si="68"/>
        <v>0</v>
      </c>
      <c r="L61" s="3863">
        <f t="shared" si="69"/>
        <v>0</v>
      </c>
      <c r="M61" s="3864">
        <f>IF(K61="NA","NA",K61/Table8s2!$G$35*100)</f>
        <v>0</v>
      </c>
      <c r="N61" s="3865">
        <f>IF(K61="NA","NA",K61/Table8s2!$G$34*100)</f>
        <v>0</v>
      </c>
      <c r="O61" s="3850">
        <v>13.636899999999999</v>
      </c>
      <c r="P61" s="3849">
        <f>Summary2!E62</f>
        <v>13.636900000000001</v>
      </c>
      <c r="Q61" s="3863">
        <f t="shared" si="74"/>
        <v>1.7763568394002505E-15</v>
      </c>
      <c r="R61" s="3968">
        <f t="shared" si="75"/>
        <v>1.302610446215966E-14</v>
      </c>
      <c r="S61" s="3969">
        <f>IF(Q61="NA","NA",Q61/Table8s2!$G$35*100)</f>
        <v>4.0628267992974229E-19</v>
      </c>
      <c r="T61" s="3970">
        <f>IF(Q61="NA","NA",Q61/Table8s2!$G$34*100)</f>
        <v>2.985513540814184E-19</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15017.92222</v>
      </c>
      <c r="D63" s="3849">
        <f>Summary2!C64</f>
        <v>15017.922219999999</v>
      </c>
      <c r="E63" s="3863">
        <f t="shared" ref="E63:E65" si="76">IF(D63="NO",IF(C63="NO","NA",-C63),IF(C63="NO",D63,D63-C63))</f>
        <v>-1.8189894035458565E-12</v>
      </c>
      <c r="F63" s="3863">
        <f t="shared" ref="F63:F65" si="77">IF(E63="NA","NA",E63/C63*100)</f>
        <v>-1.2112124279904924E-14</v>
      </c>
      <c r="G63" s="3864">
        <f>IF(E63="NA","NA",E63/Table8s2!$G$35*100)</f>
        <v>-4.160334642480561E-16</v>
      </c>
      <c r="H63" s="3865">
        <f>IF(E63="NA","NA",E63/Table8s2!$G$34*100)</f>
        <v>-3.0571658657937244E-16</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191075.65821621753</v>
      </c>
      <c r="D65" s="3851">
        <f>Summary2!C66</f>
        <v>191008.2991050088</v>
      </c>
      <c r="E65" s="3979">
        <f t="shared" si="76"/>
        <v>-67.35911120873061</v>
      </c>
      <c r="F65" s="3986">
        <f t="shared" si="77"/>
        <v>-3.5252586246495271E-2</v>
      </c>
      <c r="G65" s="3987">
        <f>IF(E65="NA","NA",E65/Table8s2!$G$35*100)</f>
        <v>-1.5406161426894638E-2</v>
      </c>
      <c r="H65" s="3988">
        <f>IF(E65="NA","NA",E65/Table8s2!$G$34*100)</f>
        <v>-1.1321010179394552E-2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M3" workbookViewId="0">
      <selection activeCell="A28" sqref="A28:XFD28"/>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1193.6537599999999</v>
      </c>
      <c r="D10" s="4021">
        <f>IF(SUM(D11:D30)=0,"NO",SUM(D11:D30))</f>
        <v>1193.6537599999999</v>
      </c>
      <c r="E10" s="4021">
        <f>IF(D10="NO",IF(C10="NO","NA",-C10),IF(C10="NO",D10,D10-C10))</f>
        <v>0</v>
      </c>
      <c r="F10" s="4021">
        <f>IF(E10="NA","NA",E10/C10*100)</f>
        <v>0</v>
      </c>
      <c r="G10" s="4022">
        <f>IF(E10="NA","NA",E10/$G$35*100)</f>
        <v>0</v>
      </c>
      <c r="H10" s="4023">
        <f>IF(E10="NA","NA",E10/$G$34*100)</f>
        <v>0</v>
      </c>
      <c r="I10" s="4024">
        <f>IF(SUM(I11:I30)=0,"NO",SUM(I11:I30))</f>
        <v>4146.8866252000589</v>
      </c>
      <c r="J10" s="4024">
        <f>IF(SUM(J11:J30)=0,"NO",SUM(J11:J30))</f>
        <v>4146.8866252000589</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246.69030699012214</v>
      </c>
      <c r="V10" s="4021">
        <f>IF(SUM(V11:V30)=0,"NO",SUM(V11:V30))</f>
        <v>246.69030699012217</v>
      </c>
      <c r="W10" s="4021">
        <f>IF(V10="NO",IF(U10="NO","NA",-U10),IF(U10="NO",V10,V10-U10))</f>
        <v>2.8421709430404007E-14</v>
      </c>
      <c r="X10" s="4025">
        <f>IF(W10="NA","NA",W10/U10*100)</f>
        <v>1.1521210450940845E-14</v>
      </c>
      <c r="Y10" s="4026">
        <f>IF(W10="NA","NA",W10/$G$35*100)</f>
        <v>6.5005228788758766E-18</v>
      </c>
      <c r="Z10" s="4023">
        <f>IF(W10="NA","NA",W10/$G$34*100)</f>
        <v>4.7768216653026944E-18</v>
      </c>
      <c r="AA10" s="4021" t="s">
        <v>199</v>
      </c>
      <c r="AB10" s="4021" t="s">
        <v>199</v>
      </c>
      <c r="AC10" s="4021" t="s">
        <v>205</v>
      </c>
      <c r="AD10" s="4025" t="s">
        <v>205</v>
      </c>
      <c r="AE10" s="4026" t="s">
        <v>205</v>
      </c>
      <c r="AF10" s="4023" t="s">
        <v>205</v>
      </c>
    </row>
    <row r="11" spans="2:32" ht="18" customHeight="1" x14ac:dyDescent="0.2">
      <c r="B11" s="1980" t="s">
        <v>2200</v>
      </c>
      <c r="C11" s="3850">
        <v>1193.6537599999999</v>
      </c>
      <c r="D11" s="3849">
        <f>'Table2(I)'!F25</f>
        <v>1193.6537599999999</v>
      </c>
      <c r="E11" s="3849">
        <f>IF(D11="NO",IF(C11="NO","NA",-C11),IF(C11="NO",D11,D11-C11))</f>
        <v>0</v>
      </c>
      <c r="F11" s="4018">
        <f>IF(E11="NA","NA",E11/C11*100)</f>
        <v>0</v>
      </c>
      <c r="G11" s="3873">
        <f>IF(E11="NA","NA",E11/$G$35*100)</f>
        <v>0</v>
      </c>
      <c r="H11" s="3874">
        <f>IF(E11="NA","NA",E11/$G$34*100)</f>
        <v>0</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4146.8866252000589</v>
      </c>
      <c r="J13" s="3841">
        <f>'Table2(II)'!AH41</f>
        <v>4146.8866252000589</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t="s">
        <v>199</v>
      </c>
      <c r="D21" s="3849" t="str">
        <f>'Table2(I)'!F46</f>
        <v>NO</v>
      </c>
      <c r="E21" s="3849" t="str">
        <f>IF(D21="NO",IF(C21="NO","NA",-C21),IF(C21="NO",D21,D21-C21))</f>
        <v>NA</v>
      </c>
      <c r="F21" s="4018" t="str">
        <f>IF(E21="NA","NA",E21/C21*100)</f>
        <v>NA</v>
      </c>
      <c r="G21" s="3873" t="str">
        <f>IF(E21="NA","NA",E21/$G$35*100)</f>
        <v>NA</v>
      </c>
      <c r="H21" s="3874" t="str">
        <f>IF(E21="NA","NA",E21/$G$34*100)</f>
        <v>NA</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t="s">
        <v>199</v>
      </c>
      <c r="D22" s="3849" t="str">
        <f>'Table2(I)'!F47</f>
        <v>NO</v>
      </c>
      <c r="E22" s="3849" t="str">
        <f t="shared" ref="E22:E25" si="0">IF(D22="NO",IF(C22="NO","NA",-C22),IF(C22="NO",D22,D22-C22))</f>
        <v>NA</v>
      </c>
      <c r="F22" s="4018" t="str">
        <f t="shared" ref="F22:F25" si="1">IF(E22="NA","NA",E22/C22*100)</f>
        <v>NA</v>
      </c>
      <c r="G22" s="3873" t="str">
        <f t="shared" ref="G22:G25" si="2">IF(E22="NA","NA",E22/$G$35*100)</f>
        <v>NA</v>
      </c>
      <c r="H22" s="3874" t="str">
        <f t="shared" ref="H22:H25" si="3">IF(E22="NA","NA",E22/$G$34*100)</f>
        <v>NA</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t="s">
        <v>199</v>
      </c>
      <c r="D23" s="3849" t="str">
        <f>'Table2(I)'!F48</f>
        <v>NO</v>
      </c>
      <c r="E23" s="3849" t="str">
        <f t="shared" si="0"/>
        <v>NA</v>
      </c>
      <c r="F23" s="4018" t="str">
        <f t="shared" si="1"/>
        <v>NA</v>
      </c>
      <c r="G23" s="3873" t="str">
        <f t="shared" si="2"/>
        <v>NA</v>
      </c>
      <c r="H23" s="3874" t="str">
        <f t="shared" si="3"/>
        <v>NA</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t="s">
        <v>199</v>
      </c>
      <c r="D24" s="3849" t="str">
        <f>'Table2(I)'!F49</f>
        <v>NO</v>
      </c>
      <c r="E24" s="3849" t="str">
        <f t="shared" si="0"/>
        <v>NA</v>
      </c>
      <c r="F24" s="4018" t="str">
        <f t="shared" si="1"/>
        <v>NA</v>
      </c>
      <c r="G24" s="3873" t="str">
        <f t="shared" si="2"/>
        <v>NA</v>
      </c>
      <c r="H24" s="3874" t="str">
        <f t="shared" si="3"/>
        <v>NA</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t="s">
        <v>199</v>
      </c>
      <c r="D25" s="3849" t="str">
        <f>'Table2(I)'!F50</f>
        <v>NO</v>
      </c>
      <c r="E25" s="3849" t="str">
        <f t="shared" si="0"/>
        <v>NA</v>
      </c>
      <c r="F25" s="4018" t="str">
        <f t="shared" si="1"/>
        <v>NA</v>
      </c>
      <c r="G25" s="3873" t="str">
        <f t="shared" si="2"/>
        <v>NA</v>
      </c>
      <c r="H25" s="3874" t="str">
        <f t="shared" si="3"/>
        <v>NA</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232.83956519473981</v>
      </c>
      <c r="V27" s="3849">
        <f>IFERROR('Table2(I)'!I53*23500,'Table2(I)'!I53)</f>
        <v>232.83956519473986</v>
      </c>
      <c r="W27" s="3849">
        <f>IF(V27="NO",IF(U27="NO","NA",-U27),IF(U27="NO",V27,V27-U27))</f>
        <v>5.6843418860808015E-14</v>
      </c>
      <c r="X27" s="4018">
        <f>IF(W27="NA","NA",W27/U27*100)</f>
        <v>2.4413127044480577E-14</v>
      </c>
      <c r="Y27" s="3873">
        <f>IF(W27="NA","NA",W27/$G$35*100)</f>
        <v>1.3001045757751753E-17</v>
      </c>
      <c r="Z27" s="3874">
        <f>IF(W27="NA","NA",W27/$G$34*100)</f>
        <v>9.5536433306053888E-18</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13.850741795382335</v>
      </c>
      <c r="V28" s="3849">
        <f>IFERROR('Table2(I)'!I54*23500,'Table2(I)'!I54)</f>
        <v>13.850741795382298</v>
      </c>
      <c r="W28" s="3849">
        <f>IF(V28="NO",IF(U28="NO","NA",-U28),IF(U28="NO",V28,V28-U28))</f>
        <v>-3.730349362740526E-14</v>
      </c>
      <c r="X28" s="4018">
        <f>IF(W28="NA","NA",W28/U28*100)</f>
        <v>-2.693248793349233E-13</v>
      </c>
      <c r="Y28" s="3873">
        <f>IF(W28="NA","NA",W28/$G$35*100)</f>
        <v>-8.5319362785245875E-18</v>
      </c>
      <c r="Z28" s="3874">
        <f>IF(W28="NA","NA",W28/$G$34*100)</f>
        <v>-6.2695784357097867E-18</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621497.02421226015</v>
      </c>
      <c r="F34" s="4548"/>
      <c r="G34" s="4547">
        <f>SUM(Table8s1!D10,Table8s1!J10,Table8s1!P10,D10,J10,P10,V10,AB10)</f>
        <v>594992.05584437493</v>
      </c>
      <c r="H34" s="4548"/>
      <c r="I34" s="3841">
        <f>G34-E34</f>
        <v>-26504.968367885216</v>
      </c>
      <c r="J34" s="4047">
        <f>IF(I34="NA","NA",I34/E34*100)</f>
        <v>-4.2646975504798172</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438049.29034597689</v>
      </c>
      <c r="F35" s="4550"/>
      <c r="G35" s="4551">
        <f>G34-SUM(Table8s1!D41,Table8s1!J41,Table8s1!P41)</f>
        <v>437221.89676100214</v>
      </c>
      <c r="H35" s="4552"/>
      <c r="I35" s="3857">
        <f>G35-E35</f>
        <v>-827.39358497475041</v>
      </c>
      <c r="J35" s="4048">
        <f>IF(I35="NA","NA",I35/E35*100)</f>
        <v>-0.18888138919738107</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E28" activePane="bottomRight" state="frozen"/>
      <selection pane="topRight" activeCell="E1" sqref="E1"/>
      <selection pane="bottomLeft" activeCell="A11" sqref="A11"/>
      <selection pane="bottomRight" activeCell="AK42" sqref="AK42"/>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874404.15382312133</v>
      </c>
      <c r="D10" s="1938" t="s">
        <v>97</v>
      </c>
      <c r="E10" s="615"/>
      <c r="F10" s="615"/>
      <c r="G10" s="615"/>
      <c r="H10" s="1851">
        <f>IF(SUM(H11:H14)=0,"NO",SUM(H11:H14))</f>
        <v>59194.713824602695</v>
      </c>
      <c r="I10" s="1851">
        <f>IF(SUM(I11:I15)=0,"NO",SUM(I11:I15))</f>
        <v>26.299583078796019</v>
      </c>
      <c r="J10" s="2217">
        <f>IF(SUM(J11:J15)=0,"NO",SUM(J11:J15))</f>
        <v>3.2846479580695078</v>
      </c>
    </row>
    <row r="11" spans="2:11" ht="18" customHeight="1" x14ac:dyDescent="0.2">
      <c r="B11" s="282" t="s">
        <v>243</v>
      </c>
      <c r="C11" s="1938">
        <f>IF(SUM(C17:C18,C21:C24,C82,C89:C92,C100)=0,"NO",SUM(C17:C18,C21:C24,C82,C89:C92,C100))</f>
        <v>862164.28347417305</v>
      </c>
      <c r="D11" s="1934" t="s">
        <v>97</v>
      </c>
      <c r="E11" s="1938">
        <f>IFERROR(H11*1000/$C11,"NA")</f>
        <v>67.983373610124374</v>
      </c>
      <c r="F11" s="1938">
        <f t="shared" ref="F11:G15" si="0">IFERROR(I11*1000000/$C11,"NA")</f>
        <v>30.263755008403837</v>
      </c>
      <c r="G11" s="1938">
        <f t="shared" si="0"/>
        <v>3.8045393678938773</v>
      </c>
      <c r="H11" s="1938">
        <f>IF(SUM(H17:H18,H21:H24,H82,H89:H92,H100)=0,"NO",SUM(H17:H18,H21:H24,H82,H89:H92,H100))</f>
        <v>58612.836596729881</v>
      </c>
      <c r="I11" s="1938">
        <f>IF(SUM(I17:I18,I21:I24,I82,I89:I92,I100)=0,"NO",SUM(I17:I18,I21:I24,I82,I89:I92,I100))</f>
        <v>26.092328652058413</v>
      </c>
      <c r="J11" s="3064">
        <f>IF(SUM(J17:J18,J21:J24,J82,J89:J92,J100)=0,"NO",SUM(J17:J18,J21:J24,J82,J89:J92,J100))</f>
        <v>3.280137958069508</v>
      </c>
    </row>
    <row r="12" spans="2:11" ht="18" customHeight="1" x14ac:dyDescent="0.2">
      <c r="B12" s="282" t="s">
        <v>245</v>
      </c>
      <c r="C12" s="1938">
        <f>IF(SUM(C83,C101,C97)=0,"NO",SUM(C83,C101,C97))</f>
        <v>3730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4760</v>
      </c>
      <c r="D13" s="1934" t="s">
        <v>97</v>
      </c>
      <c r="E13" s="1938">
        <f t="shared" si="1"/>
        <v>51.411918339264993</v>
      </c>
      <c r="F13" s="1938">
        <f t="shared" si="0"/>
        <v>18.465215701177424</v>
      </c>
      <c r="G13" s="1938">
        <f t="shared" si="0"/>
        <v>0.16386554621848742</v>
      </c>
      <c r="H13" s="1938">
        <f>IF(SUM(H26,H84,H94,H102)=0,"NO",SUM(H26,H84,H94,H102))</f>
        <v>244.72073129490138</v>
      </c>
      <c r="I13" s="1938">
        <f>IF(SUM(I26,I84,I94,I102)=0,"NO",SUM(I26,I84,I94,I102))</f>
        <v>8.7894426737604531E-2</v>
      </c>
      <c r="J13" s="3064">
        <f>IF(SUM(J26,J84,J94,J102)=0,"NO",SUM(J26,J84,J94,J102))</f>
        <v>7.8000000000000009E-4</v>
      </c>
    </row>
    <row r="14" spans="2:11" ht="18" customHeight="1" x14ac:dyDescent="0.2">
      <c r="B14" s="282" t="s">
        <v>290</v>
      </c>
      <c r="C14" s="1938">
        <f>IF(SUM(C28,C86,C96,C103)=0,"NO",SUM(C28,C86,C96,C103))</f>
        <v>3749.8703489482987</v>
      </c>
      <c r="D14" s="1934" t="s">
        <v>97</v>
      </c>
      <c r="E14" s="1938">
        <f t="shared" si="1"/>
        <v>89.911507653183364</v>
      </c>
      <c r="F14" s="1938">
        <f t="shared" si="0"/>
        <v>31.830433826459128</v>
      </c>
      <c r="G14" s="1938">
        <f t="shared" si="0"/>
        <v>0.99470105707684775</v>
      </c>
      <c r="H14" s="1938">
        <f>IF(SUM(H28,H86,H96,H103)=0,"NO",SUM(H28,H86,H96,H103))</f>
        <v>337.15649657791033</v>
      </c>
      <c r="I14" s="1938">
        <f>IF(SUM(I28,I86,I96,I103)=0,"NO",SUM(I28,I86,I96,I103))</f>
        <v>0.11936000000000001</v>
      </c>
      <c r="J14" s="3064">
        <f>IF(SUM(J28,J86,J96,J103)=0,"NO",SUM(J28,J86,J96,J103))</f>
        <v>3.7300000000000002E-3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4" t="str">
        <f>IF(SUM(J19,J27,J85,J95,J104)=0,"NO",SUM(J19,J27,J85,J95,J104))</f>
        <v>NO</v>
      </c>
    </row>
    <row r="16" spans="2:11" ht="18" customHeight="1" x14ac:dyDescent="0.2">
      <c r="B16" s="1240" t="s">
        <v>291</v>
      </c>
      <c r="C16" s="1938">
        <f>IF(SUM(C17:C19)=0,"NO",SUM(C17:C19))</f>
        <v>46763.277799380987</v>
      </c>
      <c r="D16" s="1934" t="s">
        <v>97</v>
      </c>
      <c r="E16" s="615"/>
      <c r="F16" s="615"/>
      <c r="G16" s="615"/>
      <c r="H16" s="1938">
        <f>IF(SUM(H17:H18)=0,"NO",SUM(H17:H18))</f>
        <v>3245.8447855142881</v>
      </c>
      <c r="I16" s="1938">
        <f>IF(SUM(I17:I19)=0,"NO",SUM(I17:I19))</f>
        <v>2.4563887590651694E-2</v>
      </c>
      <c r="J16" s="3064">
        <f>IF(SUM(J17:J19)=0,"NO",SUM(J17:J19))</f>
        <v>3.4162472217304299E-2</v>
      </c>
    </row>
    <row r="17" spans="2:10" ht="18" customHeight="1" x14ac:dyDescent="0.2">
      <c r="B17" s="282" t="s">
        <v>292</v>
      </c>
      <c r="C17" s="699">
        <v>3415.1343548571158</v>
      </c>
      <c r="D17" s="1934" t="s">
        <v>97</v>
      </c>
      <c r="E17" s="1938">
        <f t="shared" ref="E17:E19" si="2">IFERROR(H17*1000/$C17,"NA")</f>
        <v>66.999999999999986</v>
      </c>
      <c r="F17" s="1938">
        <f t="shared" ref="F17:G19" si="3">IFERROR(I17*1000000/$C17,"NA")</f>
        <v>0.49999999999999994</v>
      </c>
      <c r="G17" s="1938">
        <f t="shared" si="3"/>
        <v>2.0000000000000004</v>
      </c>
      <c r="H17" s="699">
        <v>228.81400177542673</v>
      </c>
      <c r="I17" s="699">
        <v>1.7075671774285576E-3</v>
      </c>
      <c r="J17" s="2921">
        <v>6.8302687097142323E-3</v>
      </c>
    </row>
    <row r="18" spans="2:10" ht="18" customHeight="1" x14ac:dyDescent="0.2">
      <c r="B18" s="282" t="s">
        <v>293</v>
      </c>
      <c r="C18" s="699">
        <v>43348.14344452387</v>
      </c>
      <c r="D18" s="1934" t="s">
        <v>97</v>
      </c>
      <c r="E18" s="1938">
        <f t="shared" si="2"/>
        <v>69.599999999999994</v>
      </c>
      <c r="F18" s="1938">
        <f t="shared" si="3"/>
        <v>0.52727334084040345</v>
      </c>
      <c r="G18" s="1938">
        <f t="shared" si="3"/>
        <v>0.63052766129579008</v>
      </c>
      <c r="H18" s="699">
        <v>3017.0307837388614</v>
      </c>
      <c r="I18" s="699">
        <v>2.2856320413223136E-2</v>
      </c>
      <c r="J18" s="2921">
        <v>2.7332203507590067E-2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763527.04537310766</v>
      </c>
      <c r="D20" s="1934" t="s">
        <v>97</v>
      </c>
      <c r="E20" s="615"/>
      <c r="F20" s="615"/>
      <c r="G20" s="615"/>
      <c r="H20" s="1938">
        <f>IF(SUM(H21:H24,H26,H28)=0,"NO",SUM(H21:H24,H26,H28))</f>
        <v>51703.655051459158</v>
      </c>
      <c r="I20" s="1938">
        <f>IF(SUM(I21:I24,I26:I28)=0,"NO",SUM(I21:I24,I26:I28))</f>
        <v>22.459105494263305</v>
      </c>
      <c r="J20" s="3064">
        <f>IF(SUM(J21:J24,J26:J28)=0,"NO",SUM(J21:J24,J26:J28))</f>
        <v>2.4589283739782752</v>
      </c>
    </row>
    <row r="21" spans="2:10" ht="18" customHeight="1" x14ac:dyDescent="0.2">
      <c r="B21" s="282" t="s">
        <v>281</v>
      </c>
      <c r="C21" s="1938">
        <f>IF(SUM(C31,C41,C51,C61,C72)=0,"NO",SUM(C31,C41,C51,C61,C72))</f>
        <v>539959.37870958378</v>
      </c>
      <c r="D21" s="1934" t="s">
        <v>97</v>
      </c>
      <c r="E21" s="1938">
        <f t="shared" ref="E21:E23" si="4">IFERROR(H21*1000/$C21,"NA")</f>
        <v>67.400000000000006</v>
      </c>
      <c r="F21" s="1938">
        <f t="shared" ref="F21:G23" si="5">IFERROR(I21*1000000/$C21,"NA")</f>
        <v>35.209922796087987</v>
      </c>
      <c r="G21" s="1938">
        <f t="shared" si="5"/>
        <v>3.95079014329959</v>
      </c>
      <c r="H21" s="1938">
        <f t="shared" ref="H21:J23" si="6">IF(SUM(H31,H41,H51,H61,H72)=0,"NO",SUM(H31,H41,H51,H61,H72))</f>
        <v>36393.262125025947</v>
      </c>
      <c r="I21" s="1938">
        <f t="shared" si="6"/>
        <v>19.011928037388078</v>
      </c>
      <c r="J21" s="3064">
        <f t="shared" si="6"/>
        <v>2.1332661911879942</v>
      </c>
    </row>
    <row r="22" spans="2:10" ht="18" customHeight="1" x14ac:dyDescent="0.2">
      <c r="B22" s="282" t="s">
        <v>282</v>
      </c>
      <c r="C22" s="1938">
        <f>IF(SUM(C32,C42,C52,C62,C73)=0,"NO",SUM(C32,C42,C52,C62,C73))</f>
        <v>191154.22091602991</v>
      </c>
      <c r="D22" s="1934" t="s">
        <v>97</v>
      </c>
      <c r="E22" s="1938">
        <f t="shared" si="4"/>
        <v>69.900000000000006</v>
      </c>
      <c r="F22" s="1938">
        <f t="shared" si="5"/>
        <v>10.428919754189989</v>
      </c>
      <c r="G22" s="1938">
        <f t="shared" si="5"/>
        <v>1.5972999259128398</v>
      </c>
      <c r="H22" s="1938">
        <f t="shared" si="6"/>
        <v>13361.680042030493</v>
      </c>
      <c r="I22" s="1938">
        <f t="shared" si="6"/>
        <v>1.9935320306079816</v>
      </c>
      <c r="J22" s="3064">
        <f t="shared" si="6"/>
        <v>0.30533062290710117</v>
      </c>
    </row>
    <row r="23" spans="2:10" ht="18" customHeight="1" x14ac:dyDescent="0.2">
      <c r="B23" s="282" t="s">
        <v>283</v>
      </c>
      <c r="C23" s="1938">
        <f>IF(SUM(C33,C43,C53,C63,C74)=0,"NO",SUM(C33,C43,C53,C63,C74))</f>
        <v>32108.875144303285</v>
      </c>
      <c r="D23" s="1934" t="s">
        <v>97</v>
      </c>
      <c r="E23" s="1938">
        <f t="shared" si="4"/>
        <v>60.2</v>
      </c>
      <c r="F23" s="1938">
        <f t="shared" si="5"/>
        <v>43.912715352688778</v>
      </c>
      <c r="G23" s="1938">
        <f t="shared" si="5"/>
        <v>0.62386364496277369</v>
      </c>
      <c r="H23" s="1938">
        <f t="shared" si="6"/>
        <v>1932.9542836870578</v>
      </c>
      <c r="I23" s="1938">
        <f t="shared" si="6"/>
        <v>1.4099878945068141</v>
      </c>
      <c r="J23" s="3064">
        <f t="shared" si="6"/>
        <v>2.0031559883179652E-2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300</v>
      </c>
      <c r="D26" s="1934" t="s">
        <v>97</v>
      </c>
      <c r="E26" s="1938">
        <f t="shared" si="7"/>
        <v>51.411918339265</v>
      </c>
      <c r="F26" s="1938">
        <f t="shared" si="8"/>
        <v>145.52510586811857</v>
      </c>
      <c r="G26" s="1938">
        <f t="shared" si="8"/>
        <v>1</v>
      </c>
      <c r="H26" s="1938">
        <f t="shared" ref="H26:J29" si="10">IF(SUM(H36,H46,H56,H66,H77)=0,"NO",SUM(H36,H46,H56,H66,H77))</f>
        <v>15.423575501779499</v>
      </c>
      <c r="I26" s="1938">
        <f t="shared" si="10"/>
        <v>4.3657531760435575E-2</v>
      </c>
      <c r="J26" s="3064">
        <f t="shared" si="10"/>
        <v>3.0000000000000003E-4</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4" t="str">
        <f t="shared" si="10"/>
        <v>NO</v>
      </c>
    </row>
    <row r="28" spans="2:10" ht="18" customHeight="1" x14ac:dyDescent="0.2">
      <c r="B28" s="282" t="s">
        <v>290</v>
      </c>
      <c r="C28" s="1938">
        <f>C29</f>
        <v>4.5706031907313296</v>
      </c>
      <c r="D28" s="1934" t="s">
        <v>97</v>
      </c>
      <c r="E28" s="615"/>
      <c r="F28" s="615"/>
      <c r="G28" s="615"/>
      <c r="H28" s="1938">
        <f>H29</f>
        <v>0.33502521388060647</v>
      </c>
      <c r="I28" s="1938" t="str">
        <f>I29</f>
        <v>NE</v>
      </c>
      <c r="J28" s="3064" t="str">
        <f>J29</f>
        <v>NE</v>
      </c>
    </row>
    <row r="29" spans="2:10" ht="18" customHeight="1" x14ac:dyDescent="0.2">
      <c r="B29" s="3083" t="s">
        <v>297</v>
      </c>
      <c r="C29" s="1938">
        <f t="shared" si="9"/>
        <v>4.5706031907313296</v>
      </c>
      <c r="D29" s="1934" t="s">
        <v>97</v>
      </c>
      <c r="E29" s="3081">
        <f t="shared" ref="E29" si="11">IFERROR(H29*1000/$C29,"NA")</f>
        <v>73.300000000000011</v>
      </c>
      <c r="F29" s="3081" t="str">
        <f>IFERROR(I29*1000000/$C29,"NA")</f>
        <v>NA</v>
      </c>
      <c r="G29" s="3081" t="str">
        <f>IFERROR(J29*1000000/$C29,"NA")</f>
        <v>NA</v>
      </c>
      <c r="H29" s="1938">
        <f t="shared" si="10"/>
        <v>0.33502521388060647</v>
      </c>
      <c r="I29" s="1938" t="str">
        <f>IF(SUM(I39,I49,I59,I69,I80)=0,"NE",SUM(I39,I49,I59,I69,I80))</f>
        <v>NE</v>
      </c>
      <c r="J29" s="3064" t="str">
        <f>IF(SUM(J39,J49,J59,J69,J80)=0,"NE",SUM(J39,J49,J59,J69,J80))</f>
        <v>NE</v>
      </c>
    </row>
    <row r="30" spans="2:10" ht="18" customHeight="1" x14ac:dyDescent="0.2">
      <c r="B30" s="1241" t="s">
        <v>298</v>
      </c>
      <c r="C30" s="1938">
        <f>IF(SUM(C31:C34,C36:C38)=0,"NO",SUM(C31:C34,C36:C38))</f>
        <v>496458.03967934864</v>
      </c>
      <c r="D30" s="1934" t="s">
        <v>97</v>
      </c>
      <c r="E30" s="615"/>
      <c r="F30" s="615"/>
      <c r="G30" s="615"/>
      <c r="H30" s="1938">
        <f>IF(SUM(H31:H34,H36,H38)=0,"NO",SUM(H31:H34,H36,H38))</f>
        <v>33325.722342743917</v>
      </c>
      <c r="I30" s="1938">
        <f>IF(SUM(I31:I34,I36:I38)=0,"NO",SUM(I31:I34,I36:I38))</f>
        <v>17.840635251675142</v>
      </c>
      <c r="J30" s="3064">
        <f>IF(SUM(J31:J34,J36:J38)=0,"NO",SUM(J31:J34,J36:J38))</f>
        <v>2.077595305324083</v>
      </c>
    </row>
    <row r="31" spans="2:10" ht="18" customHeight="1" x14ac:dyDescent="0.2">
      <c r="B31" s="282" t="s">
        <v>281</v>
      </c>
      <c r="C31" s="699">
        <v>461207.33120597631</v>
      </c>
      <c r="D31" s="1934" t="s">
        <v>97</v>
      </c>
      <c r="E31" s="1938">
        <f t="shared" ref="E31:E33" si="12">IFERROR(H31*1000/$C31,"NA")</f>
        <v>67.400000000000006</v>
      </c>
      <c r="F31" s="1938">
        <f t="shared" ref="F31:G33" si="13">IFERROR(I31*1000000/$C31,"NA")</f>
        <v>36.272125096683652</v>
      </c>
      <c r="G31" s="1938">
        <f t="shared" si="13"/>
        <v>4.4686249497083592</v>
      </c>
      <c r="H31" s="699">
        <v>31085.374123282811</v>
      </c>
      <c r="I31" s="699">
        <v>16.728970013010784</v>
      </c>
      <c r="J31" s="2921">
        <v>2.0609625872154327</v>
      </c>
    </row>
    <row r="32" spans="2:10" ht="18" customHeight="1" x14ac:dyDescent="0.2">
      <c r="B32" s="282" t="s">
        <v>282</v>
      </c>
      <c r="C32" s="699">
        <v>12266.931815819356</v>
      </c>
      <c r="D32" s="1934" t="s">
        <v>97</v>
      </c>
      <c r="E32" s="1938">
        <f t="shared" si="12"/>
        <v>69.899999999999991</v>
      </c>
      <c r="F32" s="1938">
        <f t="shared" si="13"/>
        <v>5.1474272876257281</v>
      </c>
      <c r="G32" s="1938">
        <f t="shared" si="13"/>
        <v>0.17530332741466517</v>
      </c>
      <c r="H32" s="699">
        <v>857.45853392577283</v>
      </c>
      <c r="I32" s="699">
        <v>6.3143139564192777E-2</v>
      </c>
      <c r="J32" s="2921">
        <v>2.1504339644819537E-3</v>
      </c>
    </row>
    <row r="33" spans="2:10" ht="18" customHeight="1" x14ac:dyDescent="0.2">
      <c r="B33" s="282" t="s">
        <v>283</v>
      </c>
      <c r="C33" s="699">
        <v>22900.292084050267</v>
      </c>
      <c r="D33" s="1934" t="s">
        <v>97</v>
      </c>
      <c r="E33" s="1938">
        <f t="shared" si="12"/>
        <v>60.2</v>
      </c>
      <c r="F33" s="1938">
        <f t="shared" si="13"/>
        <v>44.834913967366248</v>
      </c>
      <c r="G33" s="1938">
        <f t="shared" si="13"/>
        <v>0.62876052051293163</v>
      </c>
      <c r="H33" s="699">
        <v>1378.5975834598262</v>
      </c>
      <c r="I33" s="699">
        <v>1.0267326254159521</v>
      </c>
      <c r="J33" s="2921">
        <v>1.4398799570665612E-2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83.484573502722313</v>
      </c>
      <c r="D36" s="1934" t="s">
        <v>97</v>
      </c>
      <c r="E36" s="1938">
        <f t="shared" si="14"/>
        <v>51.411918339264993</v>
      </c>
      <c r="F36" s="1938">
        <f t="shared" si="15"/>
        <v>261.00000000000006</v>
      </c>
      <c r="G36" s="1938">
        <f t="shared" si="15"/>
        <v>1</v>
      </c>
      <c r="H36" s="699">
        <v>4.2921020755103259</v>
      </c>
      <c r="I36" s="699">
        <v>2.1789473684210525E-2</v>
      </c>
      <c r="J36" s="2921">
        <v>8.3484573502722311E-5</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1" t="s">
        <v>199</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107661.51393394076</v>
      </c>
      <c r="D40" s="1934" t="s">
        <v>97</v>
      </c>
      <c r="E40" s="615"/>
      <c r="F40" s="615"/>
      <c r="G40" s="615"/>
      <c r="H40" s="1938">
        <f>IF(SUM(H41:H44,H46,H48)=0,"NO",SUM(H41:H44,H46,H48))</f>
        <v>7261.6125140834729</v>
      </c>
      <c r="I40" s="1938">
        <f>IF(SUM(I41:I44,I46:I48)=0,"NO",SUM(I41:I44,I46:I48))</f>
        <v>3.3041126430160035</v>
      </c>
      <c r="J40" s="3064">
        <f>IF(SUM(J41:J44,J46:J48)=0,"NO",SUM(J41:J44,J46:J48))</f>
        <v>7.6275768144366415E-2</v>
      </c>
    </row>
    <row r="41" spans="2:10" ht="18" customHeight="1" x14ac:dyDescent="0.2">
      <c r="B41" s="282" t="s">
        <v>281</v>
      </c>
      <c r="C41" s="699">
        <v>72595.195733228189</v>
      </c>
      <c r="D41" s="1934" t="s">
        <v>97</v>
      </c>
      <c r="E41" s="1938">
        <f t="shared" ref="E41:E43" si="17">IFERROR(H41*1000/$C41,"NA")</f>
        <v>67.399999999999991</v>
      </c>
      <c r="F41" s="1938">
        <f t="shared" ref="F41:G43" si="18">IFERROR(I41*1000000/$C41,"NA")</f>
        <v>27.782255888514506</v>
      </c>
      <c r="G41" s="1938">
        <f t="shared" si="18"/>
        <v>0.92332505465641279</v>
      </c>
      <c r="H41" s="699">
        <v>4892.9161924195796</v>
      </c>
      <c r="I41" s="699">
        <v>2.016858304137342</v>
      </c>
      <c r="J41" s="2921">
        <v>6.7028963068175906E-2</v>
      </c>
    </row>
    <row r="42" spans="2:10" ht="18" customHeight="1" x14ac:dyDescent="0.2">
      <c r="B42" s="282" t="s">
        <v>282</v>
      </c>
      <c r="C42" s="699">
        <v>26567.419173298604</v>
      </c>
      <c r="D42" s="1934" t="s">
        <v>97</v>
      </c>
      <c r="E42" s="1938">
        <f t="shared" si="17"/>
        <v>69.900000000000006</v>
      </c>
      <c r="F42" s="1938">
        <f t="shared" si="18"/>
        <v>34.518444677102529</v>
      </c>
      <c r="G42" s="1938">
        <f t="shared" si="18"/>
        <v>0.19292688927579077</v>
      </c>
      <c r="H42" s="699">
        <v>1857.0626002135723</v>
      </c>
      <c r="I42" s="699">
        <v>0.91706598894690083</v>
      </c>
      <c r="J42" s="2921">
        <v>5.1255695371905004E-3</v>
      </c>
    </row>
    <row r="43" spans="2:10" ht="18" customHeight="1" x14ac:dyDescent="0.2">
      <c r="B43" s="282" t="s">
        <v>283</v>
      </c>
      <c r="C43" s="699">
        <v>8498.8990274139669</v>
      </c>
      <c r="D43" s="1934" t="s">
        <v>97</v>
      </c>
      <c r="E43" s="1938">
        <f t="shared" si="17"/>
        <v>60.200000000000017</v>
      </c>
      <c r="F43" s="1938">
        <f t="shared" si="18"/>
        <v>43.557212379825259</v>
      </c>
      <c r="G43" s="1938">
        <f t="shared" si="18"/>
        <v>0.48491404894994</v>
      </c>
      <c r="H43" s="699">
        <v>511.63372145032099</v>
      </c>
      <c r="I43" s="699">
        <v>0.37018834993176053</v>
      </c>
      <c r="J43" s="2921">
        <v>4.1212355390000139E-3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t="s">
        <v>199</v>
      </c>
      <c r="D46" s="1934" t="s">
        <v>97</v>
      </c>
      <c r="E46" s="1938" t="str">
        <f t="shared" si="19"/>
        <v>NA</v>
      </c>
      <c r="F46" s="1938" t="str">
        <f t="shared" si="20"/>
        <v>NA</v>
      </c>
      <c r="G46" s="1938" t="str">
        <f t="shared" si="20"/>
        <v>NA</v>
      </c>
      <c r="H46" s="699" t="s">
        <v>199</v>
      </c>
      <c r="I46" s="699" t="s">
        <v>199</v>
      </c>
      <c r="J46" s="2921" t="s">
        <v>199</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1" t="s">
        <v>199</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156515.80987447227</v>
      </c>
      <c r="D50" s="1934" t="s">
        <v>97</v>
      </c>
      <c r="E50" s="615"/>
      <c r="F50" s="615"/>
      <c r="G50" s="615"/>
      <c r="H50" s="1938">
        <f>IF(SUM(H51:H54,H56,H58)=0,"NO",SUM(H51:H54,H56,H58))</f>
        <v>10921.393869000625</v>
      </c>
      <c r="I50" s="1938">
        <f>IF(SUM(I51:I54,I56:I58)=0,"NO",SUM(I51:I54,I56:I58))</f>
        <v>1.0997343998877178</v>
      </c>
      <c r="J50" s="3064">
        <f>IF(SUM(J51:J54,J56:J58)=0,"NO",SUM(J51:J54,J56:J58))</f>
        <v>0.30219565784736591</v>
      </c>
    </row>
    <row r="51" spans="2:10" ht="18" customHeight="1" x14ac:dyDescent="0.2">
      <c r="B51" s="282" t="s">
        <v>281</v>
      </c>
      <c r="C51" s="699">
        <v>3269.7404882239816</v>
      </c>
      <c r="D51" s="1934" t="s">
        <v>97</v>
      </c>
      <c r="E51" s="1938">
        <f t="shared" ref="E51:E53" si="22">IFERROR(H51*1000/$C51,"NA")</f>
        <v>67.40000000000002</v>
      </c>
      <c r="F51" s="1938">
        <f t="shared" ref="F51:G53" si="23">IFERROR(I51*1000000/$C51,"NA")</f>
        <v>15.743304626436545</v>
      </c>
      <c r="G51" s="1938">
        <f t="shared" si="23"/>
        <v>0.73797851866727304</v>
      </c>
      <c r="H51" s="699">
        <v>220.38050890629643</v>
      </c>
      <c r="I51" s="699">
        <v>5.1476520555503502E-2</v>
      </c>
      <c r="J51" s="2921">
        <v>2.4129982419259398E-3</v>
      </c>
    </row>
    <row r="52" spans="2:10" ht="18" customHeight="1" x14ac:dyDescent="0.2">
      <c r="B52" s="282" t="s">
        <v>282</v>
      </c>
      <c r="C52" s="699">
        <v>152319.86992691195</v>
      </c>
      <c r="D52" s="1934" t="s">
        <v>97</v>
      </c>
      <c r="E52" s="1938">
        <f t="shared" si="22"/>
        <v>69.90000000000002</v>
      </c>
      <c r="F52" s="1938">
        <f t="shared" si="23"/>
        <v>6.6525982630047764</v>
      </c>
      <c r="G52" s="1938">
        <f t="shared" si="23"/>
        <v>1.9567678172811271</v>
      </c>
      <c r="H52" s="699">
        <v>10647.158907891149</v>
      </c>
      <c r="I52" s="699">
        <v>1.0133229020968879</v>
      </c>
      <c r="J52" s="2921">
        <v>0.29805461940542871</v>
      </c>
    </row>
    <row r="53" spans="2:10" ht="18" customHeight="1" x14ac:dyDescent="0.2">
      <c r="B53" s="282" t="s">
        <v>283</v>
      </c>
      <c r="C53" s="699">
        <v>709.68403283904843</v>
      </c>
      <c r="D53" s="1934" t="s">
        <v>97</v>
      </c>
      <c r="E53" s="1938">
        <f t="shared" si="22"/>
        <v>60.199999999999996</v>
      </c>
      <c r="F53" s="1938">
        <f t="shared" si="23"/>
        <v>18.412305412632985</v>
      </c>
      <c r="G53" s="1938">
        <f t="shared" si="23"/>
        <v>2.1298559690955163</v>
      </c>
      <c r="H53" s="699">
        <v>42.722978776910715</v>
      </c>
      <c r="I53" s="699">
        <v>1.3066919159101617E-2</v>
      </c>
      <c r="J53" s="2921">
        <v>1.5115247735140256E-3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216.5154264972777</v>
      </c>
      <c r="D56" s="1934" t="s">
        <v>97</v>
      </c>
      <c r="E56" s="1938">
        <f t="shared" si="24"/>
        <v>51.411918339265</v>
      </c>
      <c r="F56" s="1938">
        <f t="shared" si="25"/>
        <v>101.00000000000001</v>
      </c>
      <c r="G56" s="1938">
        <f t="shared" si="25"/>
        <v>1.0000000000000002</v>
      </c>
      <c r="H56" s="699">
        <v>11.131473426269174</v>
      </c>
      <c r="I56" s="699">
        <v>2.186805807622505E-2</v>
      </c>
      <c r="J56" s="2921">
        <v>2.1651542649727773E-4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2891.6818853459486</v>
      </c>
      <c r="D60" s="1934" t="s">
        <v>97</v>
      </c>
      <c r="E60" s="615"/>
      <c r="F60" s="615"/>
      <c r="G60" s="615"/>
      <c r="H60" s="1938">
        <f>IF(SUM(H61:H64,H66,H68)=0,"NO",SUM(H61:H64,H66,H68))</f>
        <v>194.92632563114228</v>
      </c>
      <c r="I60" s="1938">
        <f>IF(SUM(I61:I64,I66:I68)=0,"NO",SUM(I61:I64,I66:I68))</f>
        <v>0.21462319968444973</v>
      </c>
      <c r="J60" s="3064">
        <f>IF(SUM(J61:J64,J66:J68)=0,"NO",SUM(J61:J64,J66:J68))</f>
        <v>2.8616426624593298E-3</v>
      </c>
    </row>
    <row r="61" spans="2:10" ht="18" customHeight="1" x14ac:dyDescent="0.2">
      <c r="B61" s="282" t="s">
        <v>281</v>
      </c>
      <c r="C61" s="699">
        <v>2887.1112821552174</v>
      </c>
      <c r="D61" s="1934" t="s">
        <v>97</v>
      </c>
      <c r="E61" s="1938">
        <f t="shared" ref="E61:E63" si="27">IFERROR(H61*1000/$C61,"NA")</f>
        <v>67.400000000000006</v>
      </c>
      <c r="F61" s="1938">
        <f t="shared" ref="F61:G63" si="28">IFERROR(I61*1000000/$C61,"NA")</f>
        <v>74.338388343740718</v>
      </c>
      <c r="G61" s="1938">
        <f t="shared" si="28"/>
        <v>0.99117851124987622</v>
      </c>
      <c r="H61" s="699">
        <v>194.59130041726166</v>
      </c>
      <c r="I61" s="699">
        <v>0.21462319968444973</v>
      </c>
      <c r="J61" s="2921">
        <v>2.8616426624593298E-3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4.5706031907313296</v>
      </c>
      <c r="D68" s="1934" t="s">
        <v>97</v>
      </c>
      <c r="E68" s="615"/>
      <c r="F68" s="615"/>
      <c r="G68" s="615"/>
      <c r="H68" s="1938">
        <f>H69</f>
        <v>0.33502521388060647</v>
      </c>
      <c r="I68" s="1938" t="str">
        <f>I69</f>
        <v>NE</v>
      </c>
      <c r="J68" s="3064" t="str">
        <f>J69</f>
        <v>NE</v>
      </c>
    </row>
    <row r="69" spans="2:10" ht="18" customHeight="1" x14ac:dyDescent="0.2">
      <c r="B69" s="3083" t="s">
        <v>297</v>
      </c>
      <c r="C69" s="699">
        <v>4.5706031907313296</v>
      </c>
      <c r="D69" s="1934" t="s">
        <v>97</v>
      </c>
      <c r="E69" s="3081">
        <f t="shared" ref="E69" si="31">IFERROR(H69*1000/$C69,"NA")</f>
        <v>73.300000000000011</v>
      </c>
      <c r="F69" s="3081" t="str">
        <f>IFERROR(I69*1000000/$C69,"NA")</f>
        <v>NA</v>
      </c>
      <c r="G69" s="3081" t="str">
        <f>IFERROR(J69*1000000/$C69,"NA")</f>
        <v>NA</v>
      </c>
      <c r="H69" s="699">
        <v>0.33502521388060647</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24819.999999999996</v>
      </c>
      <c r="D81" s="1934" t="s">
        <v>97</v>
      </c>
      <c r="E81" s="615"/>
      <c r="F81" s="615"/>
      <c r="G81" s="615"/>
      <c r="H81" s="1938">
        <f>IF(SUM(H82:H84,H86)=0,"NO",SUM(H82:H84,H86))</f>
        <v>1734.548238366785</v>
      </c>
      <c r="I81" s="1938">
        <f>IF(SUM(I82:I86)=0,"NO",SUM(I82:I86))</f>
        <v>9.9199999999999983E-2</v>
      </c>
      <c r="J81" s="3064">
        <f>IF(SUM(J82:J86)=0,"NO",SUM(J82:J86))</f>
        <v>0.74399999999999988</v>
      </c>
    </row>
    <row r="82" spans="2:10" ht="18" customHeight="1" x14ac:dyDescent="0.2">
      <c r="B82" s="282" t="s">
        <v>243</v>
      </c>
      <c r="C82" s="699">
        <v>24799.999999999996</v>
      </c>
      <c r="D82" s="1934" t="s">
        <v>97</v>
      </c>
      <c r="E82" s="1938">
        <f t="shared" ref="E82:E85" si="37">IFERROR(H82*1000/$C82,"NA")</f>
        <v>69.900000000000006</v>
      </c>
      <c r="F82" s="1938">
        <f t="shared" ref="F82:G85" si="38">IFERROR(I82*1000000/$C82,"NA")</f>
        <v>4</v>
      </c>
      <c r="G82" s="1938">
        <f t="shared" si="38"/>
        <v>30</v>
      </c>
      <c r="H82" s="699">
        <v>1733.5199999999998</v>
      </c>
      <c r="I82" s="699">
        <v>9.9199999999999983E-2</v>
      </c>
      <c r="J82" s="2921">
        <v>0.74399999999999988</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v>20</v>
      </c>
      <c r="D84" s="1934" t="s">
        <v>97</v>
      </c>
      <c r="E84" s="1938">
        <f t="shared" si="37"/>
        <v>51.411918339265</v>
      </c>
      <c r="F84" s="1938" t="str">
        <f t="shared" si="38"/>
        <v>NA</v>
      </c>
      <c r="G84" s="1938" t="str">
        <f t="shared" si="38"/>
        <v>NA</v>
      </c>
      <c r="H84" s="699">
        <v>1.0282383667853001</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30588.822236484921</v>
      </c>
      <c r="D88" s="1934" t="s">
        <v>97</v>
      </c>
      <c r="E88" s="615"/>
      <c r="F88" s="615"/>
      <c r="G88" s="615"/>
      <c r="H88" s="1938">
        <f>IF(SUM(H89:H92,H94,H96)=0,"NO",SUM(H89:H92,H94,H96))</f>
        <v>2245.6168417796589</v>
      </c>
      <c r="I88" s="3299">
        <f>IF(SUM(I89:I92,I94:I96)=0,"NE",SUM(I89:I92,I94:I96))</f>
        <v>3.6541319717361089</v>
      </c>
      <c r="J88" s="3300">
        <f>IF(SUM(J89:J92,J94:J96)=0,"NE",SUM(J89:J92,J94:J96))</f>
        <v>4.7004852553014342E-2</v>
      </c>
    </row>
    <row r="89" spans="2:10" ht="18" customHeight="1" x14ac:dyDescent="0.2">
      <c r="B89" s="282" t="s">
        <v>306</v>
      </c>
      <c r="C89" s="699">
        <v>15366.157500000003</v>
      </c>
      <c r="D89" s="1934" t="s">
        <v>97</v>
      </c>
      <c r="E89" s="1938">
        <f t="shared" ref="E89:E91" si="40">IFERROR(H89*1000/$C89,"NA")</f>
        <v>73.600000000000009</v>
      </c>
      <c r="F89" s="1938">
        <f t="shared" ref="F89:G91" si="41">IFERROR(I89*1000000/$C89,"NA")</f>
        <v>7</v>
      </c>
      <c r="G89" s="1938">
        <f t="shared" si="41"/>
        <v>2</v>
      </c>
      <c r="H89" s="699">
        <v>1130.9491920000003</v>
      </c>
      <c r="I89" s="4435">
        <v>0.10756310250000002</v>
      </c>
      <c r="J89" s="4436">
        <v>3.0732315000000007E-2</v>
      </c>
    </row>
    <row r="90" spans="2:10" ht="18" customHeight="1" x14ac:dyDescent="0.2">
      <c r="B90" s="282" t="s">
        <v>307</v>
      </c>
      <c r="C90" s="699">
        <v>1996.8803934043237</v>
      </c>
      <c r="D90" s="1934" t="s">
        <v>97</v>
      </c>
      <c r="E90" s="1938">
        <f t="shared" si="40"/>
        <v>69.900000000000006</v>
      </c>
      <c r="F90" s="1938">
        <f t="shared" si="41"/>
        <v>7.0000000000000009</v>
      </c>
      <c r="G90" s="1938">
        <f t="shared" si="41"/>
        <v>2.0000000000000004</v>
      </c>
      <c r="H90" s="699">
        <v>139.58193949896224</v>
      </c>
      <c r="I90" s="4435">
        <v>1.3978162753830268E-2</v>
      </c>
      <c r="J90" s="4436">
        <v>3.9937607868086485E-3</v>
      </c>
    </row>
    <row r="91" spans="2:10" ht="18" customHeight="1" x14ac:dyDescent="0.2">
      <c r="B91" s="282" t="s">
        <v>281</v>
      </c>
      <c r="C91" s="699">
        <v>9454.1964068952202</v>
      </c>
      <c r="D91" s="1934" t="s">
        <v>97</v>
      </c>
      <c r="E91" s="1938">
        <f t="shared" si="40"/>
        <v>67.399999999999991</v>
      </c>
      <c r="F91" s="1938">
        <f t="shared" si="41"/>
        <v>359.99999999999994</v>
      </c>
      <c r="G91" s="1938">
        <f t="shared" si="41"/>
        <v>0.8999999999999998</v>
      </c>
      <c r="H91" s="699">
        <v>637.21283782473779</v>
      </c>
      <c r="I91" s="4435">
        <v>3.4035107064822787</v>
      </c>
      <c r="J91" s="4436">
        <v>8.5087767662056953E-3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40</v>
      </c>
      <c r="D94" s="1934" t="s">
        <v>97</v>
      </c>
      <c r="E94" s="1938">
        <f t="shared" ref="E94:E95" si="44">IFERROR(H94*1000/$C94,"NA")</f>
        <v>51.411918339265</v>
      </c>
      <c r="F94" s="1938">
        <f t="shared" si="43"/>
        <v>243</v>
      </c>
      <c r="G94" s="1938">
        <f t="shared" si="43"/>
        <v>1</v>
      </c>
      <c r="H94" s="699">
        <v>2.0564767335706002</v>
      </c>
      <c r="I94" s="3301">
        <v>9.7199999999999995E-3</v>
      </c>
      <c r="J94" s="3302">
        <v>4.0000000000000003E-5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1" t="s">
        <v>199</v>
      </c>
      <c r="J95" s="3302" t="s">
        <v>199</v>
      </c>
    </row>
    <row r="96" spans="2:10" ht="18" customHeight="1" x14ac:dyDescent="0.2">
      <c r="B96" s="282" t="s">
        <v>299</v>
      </c>
      <c r="C96" s="1938">
        <f>IF(SUM(C97:C98)=0,"NO",SUM(C97:C98))</f>
        <v>3731.5879361853736</v>
      </c>
      <c r="D96" s="1934" t="s">
        <v>97</v>
      </c>
      <c r="E96" s="615"/>
      <c r="F96" s="615"/>
      <c r="G96" s="615"/>
      <c r="H96" s="1938">
        <f>IF(SUM(H97:H98)=0,"NO",SUM(H97:H98))</f>
        <v>335.81639572238788</v>
      </c>
      <c r="I96" s="3299">
        <f>IF(SUM(I97:I98)=0,"NE",SUM(I97:I98))</f>
        <v>0.11936000000000001</v>
      </c>
      <c r="J96" s="3300">
        <f>IF(SUM(J97:J98)=0,"NE",SUM(J97:J98))</f>
        <v>3.7300000000000002E-3</v>
      </c>
    </row>
    <row r="97" spans="2:10" ht="18" customHeight="1" x14ac:dyDescent="0.2">
      <c r="B97" s="2592" t="s">
        <v>309</v>
      </c>
      <c r="C97" s="699">
        <v>3730</v>
      </c>
      <c r="D97" s="1934" t="s">
        <v>97</v>
      </c>
      <c r="E97" s="3081">
        <f t="shared" ref="E97" si="45">IFERROR(H97*1000/$C97,"NA")</f>
        <v>90</v>
      </c>
      <c r="F97" s="3081">
        <f>IFERROR(I97*1000000/$C97,"NA")</f>
        <v>32.000000000000007</v>
      </c>
      <c r="G97" s="3081">
        <f>IFERROR(J97*1000000/$C97,"NA")</f>
        <v>1.0000000000000002</v>
      </c>
      <c r="H97" s="699">
        <v>335.7</v>
      </c>
      <c r="I97" s="3301">
        <v>0.11936000000000001</v>
      </c>
      <c r="J97" s="3302">
        <v>3.7300000000000002E-3</v>
      </c>
    </row>
    <row r="98" spans="2:10" ht="18" customHeight="1" x14ac:dyDescent="0.2">
      <c r="B98" s="2592" t="s">
        <v>297</v>
      </c>
      <c r="C98" s="699">
        <v>1.5879361853734069</v>
      </c>
      <c r="D98" s="1934" t="s">
        <v>97</v>
      </c>
      <c r="E98" s="3081">
        <f t="shared" ref="E98" si="46">IFERROR(H98*1000/$C98,"NA")</f>
        <v>73.3</v>
      </c>
      <c r="F98" s="3081" t="str">
        <f>IFERROR(I98*1000000/$C98,"NA")</f>
        <v>NA</v>
      </c>
      <c r="G98" s="3081" t="str">
        <f>IFERROR(J98*1000000/$C98,"NA")</f>
        <v>NA</v>
      </c>
      <c r="H98" s="699">
        <v>0.11639572238787071</v>
      </c>
      <c r="I98" s="3301" t="s">
        <v>221</v>
      </c>
      <c r="J98" s="3302" t="s">
        <v>221</v>
      </c>
    </row>
    <row r="99" spans="2:10" ht="18" customHeight="1" x14ac:dyDescent="0.2">
      <c r="B99" s="1240" t="s">
        <v>310</v>
      </c>
      <c r="C99" s="1938">
        <f>IF(SUM(C100:C104)=0,"NO",SUM(C100:C104))</f>
        <v>4975.0084141478619</v>
      </c>
      <c r="D99" s="1934" t="s">
        <v>97</v>
      </c>
      <c r="E99" s="615"/>
      <c r="F99" s="615"/>
      <c r="G99" s="615"/>
      <c r="H99" s="1938">
        <f>IF(SUM(H100:H103)=0,"NO",SUM(H100:H103))</f>
        <v>265.04890748280781</v>
      </c>
      <c r="I99" s="1938">
        <f>IF(SUM(I100:I104)=0,"NO",SUM(I100:I104))</f>
        <v>6.2581725205952315E-2</v>
      </c>
      <c r="J99" s="3064">
        <f>IF(SUM(J100:J104)=0,"NO",SUM(J100:J104))</f>
        <v>5.5225932091513348E-4</v>
      </c>
    </row>
    <row r="100" spans="2:10" ht="18" customHeight="1" x14ac:dyDescent="0.2">
      <c r="B100" s="282" t="s">
        <v>243</v>
      </c>
      <c r="C100" s="1938">
        <f>IF(SUM(C106,C113:C116)=0,"NO",SUM(C106,C113:C116))</f>
        <v>561.29660457566717</v>
      </c>
      <c r="D100" s="1934" t="s">
        <v>97</v>
      </c>
      <c r="E100" s="3081">
        <f t="shared" ref="E100:E104" si="47">IFERROR(H100*1000/$C100,"NA")</f>
        <v>67.40000000000002</v>
      </c>
      <c r="F100" s="3081">
        <f t="shared" ref="F100:G104" si="48">IFERROR(I100*1000000/$C100,"NA")</f>
        <v>50</v>
      </c>
      <c r="G100" s="3081">
        <f t="shared" si="48"/>
        <v>0.19999999999999998</v>
      </c>
      <c r="H100" s="1938">
        <f>IF(SUM(H106,H113:H116)=0,"NO",SUM(H106,H113:H116))</f>
        <v>37.831391148399973</v>
      </c>
      <c r="I100" s="1938">
        <f>IF(SUM(I106,I113:I116)=0,"NO",SUM(I106,I113:I116))</f>
        <v>2.8064830228783359E-2</v>
      </c>
      <c r="J100" s="3064">
        <f>IF(SUM(J106,J113:J116)=0,"NO",SUM(J106,J113:J116))</f>
        <v>1.1225932091513343E-4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4400</v>
      </c>
      <c r="D102" s="1934" t="s">
        <v>97</v>
      </c>
      <c r="E102" s="3081">
        <f t="shared" si="47"/>
        <v>51.411918339265</v>
      </c>
      <c r="F102" s="3081">
        <f t="shared" si="48"/>
        <v>7.8447488584474909</v>
      </c>
      <c r="G102" s="3081">
        <f t="shared" si="48"/>
        <v>0.1</v>
      </c>
      <c r="H102" s="1938">
        <f t="shared" si="49"/>
        <v>226.21244069276599</v>
      </c>
      <c r="I102" s="1938">
        <f t="shared" si="49"/>
        <v>3.4516894977168956E-2</v>
      </c>
      <c r="J102" s="3064">
        <f t="shared" si="49"/>
        <v>4.4000000000000002E-4</v>
      </c>
    </row>
    <row r="103" spans="2:10" ht="18" customHeight="1" x14ac:dyDescent="0.2">
      <c r="B103" s="282" t="s">
        <v>290</v>
      </c>
      <c r="C103" s="1938">
        <f>IF(SUM(C109,C120)=0,"NO",SUM(C109,C120))</f>
        <v>13.711809572193989</v>
      </c>
      <c r="D103" s="1934" t="s">
        <v>97</v>
      </c>
      <c r="E103" s="3081">
        <f t="shared" si="47"/>
        <v>73.3</v>
      </c>
      <c r="F103" s="3081" t="str">
        <f t="shared" si="48"/>
        <v>NA</v>
      </c>
      <c r="G103" s="3081" t="str">
        <f t="shared" si="48"/>
        <v>NA</v>
      </c>
      <c r="H103" s="1938">
        <f t="shared" si="49"/>
        <v>1.0050756416418194</v>
      </c>
      <c r="I103" s="1938" t="str">
        <f t="shared" si="49"/>
        <v>NO</v>
      </c>
      <c r="J103" s="3064" t="str">
        <f t="shared" si="49"/>
        <v>NO</v>
      </c>
    </row>
    <row r="104" spans="2:10" ht="18" customHeight="1" x14ac:dyDescent="0.2">
      <c r="B104" s="282" t="s">
        <v>249</v>
      </c>
      <c r="C104" s="1938" t="str">
        <f>IF(SUM(C110,C121)=0,"NO",SUM(C110,C121))</f>
        <v>NO</v>
      </c>
      <c r="D104" s="1934" t="s">
        <v>97</v>
      </c>
      <c r="E104" s="3081" t="str">
        <f t="shared" si="47"/>
        <v>NA</v>
      </c>
      <c r="F104" s="3081" t="str">
        <f t="shared" si="48"/>
        <v>NA</v>
      </c>
      <c r="G104" s="3081" t="str">
        <f t="shared" si="48"/>
        <v>NA</v>
      </c>
      <c r="H104" s="1938" t="str">
        <f t="shared" si="49"/>
        <v>NO</v>
      </c>
      <c r="I104" s="1938" t="str">
        <f t="shared" si="49"/>
        <v>NO</v>
      </c>
      <c r="J104" s="3064" t="str">
        <f t="shared" si="49"/>
        <v>NO</v>
      </c>
    </row>
    <row r="105" spans="2:10" ht="18" customHeight="1" x14ac:dyDescent="0.2">
      <c r="B105" s="1243" t="s">
        <v>311</v>
      </c>
      <c r="C105" s="1938">
        <f>IF(SUM(C106:C110)=0,"NO",SUM(C106:C110))</f>
        <v>4400</v>
      </c>
      <c r="D105" s="1934" t="s">
        <v>97</v>
      </c>
      <c r="E105" s="615"/>
      <c r="F105" s="615"/>
      <c r="G105" s="615"/>
      <c r="H105" s="1938">
        <f>IF(SUM(H106:H109)=0,"NO",SUM(H106:H109))</f>
        <v>226.21244069276599</v>
      </c>
      <c r="I105" s="1938">
        <f>IF(SUM(I106:I110)=0,"NO",SUM(I106:I110))</f>
        <v>3.4516894977168956E-2</v>
      </c>
      <c r="J105" s="3064">
        <f>IF(SUM(J106:J110)=0,"NO",SUM(J106:J110))</f>
        <v>4.4000000000000002E-4</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4400</v>
      </c>
      <c r="D108" s="1934" t="s">
        <v>97</v>
      </c>
      <c r="E108" s="3081">
        <f t="shared" si="50"/>
        <v>51.411918339265</v>
      </c>
      <c r="F108" s="3081">
        <f t="shared" si="51"/>
        <v>7.8447488584474909</v>
      </c>
      <c r="G108" s="3081">
        <f t="shared" si="51"/>
        <v>0.1</v>
      </c>
      <c r="H108" s="699">
        <v>226.21244069276599</v>
      </c>
      <c r="I108" s="699">
        <v>3.4516894977168956E-2</v>
      </c>
      <c r="J108" s="2921">
        <v>4.4000000000000002E-4</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575.00841414786112</v>
      </c>
      <c r="D111" s="1934" t="s">
        <v>97</v>
      </c>
      <c r="E111" s="615"/>
      <c r="F111" s="615"/>
      <c r="G111" s="615"/>
      <c r="H111" s="1938">
        <f>H112</f>
        <v>38.83646679004179</v>
      </c>
      <c r="I111" s="1938">
        <f>I112</f>
        <v>2.8064830228783359E-2</v>
      </c>
      <c r="J111" s="3064">
        <f>J112</f>
        <v>1.1225932091513343E-4</v>
      </c>
    </row>
    <row r="112" spans="2:10" ht="18" customHeight="1" x14ac:dyDescent="0.2">
      <c r="B112" s="3068" t="s">
        <v>313</v>
      </c>
      <c r="C112" s="3077">
        <f>IF(SUM(C113:C116,C118:C121)=0,"NO",SUM(C113:C116,C118:C121))</f>
        <v>575.00841414786112</v>
      </c>
      <c r="D112" s="3077" t="s">
        <v>97</v>
      </c>
      <c r="E112" s="615"/>
      <c r="F112" s="615"/>
      <c r="G112" s="615"/>
      <c r="H112" s="3077">
        <f>IF(SUM(H113:H116,H118:H120)=0,"NO",SUM(H113:H116,H118:H120))</f>
        <v>38.83646679004179</v>
      </c>
      <c r="I112" s="3077">
        <f>IF(SUM(I113:I116,I118:I121)=0,"NO",SUM(I113:I116,I118:I121))</f>
        <v>2.8064830228783359E-2</v>
      </c>
      <c r="J112" s="3078">
        <f>IF(SUM(J113:J116,J118:J121)=0,"NO",SUM(J113:J116,J118:J121))</f>
        <v>1.1225932091513343E-4</v>
      </c>
    </row>
    <row r="113" spans="2:10" ht="18" customHeight="1" x14ac:dyDescent="0.2">
      <c r="B113" s="282" t="s">
        <v>281</v>
      </c>
      <c r="C113" s="699">
        <v>561.29660457566717</v>
      </c>
      <c r="D113" s="1938" t="s">
        <v>97</v>
      </c>
      <c r="E113" s="1938">
        <f t="shared" ref="E113:E115" si="52">IFERROR(H113*1000/$C113,"NA")</f>
        <v>67.40000000000002</v>
      </c>
      <c r="F113" s="1938">
        <f t="shared" ref="F113:G115" si="53">IFERROR(I113*1000000/$C113,"NA")</f>
        <v>50</v>
      </c>
      <c r="G113" s="1938">
        <f t="shared" si="53"/>
        <v>0.19999999999999998</v>
      </c>
      <c r="H113" s="699">
        <v>37.831391148399973</v>
      </c>
      <c r="I113" s="699">
        <v>2.8064830228783359E-2</v>
      </c>
      <c r="J113" s="2921">
        <v>1.1225932091513343E-4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13.711809572193989</v>
      </c>
      <c r="D120" s="1934" t="s">
        <v>97</v>
      </c>
      <c r="E120" s="3081">
        <f t="shared" si="54"/>
        <v>73.3</v>
      </c>
      <c r="F120" s="3081" t="str">
        <f t="shared" si="55"/>
        <v>NA</v>
      </c>
      <c r="G120" s="3081" t="str">
        <f t="shared" si="55"/>
        <v>NA</v>
      </c>
      <c r="H120" s="699">
        <v>1.0050756416418194</v>
      </c>
      <c r="I120" s="699" t="s">
        <v>221</v>
      </c>
      <c r="J120" s="2921" t="s">
        <v>221</v>
      </c>
    </row>
    <row r="121" spans="2:10" ht="18" customHeight="1" thickBot="1" x14ac:dyDescent="0.25">
      <c r="B121" s="2210" t="s">
        <v>249</v>
      </c>
      <c r="C121" s="1562" t="s">
        <v>199</v>
      </c>
      <c r="D121" s="2891" t="s">
        <v>97</v>
      </c>
      <c r="E121" s="3082" t="str">
        <f t="shared" si="54"/>
        <v>NA</v>
      </c>
      <c r="F121" s="3082" t="str">
        <f t="shared" si="55"/>
        <v>NA</v>
      </c>
      <c r="G121" s="3082"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298077.37368077942</v>
      </c>
      <c r="D10" s="3087" t="s">
        <v>97</v>
      </c>
      <c r="E10" s="2161"/>
      <c r="F10" s="2161"/>
      <c r="G10" s="2161"/>
      <c r="H10" s="3087">
        <f>IF(SUM(H11:H15)=0,"NO",SUM(H11:H15))</f>
        <v>13119.622313292619</v>
      </c>
      <c r="I10" s="3087">
        <f>IF(SUM(I11:I16)=0,"NO",SUM(I11:I16))</f>
        <v>99.776396301818593</v>
      </c>
      <c r="J10" s="3087">
        <f>IF(SUM(J11:J16)=0,"NO",SUM(J11:J16))</f>
        <v>0.54180638504574485</v>
      </c>
      <c r="K10" s="416" t="str">
        <f>IF(SUM(K11:K16)=0,"NO",SUM(K11:K16))</f>
        <v>NO</v>
      </c>
    </row>
    <row r="11" spans="2:12" ht="18" customHeight="1" x14ac:dyDescent="0.2">
      <c r="B11" s="282" t="s">
        <v>243</v>
      </c>
      <c r="C11" s="1938">
        <f>IF(SUM(C18,C39,C60)=0,"NO",SUM(C18,C39,C60))</f>
        <v>88532.163680779428</v>
      </c>
      <c r="D11" s="3087" t="s">
        <v>97</v>
      </c>
      <c r="E11" s="1938">
        <f t="shared" ref="E11:E16" si="0">IFERROR(H11*1000/$C11,"NA")</f>
        <v>68.080598757883607</v>
      </c>
      <c r="F11" s="1938">
        <f t="shared" ref="F11:G16" si="1">IFERROR(I11*1000000/$C11,"NA")</f>
        <v>9.6446386222523994</v>
      </c>
      <c r="G11" s="1938">
        <f t="shared" si="1"/>
        <v>2.5765470133323691</v>
      </c>
      <c r="H11" s="1938">
        <f>IF(SUM(H18,H39,H60)=0,"NO",SUM(H18,H39,H60))</f>
        <v>6027.32271271842</v>
      </c>
      <c r="I11" s="1938">
        <f>IF(SUM(I18,I39,I60)=0,"NO",SUM(I18,I39,I60))</f>
        <v>0.85386072514721634</v>
      </c>
      <c r="J11" s="1938">
        <f>IF(SUM(J18,J39,J60)=0,"NO",SUM(J18,J39,J60))</f>
        <v>0.22810728191556467</v>
      </c>
      <c r="K11" s="3064" t="str">
        <f>IF(SUM(K18,K39,K60)=0,"NO",SUM(K18,K39,K60))</f>
        <v>NO</v>
      </c>
    </row>
    <row r="12" spans="2:12" ht="18" customHeight="1" x14ac:dyDescent="0.2">
      <c r="B12" s="282" t="s">
        <v>245</v>
      </c>
      <c r="C12" s="1938">
        <f t="shared" ref="C12:C16" si="2">IF(SUM(C19,C40,C61)=0,"NO",SUM(C19,C40,C61))</f>
        <v>5799.9</v>
      </c>
      <c r="D12" s="3087" t="s">
        <v>97</v>
      </c>
      <c r="E12" s="1938">
        <f t="shared" si="0"/>
        <v>91.810376040966233</v>
      </c>
      <c r="F12" s="1938">
        <f t="shared" si="1"/>
        <v>0.95238095238095233</v>
      </c>
      <c r="G12" s="1938">
        <f t="shared" si="1"/>
        <v>0.66666666666666663</v>
      </c>
      <c r="H12" s="1938">
        <f t="shared" ref="H12:K16" si="3">IF(SUM(H19,H40,H61)=0,"NO",SUM(H19,H40,H61))</f>
        <v>532.49099999999999</v>
      </c>
      <c r="I12" s="1938">
        <f t="shared" si="3"/>
        <v>5.5237142857142854E-3</v>
      </c>
      <c r="J12" s="1938">
        <f t="shared" si="3"/>
        <v>3.8665999999999996E-3</v>
      </c>
      <c r="K12" s="3064" t="str">
        <f t="shared" si="3"/>
        <v>NO</v>
      </c>
    </row>
    <row r="13" spans="2:12" ht="18" customHeight="1" x14ac:dyDescent="0.2">
      <c r="B13" s="282" t="s">
        <v>246</v>
      </c>
      <c r="C13" s="1938">
        <f t="shared" si="2"/>
        <v>127200.00000000001</v>
      </c>
      <c r="D13" s="3087" t="s">
        <v>97</v>
      </c>
      <c r="E13" s="1938">
        <f t="shared" si="0"/>
        <v>51.570822331558162</v>
      </c>
      <c r="F13" s="1938">
        <f t="shared" si="1"/>
        <v>0.90909090909090928</v>
      </c>
      <c r="G13" s="1938">
        <f t="shared" si="1"/>
        <v>0.90909090909090928</v>
      </c>
      <c r="H13" s="1938">
        <f t="shared" si="3"/>
        <v>6559.8086005741989</v>
      </c>
      <c r="I13" s="1938">
        <f t="shared" si="3"/>
        <v>0.11563636363636368</v>
      </c>
      <c r="J13" s="1938">
        <f t="shared" si="3"/>
        <v>0.11563636363636368</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76545.309999999983</v>
      </c>
      <c r="D16" s="3087" t="s">
        <v>97</v>
      </c>
      <c r="E16" s="1938">
        <f t="shared" si="0"/>
        <v>70.529758387548512</v>
      </c>
      <c r="F16" s="1938">
        <f t="shared" si="1"/>
        <v>1290.7567491561445</v>
      </c>
      <c r="G16" s="1938">
        <f t="shared" si="1"/>
        <v>2.5370089884516318</v>
      </c>
      <c r="H16" s="1938">
        <f t="shared" si="3"/>
        <v>5398.7222199999997</v>
      </c>
      <c r="I16" s="1938">
        <f t="shared" si="3"/>
        <v>98.801375498749294</v>
      </c>
      <c r="J16" s="1938">
        <f t="shared" si="3"/>
        <v>0.19419613949381653</v>
      </c>
      <c r="K16" s="3064" t="str">
        <f t="shared" si="3"/>
        <v>NO</v>
      </c>
    </row>
    <row r="17" spans="2:11" ht="18" customHeight="1" x14ac:dyDescent="0.2">
      <c r="B17" s="1240" t="s">
        <v>322</v>
      </c>
      <c r="C17" s="3087">
        <f>IF(SUM(C18:C23)=0,"NO",SUM(C18:C23))</f>
        <v>61365.21</v>
      </c>
      <c r="D17" s="3087" t="s">
        <v>97</v>
      </c>
      <c r="E17" s="615"/>
      <c r="F17" s="615"/>
      <c r="G17" s="615"/>
      <c r="H17" s="3057">
        <f>IF(SUM(H18:H22)=0,"NO",SUM(H18:H22))</f>
        <v>3650.3461010439078</v>
      </c>
      <c r="I17" s="3057">
        <f>IF(SUM(I18:I23)=0,"NO",SUM(I18:I23))</f>
        <v>5.8236242099567098E-2</v>
      </c>
      <c r="J17" s="3088">
        <f>IF(SUM(J18:J23)=0,"NO",SUM(J18:J23))</f>
        <v>7.3182380194805191E-2</v>
      </c>
      <c r="K17" s="3064" t="str">
        <f>IF(SUM(K18:K23)=0,"NO",SUM(K18:K23))</f>
        <v>NO</v>
      </c>
    </row>
    <row r="18" spans="2:11" ht="18" customHeight="1" x14ac:dyDescent="0.2">
      <c r="B18" s="282" t="s">
        <v>243</v>
      </c>
      <c r="C18" s="3087">
        <f>IF(SUM(C26,C33)=0,"NO",SUM(C26,C33))</f>
        <v>19520</v>
      </c>
      <c r="D18" s="3087" t="s">
        <v>97</v>
      </c>
      <c r="E18" s="1938">
        <f t="shared" ref="E18" si="4">IFERROR(H18*1000/$C18,"NA")</f>
        <v>66.423770491803282</v>
      </c>
      <c r="F18" s="1938">
        <f t="shared" ref="F18:G23" si="5">IFERROR(I18*1000000/$C18,"NA")</f>
        <v>0.87675644028103039</v>
      </c>
      <c r="G18" s="1938">
        <f t="shared" si="5"/>
        <v>1.7789812646370018</v>
      </c>
      <c r="H18" s="3087">
        <f>IF(SUM(H26,H33)=0,"NO",SUM(H26,H33))</f>
        <v>1296.5920000000001</v>
      </c>
      <c r="I18" s="3087">
        <f>IF(SUM(I26,I33)=0,"NO",SUM(I26,I33))</f>
        <v>1.7114285714285714E-2</v>
      </c>
      <c r="J18" s="3087">
        <f>IF(SUM(J26,J33)=0,"NO",SUM(J26,J33))</f>
        <v>3.4725714285714276E-2</v>
      </c>
      <c r="K18" s="3064" t="str">
        <f>IF(SUM(K26,K33)=0,"NO",SUM(K26,K33))</f>
        <v>NO</v>
      </c>
    </row>
    <row r="19" spans="2:11" ht="18" customHeight="1" x14ac:dyDescent="0.2">
      <c r="B19" s="282" t="s">
        <v>245</v>
      </c>
      <c r="C19" s="3087">
        <f t="shared" ref="C19:C21" si="6">IF(SUM(C27,C34)=0,"NO",SUM(C27,C34))</f>
        <v>5299.9</v>
      </c>
      <c r="D19" s="3087" t="s">
        <v>97</v>
      </c>
      <c r="E19" s="1938">
        <f t="shared" ref="E19:E23" si="7">IFERROR(H19*1000/$C19,"NA")</f>
        <v>91.792486650691529</v>
      </c>
      <c r="F19" s="1938">
        <f t="shared" si="5"/>
        <v>0.95238095238095233</v>
      </c>
      <c r="G19" s="1938">
        <f t="shared" si="5"/>
        <v>0.66666666666666663</v>
      </c>
      <c r="H19" s="3087">
        <f t="shared" ref="H19:K21" si="8">IF(SUM(H27,H34)=0,"NO",SUM(H27,H34))</f>
        <v>486.49099999999999</v>
      </c>
      <c r="I19" s="3087">
        <f t="shared" si="8"/>
        <v>5.047523809523809E-3</v>
      </c>
      <c r="J19" s="3087">
        <f t="shared" si="8"/>
        <v>3.5332666666666661E-3</v>
      </c>
      <c r="K19" s="3064" t="str">
        <f t="shared" si="8"/>
        <v>NO</v>
      </c>
    </row>
    <row r="20" spans="2:11" ht="18" customHeight="1" x14ac:dyDescent="0.2">
      <c r="B20" s="282" t="s">
        <v>246</v>
      </c>
      <c r="C20" s="3087">
        <f t="shared" si="6"/>
        <v>36200</v>
      </c>
      <c r="D20" s="3087" t="s">
        <v>97</v>
      </c>
      <c r="E20" s="1938">
        <f t="shared" si="7"/>
        <v>51.581853619997453</v>
      </c>
      <c r="F20" s="1938">
        <f t="shared" si="5"/>
        <v>0.90909090909090917</v>
      </c>
      <c r="G20" s="1938">
        <f t="shared" si="5"/>
        <v>0.90909090909090917</v>
      </c>
      <c r="H20" s="3087">
        <f t="shared" si="8"/>
        <v>1867.2631010439077</v>
      </c>
      <c r="I20" s="3087">
        <f t="shared" si="8"/>
        <v>3.2909090909090909E-2</v>
      </c>
      <c r="J20" s="3087">
        <f t="shared" si="8"/>
        <v>3.2909090909090909E-2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345.31</v>
      </c>
      <c r="D23" s="3087" t="s">
        <v>97</v>
      </c>
      <c r="E23" s="1938">
        <f t="shared" si="7"/>
        <v>94</v>
      </c>
      <c r="F23" s="1938">
        <f t="shared" si="5"/>
        <v>9.1666666666666661</v>
      </c>
      <c r="G23" s="1938">
        <f t="shared" si="5"/>
        <v>5.833333333333333</v>
      </c>
      <c r="H23" s="3087">
        <f>IF(SUM(H31,H37)=0,"NO",SUM(H31,H37))</f>
        <v>32.459139999999998</v>
      </c>
      <c r="I23" s="3087">
        <f>IF(SUM(I31,I37)=0,"NO",SUM(I31,I37))</f>
        <v>3.1653416666666667E-3</v>
      </c>
      <c r="J23" s="3087">
        <f>IF(SUM(J31,J37)=0,"NO",SUM(J31,J37))</f>
        <v>2.0143083333333334E-3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61365.21</v>
      </c>
      <c r="D25" s="3057" t="s">
        <v>97</v>
      </c>
      <c r="E25" s="615"/>
      <c r="F25" s="615"/>
      <c r="G25" s="615"/>
      <c r="H25" s="3057">
        <f>IF(SUM(H26:H30)=0,"NO",SUM(H26:H30))</f>
        <v>3650.3461010439078</v>
      </c>
      <c r="I25" s="3057">
        <f>IF(SUM(I26:I31)=0,"NO",SUM(I26:I31))</f>
        <v>5.8236242099567098E-2</v>
      </c>
      <c r="J25" s="3088">
        <f>IF(SUM(J26:J31)=0,"NO",SUM(J26:J31))</f>
        <v>7.3182380194805191E-2</v>
      </c>
      <c r="K25" s="3064" t="str">
        <f>IF(SUM(K26:K31)=0,"NO",SUM(K26:K31))</f>
        <v>NO</v>
      </c>
    </row>
    <row r="26" spans="2:11" ht="18" customHeight="1" x14ac:dyDescent="0.2">
      <c r="B26" s="282" t="s">
        <v>243</v>
      </c>
      <c r="C26" s="699">
        <v>19520</v>
      </c>
      <c r="D26" s="3057" t="s">
        <v>97</v>
      </c>
      <c r="E26" s="1938">
        <f t="shared" ref="E26:E31" si="9">IFERROR(H26*1000/$C26,"NA")</f>
        <v>66.423770491803282</v>
      </c>
      <c r="F26" s="1938">
        <f t="shared" ref="F26:G31" si="10">IFERROR(I26*1000000/$C26,"NA")</f>
        <v>0.87675644028103039</v>
      </c>
      <c r="G26" s="1938">
        <f t="shared" si="10"/>
        <v>1.7789812646370018</v>
      </c>
      <c r="H26" s="699">
        <v>1296.5920000000001</v>
      </c>
      <c r="I26" s="699">
        <v>1.7114285714285714E-2</v>
      </c>
      <c r="J26" s="699">
        <v>3.4725714285714276E-2</v>
      </c>
      <c r="K26" s="2921" t="s">
        <v>199</v>
      </c>
    </row>
    <row r="27" spans="2:11" ht="18" customHeight="1" x14ac:dyDescent="0.2">
      <c r="B27" s="282" t="s">
        <v>245</v>
      </c>
      <c r="C27" s="699">
        <v>5299.9</v>
      </c>
      <c r="D27" s="3057" t="s">
        <v>97</v>
      </c>
      <c r="E27" s="1938">
        <f t="shared" si="9"/>
        <v>91.792486650691529</v>
      </c>
      <c r="F27" s="1938">
        <f t="shared" si="10"/>
        <v>0.95238095238095233</v>
      </c>
      <c r="G27" s="1938">
        <f t="shared" si="10"/>
        <v>0.66666666666666663</v>
      </c>
      <c r="H27" s="699">
        <v>486.49099999999999</v>
      </c>
      <c r="I27" s="699">
        <v>5.047523809523809E-3</v>
      </c>
      <c r="J27" s="699">
        <v>3.5332666666666661E-3</v>
      </c>
      <c r="K27" s="2921" t="s">
        <v>199</v>
      </c>
    </row>
    <row r="28" spans="2:11" ht="18" customHeight="1" x14ac:dyDescent="0.2">
      <c r="B28" s="282" t="s">
        <v>246</v>
      </c>
      <c r="C28" s="699">
        <v>36200</v>
      </c>
      <c r="D28" s="3057" t="s">
        <v>97</v>
      </c>
      <c r="E28" s="1938">
        <f t="shared" si="9"/>
        <v>51.581853619997453</v>
      </c>
      <c r="F28" s="1938">
        <f t="shared" si="10"/>
        <v>0.90909090909090917</v>
      </c>
      <c r="G28" s="1938">
        <f t="shared" si="10"/>
        <v>0.90909090909090917</v>
      </c>
      <c r="H28" s="699">
        <v>1867.2631010439077</v>
      </c>
      <c r="I28" s="699">
        <v>3.2909090909090909E-2</v>
      </c>
      <c r="J28" s="699">
        <v>3.2909090909090909E-2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345.31</v>
      </c>
      <c r="D31" s="3057" t="s">
        <v>97</v>
      </c>
      <c r="E31" s="1938">
        <f t="shared" si="9"/>
        <v>94</v>
      </c>
      <c r="F31" s="1938">
        <f t="shared" si="10"/>
        <v>9.1666666666666661</v>
      </c>
      <c r="G31" s="1938">
        <f t="shared" si="10"/>
        <v>5.833333333333333</v>
      </c>
      <c r="H31" s="699">
        <v>32.459139999999998</v>
      </c>
      <c r="I31" s="699">
        <v>3.1653416666666667E-3</v>
      </c>
      <c r="J31" s="699">
        <v>2.0143083333333334E-3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187602.16368077943</v>
      </c>
      <c r="D38" s="3057" t="s">
        <v>97</v>
      </c>
      <c r="E38" s="615"/>
      <c r="F38" s="615"/>
      <c r="G38" s="615"/>
      <c r="H38" s="1938">
        <f>IF(SUM(H39:H43)=0,"NO",SUM(H39:H43))</f>
        <v>6042.3762122487115</v>
      </c>
      <c r="I38" s="1938">
        <f>IF(SUM(I39:I44)=0,"NO",SUM(I39:I44))</f>
        <v>99.537112440671393</v>
      </c>
      <c r="J38" s="1938">
        <f>IF(SUM(J39:J44)=0,"NO",SUM(J39:J44))</f>
        <v>0.28649067151760638</v>
      </c>
      <c r="K38" s="3064" t="str">
        <f>IF(SUM(K39:K44)=0,"NO",SUM(K39:K44))</f>
        <v>NO</v>
      </c>
    </row>
    <row r="39" spans="2:11" ht="18" customHeight="1" x14ac:dyDescent="0.2">
      <c r="B39" s="282" t="s">
        <v>243</v>
      </c>
      <c r="C39" s="3087">
        <f>IF(SUM(C47,C54)=0,"NO",SUM(C47,C54))</f>
        <v>19902.163680779431</v>
      </c>
      <c r="D39" s="3057" t="s">
        <v>97</v>
      </c>
      <c r="E39" s="1938">
        <f t="shared" ref="E39:E44" si="13">IFERROR(H39*1000/$C39,"NA")</f>
        <v>65.512008323878746</v>
      </c>
      <c r="F39" s="1938">
        <f t="shared" ref="F39:G44" si="14">IFERROR(I39*1000000/$C39,"NA")</f>
        <v>32.946107312872449</v>
      </c>
      <c r="G39" s="1938">
        <f t="shared" si="14"/>
        <v>0.56517645402444716</v>
      </c>
      <c r="H39" s="1938">
        <f>IF(SUM(H47,H54)=0,"NO",SUM(H47,H54))</f>
        <v>1303.8307127184194</v>
      </c>
      <c r="I39" s="1938">
        <f>IF(SUM(I47,I54)=0,"NO",SUM(I47,I54))</f>
        <v>0.65569882038531158</v>
      </c>
      <c r="J39" s="1938">
        <f>IF(SUM(J47,J54)=0,"NO",SUM(J47,J54))</f>
        <v>1.1248234296517057E-2</v>
      </c>
      <c r="K39" s="3064" t="str">
        <f>IF(SUM(K47,K54)=0,"NO",SUM(K47,K54))</f>
        <v>NO</v>
      </c>
    </row>
    <row r="40" spans="2:11" ht="18" customHeight="1" x14ac:dyDescent="0.2">
      <c r="B40" s="282" t="s">
        <v>245</v>
      </c>
      <c r="C40" s="3087">
        <f t="shared" ref="C40:C42" si="15">IF(SUM(C48,C55)=0,"NO",SUM(C48,C55))</f>
        <v>499.99999999999994</v>
      </c>
      <c r="D40" s="3057" t="s">
        <v>97</v>
      </c>
      <c r="E40" s="1938">
        <f t="shared" si="13"/>
        <v>92.000000000000014</v>
      </c>
      <c r="F40" s="1938">
        <f t="shared" si="14"/>
        <v>0.95238095238095233</v>
      </c>
      <c r="G40" s="1938">
        <f t="shared" si="14"/>
        <v>0.66666666666666663</v>
      </c>
      <c r="H40" s="1938">
        <f t="shared" ref="H40:K42" si="16">IF(SUM(H48,H55)=0,"NO",SUM(H48,H55))</f>
        <v>46</v>
      </c>
      <c r="I40" s="1938">
        <f t="shared" si="16"/>
        <v>4.7619047619047608E-4</v>
      </c>
      <c r="J40" s="1938">
        <f t="shared" si="16"/>
        <v>3.3333333333333327E-4</v>
      </c>
      <c r="K40" s="3064" t="str">
        <f t="shared" si="16"/>
        <v>NO</v>
      </c>
    </row>
    <row r="41" spans="2:11" ht="18" customHeight="1" x14ac:dyDescent="0.2">
      <c r="B41" s="282" t="s">
        <v>246</v>
      </c>
      <c r="C41" s="3087">
        <f t="shared" si="15"/>
        <v>91000.000000000015</v>
      </c>
      <c r="D41" s="3057" t="s">
        <v>97</v>
      </c>
      <c r="E41" s="1938">
        <f t="shared" si="13"/>
        <v>51.566434060772423</v>
      </c>
      <c r="F41" s="1938">
        <f t="shared" si="14"/>
        <v>0.90909090909090939</v>
      </c>
      <c r="G41" s="1938">
        <f t="shared" si="14"/>
        <v>0.90909090909090939</v>
      </c>
      <c r="H41" s="1938">
        <f t="shared" si="16"/>
        <v>4692.5454995302916</v>
      </c>
      <c r="I41" s="1938">
        <f t="shared" si="16"/>
        <v>8.272727272727276E-2</v>
      </c>
      <c r="J41" s="1938">
        <f t="shared" si="16"/>
        <v>8.272727272727276E-2</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76199.999999999985</v>
      </c>
      <c r="D44" s="3057" t="s">
        <v>97</v>
      </c>
      <c r="E44" s="1938">
        <f t="shared" si="13"/>
        <v>70.423400000000015</v>
      </c>
      <c r="F44" s="1938">
        <f t="shared" si="14"/>
        <v>1296.5644377569899</v>
      </c>
      <c r="G44" s="1938">
        <f t="shared" si="14"/>
        <v>2.5220712750719585</v>
      </c>
      <c r="H44" s="1938">
        <f>IF(SUM(H52,H58)=0,"NO",SUM(H52,H58))</f>
        <v>5366.2630799999997</v>
      </c>
      <c r="I44" s="1938">
        <f>IF(SUM(I52,I58)=0,"NO",SUM(I52,I58))</f>
        <v>98.798210157082622</v>
      </c>
      <c r="J44" s="1938">
        <f>IF(SUM(J52,J58)=0,"NO",SUM(J52,J58))</f>
        <v>0.19218183116048321</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184109.65147453084</v>
      </c>
      <c r="D46" s="3057" t="s">
        <v>97</v>
      </c>
      <c r="E46" s="615"/>
      <c r="F46" s="615"/>
      <c r="G46" s="615"/>
      <c r="H46" s="1938">
        <f>IF(SUM(H47:H51)=0,"NO",SUM(H47:H51))</f>
        <v>5801.6204861254664</v>
      </c>
      <c r="I46" s="1938">
        <f>IF(SUM(I47:I52)=0,"NO",SUM(I47:I52))</f>
        <v>98.908460243546642</v>
      </c>
      <c r="J46" s="1938">
        <f>IF(SUM(J47:J52)=0,"NO",SUM(J47:J52))</f>
        <v>0.28509366663510693</v>
      </c>
      <c r="K46" s="3064" t="str">
        <f>IF(SUM(K47:K52)=0,"NO",SUM(K47:K52))</f>
        <v>NO</v>
      </c>
    </row>
    <row r="47" spans="2:11" ht="18" customHeight="1" x14ac:dyDescent="0.2">
      <c r="B47" s="282" t="s">
        <v>243</v>
      </c>
      <c r="C47" s="699">
        <v>16409.651474530834</v>
      </c>
      <c r="D47" s="3057" t="s">
        <v>97</v>
      </c>
      <c r="E47" s="1938">
        <f t="shared" ref="E47:E52" si="17">IFERROR(H47*1000/$C47,"NA")</f>
        <v>64.783520128087815</v>
      </c>
      <c r="F47" s="1938">
        <f t="shared" ref="F47:G52" si="18">IFERROR(I47*1000000/$C47,"NA")</f>
        <v>1.6482143635130169</v>
      </c>
      <c r="G47" s="1938">
        <f t="shared" si="18"/>
        <v>0.60033142259648586</v>
      </c>
      <c r="H47" s="699">
        <v>1063.0749865951743</v>
      </c>
      <c r="I47" s="699">
        <v>2.7046623260564277E-2</v>
      </c>
      <c r="J47" s="699">
        <v>9.8512294140176183E-3</v>
      </c>
      <c r="K47" s="2921" t="s">
        <v>199</v>
      </c>
    </row>
    <row r="48" spans="2:11" ht="18" customHeight="1" x14ac:dyDescent="0.2">
      <c r="B48" s="282" t="s">
        <v>245</v>
      </c>
      <c r="C48" s="699">
        <v>499.99999999999994</v>
      </c>
      <c r="D48" s="3057" t="s">
        <v>97</v>
      </c>
      <c r="E48" s="1938">
        <f t="shared" si="17"/>
        <v>92.000000000000014</v>
      </c>
      <c r="F48" s="1938">
        <f t="shared" si="18"/>
        <v>0.95238095238095233</v>
      </c>
      <c r="G48" s="1938">
        <f t="shared" si="18"/>
        <v>0.66666666666666663</v>
      </c>
      <c r="H48" s="699">
        <v>46</v>
      </c>
      <c r="I48" s="699">
        <v>4.7619047619047608E-4</v>
      </c>
      <c r="J48" s="699">
        <v>3.3333333333333327E-4</v>
      </c>
      <c r="K48" s="2921" t="s">
        <v>199</v>
      </c>
    </row>
    <row r="49" spans="2:11" ht="18" customHeight="1" x14ac:dyDescent="0.2">
      <c r="B49" s="282" t="s">
        <v>246</v>
      </c>
      <c r="C49" s="699">
        <v>91000.000000000015</v>
      </c>
      <c r="D49" s="3057" t="s">
        <v>97</v>
      </c>
      <c r="E49" s="1938">
        <f t="shared" si="17"/>
        <v>51.566434060772423</v>
      </c>
      <c r="F49" s="1938">
        <f t="shared" si="18"/>
        <v>0.90909090909090939</v>
      </c>
      <c r="G49" s="1938">
        <f t="shared" si="18"/>
        <v>0.90909090909090939</v>
      </c>
      <c r="H49" s="699">
        <v>4692.5454995302916</v>
      </c>
      <c r="I49" s="699">
        <v>8.272727272727276E-2</v>
      </c>
      <c r="J49" s="699">
        <v>8.272727272727276E-2</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76199.999999999985</v>
      </c>
      <c r="D52" s="3057" t="s">
        <v>97</v>
      </c>
      <c r="E52" s="1938">
        <f t="shared" si="17"/>
        <v>70.423400000000015</v>
      </c>
      <c r="F52" s="1938">
        <f t="shared" si="18"/>
        <v>1296.5644377569899</v>
      </c>
      <c r="G52" s="1938">
        <f t="shared" si="18"/>
        <v>2.5220712750719585</v>
      </c>
      <c r="H52" s="699">
        <v>5366.2630799999997</v>
      </c>
      <c r="I52" s="699">
        <v>98.798210157082622</v>
      </c>
      <c r="J52" s="699">
        <v>0.19218183116048321</v>
      </c>
      <c r="K52" s="2921" t="s">
        <v>199</v>
      </c>
    </row>
    <row r="53" spans="2:11" ht="18" customHeight="1" x14ac:dyDescent="0.2">
      <c r="B53" s="1241" t="s">
        <v>329</v>
      </c>
      <c r="C53" s="3057">
        <f>IF(SUM(C54:C58)=0,"NO",SUM(C54:C58))</f>
        <v>3492.5122062485962</v>
      </c>
      <c r="D53" s="3057" t="s">
        <v>97</v>
      </c>
      <c r="E53" s="615"/>
      <c r="F53" s="615"/>
      <c r="G53" s="615"/>
      <c r="H53" s="3057">
        <f>IF(SUM(H54:H57)=0,"NO",SUM(H54:H57))</f>
        <v>240.7557261232451</v>
      </c>
      <c r="I53" s="3057">
        <f>IF(SUM(I54:I58)=0,"NO",SUM(I54:I58))</f>
        <v>0.62865219712474729</v>
      </c>
      <c r="J53" s="3057">
        <f>IF(SUM(J54:J58)=0,"NO",SUM(J54:J58))</f>
        <v>1.3970048824994384E-3</v>
      </c>
      <c r="K53" s="2931"/>
    </row>
    <row r="54" spans="2:11" ht="18" customHeight="1" x14ac:dyDescent="0.2">
      <c r="B54" s="282" t="s">
        <v>243</v>
      </c>
      <c r="C54" s="699">
        <v>3492.5122062485962</v>
      </c>
      <c r="D54" s="3057" t="s">
        <v>97</v>
      </c>
      <c r="E54" s="1938">
        <f t="shared" ref="E54:E58" si="19">IFERROR(H54*1000/$C54,"NA")</f>
        <v>68.934827398025746</v>
      </c>
      <c r="F54" s="1938">
        <f t="shared" ref="F54:G58" si="20">IFERROR(I54*1000000/$C54,"NA")</f>
        <v>180</v>
      </c>
      <c r="G54" s="1938">
        <f t="shared" si="20"/>
        <v>0.4</v>
      </c>
      <c r="H54" s="699">
        <v>240.7557261232451</v>
      </c>
      <c r="I54" s="699">
        <v>0.62865219712474729</v>
      </c>
      <c r="J54" s="699">
        <v>1.3970048824994384E-3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t="s">
        <v>199</v>
      </c>
      <c r="D58" s="3057" t="s">
        <v>97</v>
      </c>
      <c r="E58" s="1938" t="str">
        <f t="shared" si="19"/>
        <v>NA</v>
      </c>
      <c r="F58" s="1938" t="str">
        <f t="shared" si="20"/>
        <v>NA</v>
      </c>
      <c r="G58" s="1938" t="str">
        <f t="shared" si="20"/>
        <v>NA</v>
      </c>
      <c r="H58" s="699" t="s">
        <v>199</v>
      </c>
      <c r="I58" s="699" t="s">
        <v>199</v>
      </c>
      <c r="J58" s="699" t="s">
        <v>199</v>
      </c>
      <c r="K58" s="2931"/>
    </row>
    <row r="59" spans="2:11" ht="18" customHeight="1" x14ac:dyDescent="0.2">
      <c r="B59" s="1244" t="s">
        <v>330</v>
      </c>
      <c r="C59" s="3057">
        <f>IF(SUM(C60:C65)=0,"NO",SUM(C60:C65))</f>
        <v>49110.000000000007</v>
      </c>
      <c r="D59" s="3057" t="s">
        <v>97</v>
      </c>
      <c r="E59" s="615"/>
      <c r="F59" s="615"/>
      <c r="G59" s="615"/>
      <c r="H59" s="1938">
        <f>IF(SUM(H60:H64)=0,"NO",SUM(H60:H64))</f>
        <v>3426.9000000000005</v>
      </c>
      <c r="I59" s="1938">
        <f>IF(SUM(I60:I65)=0,"NO",SUM(I60:I65))</f>
        <v>0.18104761904761904</v>
      </c>
      <c r="J59" s="1938">
        <f>IF(SUM(J60:J65)=0,"NO",SUM(J60:J65))</f>
        <v>0.18213333333333334</v>
      </c>
      <c r="K59" s="3064" t="str">
        <f>IF(SUM(K60:K65)=0,"NO",SUM(K60:K65))</f>
        <v>NO</v>
      </c>
    </row>
    <row r="60" spans="2:11" ht="18" customHeight="1" x14ac:dyDescent="0.2">
      <c r="B60" s="282" t="s">
        <v>243</v>
      </c>
      <c r="C60" s="1938">
        <f>IF(SUM(C67,C74:C77,C84:C87)=0,"NO",SUM(C67,C74:C77,C84:C87))</f>
        <v>49110.000000000007</v>
      </c>
      <c r="D60" s="3057" t="s">
        <v>97</v>
      </c>
      <c r="E60" s="1938">
        <f t="shared" ref="E60:E65" si="21">IFERROR(H60*1000/$C60,"NA")</f>
        <v>69.780085522296886</v>
      </c>
      <c r="F60" s="1938">
        <f t="shared" ref="F60:G65" si="22">IFERROR(I60*1000000/$C60,"NA")</f>
        <v>3.6865733872453479</v>
      </c>
      <c r="G60" s="1938">
        <f t="shared" si="22"/>
        <v>3.7086811918821687</v>
      </c>
      <c r="H60" s="1938">
        <f>IF(SUM(H67,H74:H77,H84:H87)=0,"NO",SUM(H67,H74:H77,H84:H87))</f>
        <v>3426.9000000000005</v>
      </c>
      <c r="I60" s="1938">
        <f>IF(SUM(I67,I74:I77,I84:I87)=0,"NO",SUM(I67,I74:I77,I84:I87))</f>
        <v>0.18104761904761904</v>
      </c>
      <c r="J60" s="1938">
        <f>IF(SUM(J67,J74:J77,J84:J87)=0,"NO",SUM(J67,J74:J77,J84:J87))</f>
        <v>0.18213333333333334</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t="str">
        <f>IF(SUM(C69,C79,C89)=0,"NO",SUM(C69,C79,C89))</f>
        <v>NO</v>
      </c>
      <c r="D62" s="3057" t="s">
        <v>97</v>
      </c>
      <c r="E62" s="1938" t="str">
        <f t="shared" si="21"/>
        <v>NA</v>
      </c>
      <c r="F62" s="1938" t="str">
        <f t="shared" si="22"/>
        <v>NA</v>
      </c>
      <c r="G62" s="1938" t="str">
        <f t="shared" si="22"/>
        <v>NA</v>
      </c>
      <c r="H62" s="1938" t="str">
        <f>IF(SUM(H69,H79,H89)=0,"NO",SUM(H69,H79,H89))</f>
        <v>NO</v>
      </c>
      <c r="I62" s="1938" t="str">
        <f>IF(SUM(I69,I79,I89)=0,"NO",SUM(I69,I79,I89))</f>
        <v>NO</v>
      </c>
      <c r="J62" s="1938" t="str">
        <f>IF(SUM(J69,J79,J89)=0,"NO",SUM(J69,J79,J89))</f>
        <v>NO</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49110.000000000007</v>
      </c>
      <c r="D66" s="3057" t="s">
        <v>97</v>
      </c>
      <c r="E66" s="2135"/>
      <c r="F66" s="2135"/>
      <c r="G66" s="2135"/>
      <c r="H66" s="1938">
        <f>IF(SUM(H67:H71)=0,"NO",SUM(H67:H71))</f>
        <v>3426.9000000000005</v>
      </c>
      <c r="I66" s="1938">
        <f>IF(SUM(I67:I72)=0,"NO",SUM(I67:I72))</f>
        <v>0.18104761904761904</v>
      </c>
      <c r="J66" s="1938">
        <f>IF(SUM(J67:J72)=0,"NO",SUM(J67:J72))</f>
        <v>0.18213333333333334</v>
      </c>
      <c r="K66" s="3064" t="str">
        <f>IF(SUM(K67:K72)=0,"NO",SUM(K67:K72))</f>
        <v>NO</v>
      </c>
    </row>
    <row r="67" spans="2:11" ht="18" customHeight="1" x14ac:dyDescent="0.2">
      <c r="B67" s="282" t="s">
        <v>243</v>
      </c>
      <c r="C67" s="699">
        <v>49110.000000000007</v>
      </c>
      <c r="D67" s="3057" t="s">
        <v>97</v>
      </c>
      <c r="E67" s="1938">
        <f t="shared" ref="E67:E72" si="23">IFERROR(H67*1000/$C67,"NA")</f>
        <v>69.780085522296886</v>
      </c>
      <c r="F67" s="1938">
        <f t="shared" ref="F67:G72" si="24">IFERROR(I67*1000000/$C67,"NA")</f>
        <v>3.6865733872453479</v>
      </c>
      <c r="G67" s="1938">
        <f t="shared" si="24"/>
        <v>3.7086811918821687</v>
      </c>
      <c r="H67" s="699">
        <v>3426.9000000000005</v>
      </c>
      <c r="I67" s="699">
        <v>0.18104761904761904</v>
      </c>
      <c r="J67" s="699">
        <v>0.18213333333333334</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t="s">
        <v>199</v>
      </c>
      <c r="D69" s="3057" t="s">
        <v>97</v>
      </c>
      <c r="E69" s="1938" t="str">
        <f t="shared" si="23"/>
        <v>NA</v>
      </c>
      <c r="F69" s="1938" t="str">
        <f t="shared" si="24"/>
        <v>NA</v>
      </c>
      <c r="G69" s="1938" t="str">
        <f t="shared" si="24"/>
        <v>NA</v>
      </c>
      <c r="H69" s="699" t="s">
        <v>199</v>
      </c>
      <c r="I69" s="699" t="s">
        <v>199</v>
      </c>
      <c r="J69" s="699" t="s">
        <v>199</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5910.0192808193106</v>
      </c>
      <c r="D93" s="3057" t="s">
        <v>97</v>
      </c>
      <c r="E93" s="2160"/>
      <c r="F93" s="2160"/>
      <c r="G93" s="2160"/>
      <c r="H93" s="3087">
        <f>IF(SUM(H94:H98)=0,"NO",SUM(H94:H98))</f>
        <v>411.10379258697043</v>
      </c>
      <c r="I93" s="3087">
        <f>IF(SUM(I94:I99)=0,"NO",SUM(I94:I99))</f>
        <v>2.0005631554104654E-2</v>
      </c>
      <c r="J93" s="3091">
        <f>IF(SUM(J94:J99)=0,"NO",SUM(J94:J99))</f>
        <v>1.1159489747144877E-2</v>
      </c>
      <c r="K93" s="442" t="str">
        <f>IF(SUM(K94:K99)=0,"NO",SUM(K94:K99))</f>
        <v>NO</v>
      </c>
    </row>
    <row r="94" spans="2:11" ht="18" customHeight="1" x14ac:dyDescent="0.2">
      <c r="B94" s="282" t="s">
        <v>243</v>
      </c>
      <c r="C94" s="1938">
        <f>IF(SUM(C102,C110)=0,"NO",SUM(C102,C110))</f>
        <v>5910.0192808193106</v>
      </c>
      <c r="D94" s="1938" t="s">
        <v>97</v>
      </c>
      <c r="E94" s="1938">
        <f t="shared" ref="E94:E99" si="32">IFERROR(H94*1000/$C94,"NA")</f>
        <v>69.560482471045134</v>
      </c>
      <c r="F94" s="1938">
        <f t="shared" ref="F94:G99" si="33">IFERROR(I94*1000000/$C94,"NA")</f>
        <v>3.3850365969248171</v>
      </c>
      <c r="G94" s="1938">
        <f t="shared" si="33"/>
        <v>1.8882323757153341</v>
      </c>
      <c r="H94" s="1938">
        <f t="shared" ref="H94:K97" si="34">IF(SUM(H102,H110)=0,"NO",SUM(H102,H110))</f>
        <v>411.10379258697043</v>
      </c>
      <c r="I94" s="1938">
        <f t="shared" si="34"/>
        <v>2.0005631554104654E-2</v>
      </c>
      <c r="J94" s="1938">
        <f t="shared" si="34"/>
        <v>1.1159489747144877E-2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5910.0192808193106</v>
      </c>
      <c r="D108" s="1938" t="s">
        <v>97</v>
      </c>
      <c r="E108" s="1957"/>
      <c r="F108" s="1957"/>
      <c r="G108" s="1957"/>
      <c r="H108" s="3057">
        <f>H109</f>
        <v>411.10379258697043</v>
      </c>
      <c r="I108" s="3057">
        <f>I109</f>
        <v>2.0005631554104654E-2</v>
      </c>
      <c r="J108" s="3088">
        <f>J109</f>
        <v>1.1159489747144877E-2</v>
      </c>
      <c r="K108" s="2931"/>
    </row>
    <row r="109" spans="2:11" ht="18" customHeight="1" x14ac:dyDescent="0.2">
      <c r="B109" s="3103" t="s">
        <v>339</v>
      </c>
      <c r="C109" s="3077">
        <f>IF(SUM(C110:C114)=0,"NO",SUM(C110:C114))</f>
        <v>5910.0192808193106</v>
      </c>
      <c r="D109" s="1938" t="s">
        <v>97</v>
      </c>
      <c r="E109" s="615"/>
      <c r="F109" s="615"/>
      <c r="G109" s="615"/>
      <c r="H109" s="3077">
        <f>IF(SUM(H110:H113)=0,"NO",SUM(H110:H113))</f>
        <v>411.10379258697043</v>
      </c>
      <c r="I109" s="3077">
        <f>IF(SUM(I110:I114)=0,"NO",SUM(I110:I114))</f>
        <v>2.0005631554104654E-2</v>
      </c>
      <c r="J109" s="3077">
        <f>IF(SUM(J110:J114)=0,"NO",SUM(J110:J114))</f>
        <v>1.1159489747144877E-2</v>
      </c>
      <c r="K109" s="2931"/>
    </row>
    <row r="110" spans="2:11" ht="18" customHeight="1" x14ac:dyDescent="0.2">
      <c r="B110" s="282" t="s">
        <v>243</v>
      </c>
      <c r="C110" s="699">
        <v>5910.0192808193106</v>
      </c>
      <c r="D110" s="1938" t="s">
        <v>97</v>
      </c>
      <c r="E110" s="1938">
        <f t="shared" ref="E110:E114" si="37">IFERROR(H110*1000/$C110,"NA")</f>
        <v>69.560482471045134</v>
      </c>
      <c r="F110" s="1938">
        <f t="shared" ref="F110:G114" si="38">IFERROR(I110*1000000/$C110,"NA")</f>
        <v>3.3850365969248171</v>
      </c>
      <c r="G110" s="1938">
        <f t="shared" si="38"/>
        <v>1.8882323757153341</v>
      </c>
      <c r="H110" s="699">
        <v>411.10379258697043</v>
      </c>
      <c r="I110" s="699">
        <v>2.0005631554104654E-2</v>
      </c>
      <c r="J110" s="699">
        <v>1.1159489747144877E-2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v>
      </c>
      <c r="D114" s="2891" t="s">
        <v>97</v>
      </c>
      <c r="E114" s="2891" t="str">
        <f t="shared" si="37"/>
        <v>NA</v>
      </c>
      <c r="F114" s="2891" t="str">
        <f t="shared" si="38"/>
        <v>NA</v>
      </c>
      <c r="G114" s="2891" t="str">
        <f t="shared" si="38"/>
        <v>NA</v>
      </c>
      <c r="H114" s="1562" t="s">
        <v>199</v>
      </c>
      <c r="I114" s="1562" t="s">
        <v>199</v>
      </c>
      <c r="J114" s="1562" t="s">
        <v>199</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1182335</v>
      </c>
      <c r="G11" s="3326">
        <v>518146.56</v>
      </c>
      <c r="H11" s="3326">
        <v>326391.8</v>
      </c>
      <c r="I11" s="3346"/>
      <c r="J11" s="3326">
        <v>-39100</v>
      </c>
      <c r="K11" s="3334">
        <f t="shared" ref="K11:K28" si="0">IF((SUM(F11:G11)-SUM(H11:J11))=0,"NO",(SUM(F11:G11)-SUM(H11:J11)))</f>
        <v>1413189.76</v>
      </c>
      <c r="L11" s="2597">
        <f>IF(K11="NO","NA",1)</f>
        <v>1</v>
      </c>
      <c r="M11" s="5" t="s">
        <v>97</v>
      </c>
      <c r="N11" s="3334">
        <f>K11</f>
        <v>1413189.76</v>
      </c>
      <c r="O11" s="3307">
        <v>18.980716253443529</v>
      </c>
      <c r="P11" s="3334">
        <f>IFERROR(N11*O11/1000,"NA")</f>
        <v>26823.35384683196</v>
      </c>
      <c r="Q11" s="3334" t="str">
        <f>'Table1.A(d)'!G11</f>
        <v>NA</v>
      </c>
      <c r="R11" s="3334">
        <f>IF(SUM(P11,-SUM(Q11))=0,"NO",SUM(P11,-SUM(Q11)))</f>
        <v>26823.35384683196</v>
      </c>
      <c r="S11" s="2597">
        <f>IF(R11="NO","NA",1)</f>
        <v>1</v>
      </c>
      <c r="T11" s="3340">
        <f>IF(R11="NO","NO",R11*S11*44/12)</f>
        <v>98352.297438383859</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103756.85</v>
      </c>
      <c r="G13" s="3326" t="s">
        <v>199</v>
      </c>
      <c r="H13" s="3326" t="s">
        <v>199</v>
      </c>
      <c r="I13" s="3346"/>
      <c r="J13" s="3326" t="s">
        <v>199</v>
      </c>
      <c r="K13" s="3334">
        <f t="shared" si="0"/>
        <v>103756.85</v>
      </c>
      <c r="L13" s="2597">
        <f t="shared" si="1"/>
        <v>1</v>
      </c>
      <c r="M13" s="5" t="s">
        <v>97</v>
      </c>
      <c r="N13" s="3334">
        <f t="shared" si="2"/>
        <v>103756.85</v>
      </c>
      <c r="O13" s="3307">
        <v>16.31634816925779</v>
      </c>
      <c r="P13" s="3334">
        <f t="shared" si="3"/>
        <v>1692.9328895454551</v>
      </c>
      <c r="Q13" s="3334" t="str">
        <f>'Table1.A(d)'!G13</f>
        <v>NA</v>
      </c>
      <c r="R13" s="3334">
        <f>IF(SUM(P13,-SUM(Q13))=0,"NO",SUM(P13,-SUM(Q13)))</f>
        <v>1692.9328895454551</v>
      </c>
      <c r="S13" s="2597">
        <f t="shared" si="4"/>
        <v>1</v>
      </c>
      <c r="T13" s="3340">
        <f t="shared" si="5"/>
        <v>6207.4205950000023</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24507.900097199999</v>
      </c>
      <c r="H15" s="3326">
        <v>12844.4</v>
      </c>
      <c r="I15" s="3326" t="s">
        <v>199</v>
      </c>
      <c r="J15" s="3326">
        <v>-3802.92</v>
      </c>
      <c r="K15" s="3334">
        <f t="shared" si="0"/>
        <v>15466.4200972</v>
      </c>
      <c r="L15" s="2597">
        <f>IF(K15="NO","NA",1)</f>
        <v>1</v>
      </c>
      <c r="M15" s="5" t="s">
        <v>97</v>
      </c>
      <c r="N15" s="3334">
        <f t="shared" si="2"/>
        <v>15466.4200972</v>
      </c>
      <c r="O15" s="3307">
        <v>18.3981248054146</v>
      </c>
      <c r="P15" s="3334">
        <f t="shared" si="3"/>
        <v>284.55312724125821</v>
      </c>
      <c r="Q15" s="3334" t="str">
        <f>'Table1.A(d)'!G15</f>
        <v>NA</v>
      </c>
      <c r="R15" s="3334">
        <f>IF(SUM(P15,-SUM(Q15))=0,"NO",SUM(P15,-SUM(Q15)))</f>
        <v>284.55312724125821</v>
      </c>
      <c r="S15" s="2597">
        <f>IF(R15="NO","NA",1)</f>
        <v>1</v>
      </c>
      <c r="T15" s="3340">
        <f>IF(R15="NO","NO",R15*S15*44/12)</f>
        <v>1043.36146655128</v>
      </c>
    </row>
    <row r="16" spans="2:20" ht="18" customHeight="1" x14ac:dyDescent="0.2">
      <c r="B16" s="1730"/>
      <c r="C16" s="1570"/>
      <c r="D16" s="36" t="s">
        <v>293</v>
      </c>
      <c r="E16" s="2595" t="s">
        <v>374</v>
      </c>
      <c r="F16" s="3347"/>
      <c r="G16" s="3326">
        <v>3841.92</v>
      </c>
      <c r="H16" s="3326">
        <v>11809.119999999999</v>
      </c>
      <c r="I16" s="3326">
        <v>65500</v>
      </c>
      <c r="J16" s="3326">
        <v>728.4799999999999</v>
      </c>
      <c r="K16" s="3334">
        <f t="shared" si="0"/>
        <v>-74195.679999999993</v>
      </c>
      <c r="L16" s="2597">
        <f t="shared" ref="L16:L28" si="6">IF(K16="NO","NA",1)</f>
        <v>1</v>
      </c>
      <c r="M16" s="5" t="s">
        <v>97</v>
      </c>
      <c r="N16" s="3334">
        <f t="shared" si="2"/>
        <v>-74195.679999999993</v>
      </c>
      <c r="O16" s="3307">
        <v>18.981818181818181</v>
      </c>
      <c r="P16" s="3334">
        <f t="shared" si="3"/>
        <v>-1408.3689076363635</v>
      </c>
      <c r="Q16" s="3334" t="str">
        <f>'Table1.A(d)'!G16</f>
        <v>NA</v>
      </c>
      <c r="R16" s="3334">
        <f t="shared" ref="R16:R44" si="7">IF(SUM(P16,-SUM(Q16))=0,"NO",SUM(P16,-SUM(Q16)))</f>
        <v>-1408.3689076363635</v>
      </c>
      <c r="S16" s="2597">
        <f t="shared" ref="S16:S28" si="8">IF(R16="NO","NA",1)</f>
        <v>1</v>
      </c>
      <c r="T16" s="3340">
        <f t="shared" ref="T16:T28" si="9">IF(R16="NO","NO",R16*S16*44/12)</f>
        <v>-5164.0193279999994</v>
      </c>
    </row>
    <row r="17" spans="2:20" ht="18" customHeight="1" x14ac:dyDescent="0.2">
      <c r="B17" s="1730"/>
      <c r="C17" s="1570"/>
      <c r="D17" s="36" t="s">
        <v>379</v>
      </c>
      <c r="E17" s="2595" t="s">
        <v>374</v>
      </c>
      <c r="F17" s="3346"/>
      <c r="G17" s="3326">
        <v>1317.6000000000001</v>
      </c>
      <c r="H17" s="3326">
        <v>2481.48</v>
      </c>
      <c r="I17" s="3326" t="s">
        <v>199</v>
      </c>
      <c r="J17" s="3326">
        <v>-172.05</v>
      </c>
      <c r="K17" s="3334">
        <f t="shared" si="0"/>
        <v>-991.8299999999997</v>
      </c>
      <c r="L17" s="2597">
        <f t="shared" si="6"/>
        <v>1</v>
      </c>
      <c r="M17" s="5" t="s">
        <v>97</v>
      </c>
      <c r="N17" s="3334">
        <f t="shared" si="2"/>
        <v>-991.8299999999997</v>
      </c>
      <c r="O17" s="3307">
        <v>18.790909090909089</v>
      </c>
      <c r="P17" s="3334">
        <f t="shared" si="3"/>
        <v>-18.637387363636357</v>
      </c>
      <c r="Q17" s="3334" t="str">
        <f>'Table1.A(d)'!G17</f>
        <v>NA</v>
      </c>
      <c r="R17" s="3334">
        <f t="shared" si="7"/>
        <v>-18.637387363636357</v>
      </c>
      <c r="S17" s="2597">
        <f t="shared" si="8"/>
        <v>1</v>
      </c>
      <c r="T17" s="3340">
        <f t="shared" si="9"/>
        <v>-68.337086999999983</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17825.480000000003</v>
      </c>
      <c r="H19" s="3326">
        <v>34037.480000000003</v>
      </c>
      <c r="I19" s="3326">
        <v>4420</v>
      </c>
      <c r="J19" s="3326">
        <v>-9202.08</v>
      </c>
      <c r="K19" s="3334">
        <f t="shared" si="0"/>
        <v>-11429.919999999998</v>
      </c>
      <c r="L19" s="2597">
        <f t="shared" si="6"/>
        <v>1</v>
      </c>
      <c r="M19" s="5" t="s">
        <v>97</v>
      </c>
      <c r="N19" s="3334">
        <f t="shared" si="2"/>
        <v>-11429.919999999998</v>
      </c>
      <c r="O19" s="3307">
        <v>19.06363636363637</v>
      </c>
      <c r="P19" s="3334">
        <f t="shared" si="3"/>
        <v>-217.89583854545458</v>
      </c>
      <c r="Q19" s="3334" t="str">
        <f>'Table1.A(d)'!G19</f>
        <v>NA</v>
      </c>
      <c r="R19" s="3334">
        <f t="shared" si="7"/>
        <v>-217.89583854545458</v>
      </c>
      <c r="S19" s="2597">
        <f t="shared" si="8"/>
        <v>1</v>
      </c>
      <c r="T19" s="3340">
        <f t="shared" si="9"/>
        <v>-798.95140800000024</v>
      </c>
    </row>
    <row r="20" spans="2:20" ht="18" customHeight="1" x14ac:dyDescent="0.2">
      <c r="B20" s="1730"/>
      <c r="C20" s="1570"/>
      <c r="D20" s="36" t="s">
        <v>306</v>
      </c>
      <c r="E20" s="2595" t="s">
        <v>374</v>
      </c>
      <c r="F20" s="3346"/>
      <c r="G20" s="3326" t="s">
        <v>199</v>
      </c>
      <c r="H20" s="3326">
        <v>34856.6</v>
      </c>
      <c r="I20" s="3326">
        <v>21310</v>
      </c>
      <c r="J20" s="3326">
        <v>2040.1499999999996</v>
      </c>
      <c r="K20" s="3334">
        <f t="shared" si="0"/>
        <v>-58206.75</v>
      </c>
      <c r="L20" s="2597">
        <f t="shared" si="6"/>
        <v>1</v>
      </c>
      <c r="M20" s="5" t="s">
        <v>97</v>
      </c>
      <c r="N20" s="3334">
        <f t="shared" si="2"/>
        <v>-58206.75</v>
      </c>
      <c r="O20" s="3307">
        <v>20.072727272727271</v>
      </c>
      <c r="P20" s="3334">
        <f t="shared" si="3"/>
        <v>-1168.3682181818181</v>
      </c>
      <c r="Q20" s="3334" t="str">
        <f>'Table1.A(d)'!G20</f>
        <v>NA</v>
      </c>
      <c r="R20" s="3334">
        <f t="shared" si="7"/>
        <v>-1168.3682181818181</v>
      </c>
      <c r="S20" s="2597">
        <f t="shared" si="8"/>
        <v>1</v>
      </c>
      <c r="T20" s="3340">
        <f t="shared" si="9"/>
        <v>-4284.0167999999994</v>
      </c>
    </row>
    <row r="21" spans="2:20" ht="18" customHeight="1" x14ac:dyDescent="0.2">
      <c r="B21" s="1730"/>
      <c r="C21" s="1570"/>
      <c r="D21" s="36" t="s">
        <v>283</v>
      </c>
      <c r="E21" s="2595" t="s">
        <v>374</v>
      </c>
      <c r="F21" s="3346"/>
      <c r="G21" s="3326">
        <v>948.69999999999993</v>
      </c>
      <c r="H21" s="3326">
        <v>39647.25</v>
      </c>
      <c r="I21" s="3346"/>
      <c r="J21" s="3326">
        <v>198.4</v>
      </c>
      <c r="K21" s="3334">
        <f t="shared" si="0"/>
        <v>-38896.950000000004</v>
      </c>
      <c r="L21" s="2597">
        <f t="shared" si="6"/>
        <v>1</v>
      </c>
      <c r="M21" s="5" t="s">
        <v>97</v>
      </c>
      <c r="N21" s="3334">
        <f t="shared" si="2"/>
        <v>-38896.950000000004</v>
      </c>
      <c r="O21" s="3307">
        <v>16.418181818181822</v>
      </c>
      <c r="P21" s="3334">
        <f t="shared" si="3"/>
        <v>-638.61719727272748</v>
      </c>
      <c r="Q21" s="3334" t="str">
        <f>'Table1.A(d)'!G21</f>
        <v>NA</v>
      </c>
      <c r="R21" s="3334">
        <f t="shared" si="7"/>
        <v>-638.61719727272748</v>
      </c>
      <c r="S21" s="2597">
        <f t="shared" si="8"/>
        <v>1</v>
      </c>
      <c r="T21" s="3340">
        <f t="shared" si="9"/>
        <v>-2341.5963900000006</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260.35402145708582</v>
      </c>
      <c r="R22" s="3334">
        <f t="shared" si="7"/>
        <v>-260.35402145708582</v>
      </c>
      <c r="S22" s="2597">
        <f t="shared" si="8"/>
        <v>1</v>
      </c>
      <c r="T22" s="3340">
        <f t="shared" si="9"/>
        <v>-954.63141200931466</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329.99999999999994</v>
      </c>
      <c r="H24" s="3326" t="s">
        <v>199</v>
      </c>
      <c r="I24" s="3346"/>
      <c r="J24" s="3326">
        <v>149.44999999999999</v>
      </c>
      <c r="K24" s="3334">
        <f t="shared" si="0"/>
        <v>180.54999999999995</v>
      </c>
      <c r="L24" s="2597">
        <f t="shared" si="6"/>
        <v>1</v>
      </c>
      <c r="M24" s="5" t="s">
        <v>97</v>
      </c>
      <c r="N24" s="3334">
        <f t="shared" si="2"/>
        <v>180.54999999999995</v>
      </c>
      <c r="O24" s="3307">
        <v>22.009090909090911</v>
      </c>
      <c r="P24" s="3334">
        <f t="shared" si="3"/>
        <v>3.9737413636363632</v>
      </c>
      <c r="Q24" s="3334">
        <f>'Table1.A(d)'!G24</f>
        <v>603.04909090909086</v>
      </c>
      <c r="R24" s="3334">
        <f t="shared" si="7"/>
        <v>-599.07534954545451</v>
      </c>
      <c r="S24" s="2597">
        <f t="shared" si="8"/>
        <v>1</v>
      </c>
      <c r="T24" s="3340">
        <f t="shared" si="9"/>
        <v>-2196.6096149999998</v>
      </c>
    </row>
    <row r="25" spans="2:20" ht="18" customHeight="1" x14ac:dyDescent="0.2">
      <c r="B25" s="1730"/>
      <c r="C25" s="1570"/>
      <c r="D25" s="36" t="s">
        <v>297</v>
      </c>
      <c r="E25" s="2595" t="s">
        <v>374</v>
      </c>
      <c r="F25" s="3346"/>
      <c r="G25" s="3326">
        <v>869.11999999999978</v>
      </c>
      <c r="H25" s="3326">
        <v>11570.159999999998</v>
      </c>
      <c r="I25" s="3326" t="s">
        <v>199</v>
      </c>
      <c r="J25" s="3326">
        <v>824.6</v>
      </c>
      <c r="K25" s="3334">
        <f t="shared" si="0"/>
        <v>-11525.64</v>
      </c>
      <c r="L25" s="2597">
        <f t="shared" si="6"/>
        <v>1</v>
      </c>
      <c r="M25" s="5" t="s">
        <v>97</v>
      </c>
      <c r="N25" s="3334">
        <f t="shared" si="2"/>
        <v>-11525.64</v>
      </c>
      <c r="O25" s="3307">
        <v>18.991363636363641</v>
      </c>
      <c r="P25" s="3334">
        <f t="shared" si="3"/>
        <v>-218.88762038181821</v>
      </c>
      <c r="Q25" s="3334">
        <f>'Table1.A(d)'!G25</f>
        <v>353.23936363636369</v>
      </c>
      <c r="R25" s="3334">
        <f t="shared" si="7"/>
        <v>-572.12698401818193</v>
      </c>
      <c r="S25" s="2597">
        <f t="shared" si="8"/>
        <v>1</v>
      </c>
      <c r="T25" s="3340">
        <f t="shared" si="9"/>
        <v>-2097.7989414000003</v>
      </c>
    </row>
    <row r="26" spans="2:20" ht="18" customHeight="1" x14ac:dyDescent="0.2">
      <c r="B26" s="1730"/>
      <c r="C26" s="1570"/>
      <c r="D26" s="36" t="s">
        <v>384</v>
      </c>
      <c r="E26" s="2595" t="s">
        <v>374</v>
      </c>
      <c r="F26" s="3346"/>
      <c r="G26" s="3326">
        <v>9050.9217091091286</v>
      </c>
      <c r="H26" s="3326" t="s">
        <v>199</v>
      </c>
      <c r="I26" s="3346"/>
      <c r="J26" s="3326" t="s">
        <v>199</v>
      </c>
      <c r="K26" s="3334">
        <f t="shared" si="0"/>
        <v>9050.9217091091286</v>
      </c>
      <c r="L26" s="2597">
        <f t="shared" si="6"/>
        <v>1</v>
      </c>
      <c r="M26" s="5" t="s">
        <v>97</v>
      </c>
      <c r="N26" s="3334">
        <f t="shared" si="2"/>
        <v>9050.9217091091286</v>
      </c>
      <c r="O26" s="3307">
        <v>25.26136363636364</v>
      </c>
      <c r="P26" s="3334">
        <f t="shared" si="3"/>
        <v>228.6386245380636</v>
      </c>
      <c r="Q26" s="3334">
        <f>'Table1.A(d)'!G26</f>
        <v>228.63862453806354</v>
      </c>
      <c r="R26" s="3334">
        <f t="shared" si="7"/>
        <v>5.6843418860808015E-14</v>
      </c>
      <c r="S26" s="2597">
        <f t="shared" si="8"/>
        <v>1</v>
      </c>
      <c r="T26" s="3340">
        <f t="shared" si="9"/>
        <v>2.0842586915629605E-13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20516.399999999998</v>
      </c>
      <c r="H28" s="3326">
        <v>5034.7999999999993</v>
      </c>
      <c r="I28" s="3346"/>
      <c r="J28" s="3326">
        <v>-1678.66</v>
      </c>
      <c r="K28" s="3334">
        <f t="shared" si="0"/>
        <v>17160.259999999998</v>
      </c>
      <c r="L28" s="2597">
        <f t="shared" si="6"/>
        <v>1</v>
      </c>
      <c r="M28" s="5" t="s">
        <v>97</v>
      </c>
      <c r="N28" s="3334">
        <f t="shared" si="2"/>
        <v>17160.259999999998</v>
      </c>
      <c r="O28" s="3307">
        <v>19.03667936584559</v>
      </c>
      <c r="P28" s="3334">
        <f t="shared" si="3"/>
        <v>326.6743674545454</v>
      </c>
      <c r="Q28" s="3334">
        <f>'Table1.A(d)'!G28</f>
        <v>550.51696949362599</v>
      </c>
      <c r="R28" s="3334">
        <f t="shared" si="7"/>
        <v>-223.84260203908059</v>
      </c>
      <c r="S28" s="2597">
        <f t="shared" si="8"/>
        <v>1</v>
      </c>
      <c r="T28" s="3340">
        <f t="shared" si="9"/>
        <v>-820.75620747662879</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1363557.9918063094</v>
      </c>
      <c r="O31" s="3329"/>
      <c r="P31" s="3336">
        <f>SUM(P11:P29)</f>
        <v>25689.351427593105</v>
      </c>
      <c r="Q31" s="3336">
        <f>SUM(Q11:Q29)</f>
        <v>1995.7980700342298</v>
      </c>
      <c r="R31" s="3334">
        <f t="shared" si="7"/>
        <v>23693.553357558874</v>
      </c>
      <c r="S31" s="2598"/>
      <c r="T31" s="3342">
        <f>SUM(T11:T29)</f>
        <v>86876.362311049204</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4393002.8108820608</v>
      </c>
      <c r="G35" s="3326" t="s">
        <v>199</v>
      </c>
      <c r="H35" s="3326">
        <v>3217000</v>
      </c>
      <c r="I35" s="3326" t="s">
        <v>199</v>
      </c>
      <c r="J35" s="3326">
        <v>37700</v>
      </c>
      <c r="K35" s="3334">
        <f t="shared" si="10"/>
        <v>1138302.8108820608</v>
      </c>
      <c r="L35" s="2597">
        <f t="shared" si="11"/>
        <v>1</v>
      </c>
      <c r="M35" s="55" t="s">
        <v>97</v>
      </c>
      <c r="N35" s="3334">
        <f t="shared" si="12"/>
        <v>1138302.8108820608</v>
      </c>
      <c r="O35" s="3307">
        <v>23.96022247097331</v>
      </c>
      <c r="P35" s="3334">
        <f t="shared" si="13"/>
        <v>27273.988588068438</v>
      </c>
      <c r="Q35" s="3334">
        <f>'Table1.A(d)'!G35</f>
        <v>153.3709410278293</v>
      </c>
      <c r="R35" s="3334">
        <f t="shared" si="7"/>
        <v>27120.61764704061</v>
      </c>
      <c r="S35" s="2597">
        <f t="shared" si="14"/>
        <v>1</v>
      </c>
      <c r="T35" s="3340">
        <f t="shared" si="15"/>
        <v>99442.264705815571</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483279.24188519199</v>
      </c>
      <c r="G37" s="3326" t="s">
        <v>199</v>
      </c>
      <c r="H37" s="3326" t="s">
        <v>199</v>
      </c>
      <c r="I37" s="3346"/>
      <c r="J37" s="3326" t="s">
        <v>199</v>
      </c>
      <c r="K37" s="3334">
        <f t="shared" si="10"/>
        <v>483279.24188519199</v>
      </c>
      <c r="L37" s="2597">
        <f t="shared" si="11"/>
        <v>1</v>
      </c>
      <c r="M37" s="55" t="s">
        <v>97</v>
      </c>
      <c r="N37" s="3334">
        <f t="shared" si="12"/>
        <v>483279.24188519199</v>
      </c>
      <c r="O37" s="3307">
        <v>27.623031075440679</v>
      </c>
      <c r="P37" s="3334">
        <f t="shared" si="13"/>
        <v>13349.63751671007</v>
      </c>
      <c r="Q37" s="3334" t="str">
        <f>'Table1.A(d)'!G37</f>
        <v>NO</v>
      </c>
      <c r="R37" s="3334">
        <f t="shared" si="7"/>
        <v>13349.63751671007</v>
      </c>
      <c r="S37" s="2597">
        <f t="shared" si="14"/>
        <v>1</v>
      </c>
      <c r="T37" s="3340">
        <f t="shared" si="15"/>
        <v>48948.670894603594</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v>1000</v>
      </c>
      <c r="I40" s="3346"/>
      <c r="J40" s="3326">
        <v>500</v>
      </c>
      <c r="K40" s="3334">
        <f t="shared" ref="K40:K42" si="16">IF((SUM(F40:G40)-SUM(H40:J40))=0,"NO",(SUM(F40:G40)-SUM(H40:J40)))</f>
        <v>-1500</v>
      </c>
      <c r="L40" s="2597">
        <f t="shared" ref="L40:L42" si="17">IF(K40="NO","NA",1)</f>
        <v>1</v>
      </c>
      <c r="M40" s="55" t="s">
        <v>97</v>
      </c>
      <c r="N40" s="3334">
        <f t="shared" ref="N40:N42" si="18">K40</f>
        <v>-1500</v>
      </c>
      <c r="O40" s="3307">
        <v>25.90909090909091</v>
      </c>
      <c r="P40" s="3334">
        <f t="shared" ref="P40:P42" si="19">IFERROR(N40*O40/1000,"NA")</f>
        <v>-38.863636363636367</v>
      </c>
      <c r="Q40" s="3334" t="str">
        <f>'Table1.A(d)'!G40</f>
        <v>NA</v>
      </c>
      <c r="R40" s="3334">
        <f t="shared" si="7"/>
        <v>-38.863636363636367</v>
      </c>
      <c r="S40" s="2597">
        <f t="shared" ref="S40:S42" si="20">IF(R40="NO","NA",1)</f>
        <v>1</v>
      </c>
      <c r="T40" s="3340">
        <f t="shared" ref="T40:T42" si="21">IF(R40="NO","NO",R40*S40*44/12)</f>
        <v>-142.50000000000003</v>
      </c>
    </row>
    <row r="41" spans="2:20" ht="18" customHeight="1" x14ac:dyDescent="0.2">
      <c r="B41" s="1730"/>
      <c r="C41" s="1570"/>
      <c r="D41" s="31" t="s">
        <v>397</v>
      </c>
      <c r="E41" s="2595" t="s">
        <v>374</v>
      </c>
      <c r="F41" s="3346"/>
      <c r="G41" s="3326" t="s">
        <v>199</v>
      </c>
      <c r="H41" s="3326">
        <v>22600</v>
      </c>
      <c r="I41" s="3346"/>
      <c r="J41" s="3326">
        <v>-21300</v>
      </c>
      <c r="K41" s="3334">
        <f t="shared" si="16"/>
        <v>-1300</v>
      </c>
      <c r="L41" s="2597">
        <f t="shared" si="17"/>
        <v>1</v>
      </c>
      <c r="M41" s="55" t="s">
        <v>97</v>
      </c>
      <c r="N41" s="3334">
        <f t="shared" si="18"/>
        <v>-1300</v>
      </c>
      <c r="O41" s="3307">
        <v>28.898309501490729</v>
      </c>
      <c r="P41" s="3334">
        <f t="shared" si="19"/>
        <v>-37.567802351937949</v>
      </c>
      <c r="Q41" s="3334">
        <f>'Table1.A(d)'!G41</f>
        <v>2485.0282085060257</v>
      </c>
      <c r="R41" s="3334">
        <f t="shared" si="7"/>
        <v>-2522.5960108579638</v>
      </c>
      <c r="S41" s="2597">
        <f t="shared" si="20"/>
        <v>1</v>
      </c>
      <c r="T41" s="3340">
        <f t="shared" si="21"/>
        <v>-9249.5187064792008</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t="s">
        <v>205</v>
      </c>
      <c r="P42" s="3334" t="str">
        <f t="shared" si="19"/>
        <v>NA</v>
      </c>
      <c r="Q42" s="3334">
        <f>'Table1.A(d)'!G42</f>
        <v>81.985239414371236</v>
      </c>
      <c r="R42" s="3334">
        <f t="shared" si="7"/>
        <v>-81.985239414371236</v>
      </c>
      <c r="S42" s="2597">
        <f t="shared" si="20"/>
        <v>1</v>
      </c>
      <c r="T42" s="3340">
        <f t="shared" si="21"/>
        <v>-300.61254451936117</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1618782.0527672528</v>
      </c>
      <c r="O45" s="3329"/>
      <c r="P45" s="3336">
        <f>SUM(P33:P43)</f>
        <v>40547.194666062933</v>
      </c>
      <c r="Q45" s="3336">
        <f>SUM(Q33:Q43)</f>
        <v>2720.3843889482264</v>
      </c>
      <c r="R45" s="3336">
        <f>SUM(R33:R43)</f>
        <v>37826.810277114702</v>
      </c>
      <c r="S45" s="41"/>
      <c r="T45" s="3342">
        <f>SUM(T33:T43)</f>
        <v>138698.30434942062</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829889.25000000012</v>
      </c>
      <c r="G47" s="3326" t="s">
        <v>199</v>
      </c>
      <c r="H47" s="3326">
        <v>185000</v>
      </c>
      <c r="I47" s="3326" t="s">
        <v>199</v>
      </c>
      <c r="J47" s="3326" t="s">
        <v>199</v>
      </c>
      <c r="K47" s="3334">
        <f t="shared" ref="K47" si="22">IF((SUM(F47:G47)-SUM(H47:J47))=0,"NO",(SUM(F47:G47)-SUM(H47:J47)))</f>
        <v>644889.25000000012</v>
      </c>
      <c r="L47" s="2597">
        <f t="shared" ref="L47" si="23">IF(K47="NO","NA",1)</f>
        <v>1</v>
      </c>
      <c r="M47" s="55" t="s">
        <v>97</v>
      </c>
      <c r="N47" s="3334">
        <f t="shared" ref="N47" si="24">K47</f>
        <v>644889.25000000012</v>
      </c>
      <c r="O47" s="3307">
        <v>14.01368470936622</v>
      </c>
      <c r="P47" s="3334">
        <f t="shared" ref="P47" si="25">IFERROR(N47*O47/1000,"NA")</f>
        <v>9037.2746219596502</v>
      </c>
      <c r="Q47" s="3334">
        <f>'Table1.A(d)'!G47</f>
        <v>291.27875333070148</v>
      </c>
      <c r="R47" s="3334">
        <f t="shared" ref="R47" si="26">IF(SUM(P47,-SUM(Q47))=0,"NO",SUM(P47,-SUM(Q47)))</f>
        <v>8745.9958686289483</v>
      </c>
      <c r="S47" s="2597">
        <f t="shared" ref="S47" si="27">IF(R47="NO","NA",1)</f>
        <v>1</v>
      </c>
      <c r="T47" s="3340">
        <f t="shared" ref="T47" si="28">IF(R47="NO","NO",R47*S47*44/12)</f>
        <v>32068.651518306142</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644889.25000000012</v>
      </c>
      <c r="O50" s="3331"/>
      <c r="P50" s="3336">
        <f>SUM(P47:P48)</f>
        <v>9037.2746219596502</v>
      </c>
      <c r="Q50" s="3336">
        <f>SUM(Q47:Q48)</f>
        <v>291.27875333070148</v>
      </c>
      <c r="R50" s="3336">
        <f>SUM(R47:R48)</f>
        <v>8745.9958686289483</v>
      </c>
      <c r="S50" s="2379"/>
      <c r="T50" s="3342">
        <f>SUM(T47:T48)</f>
        <v>32068.651518306142</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3627229.2945735622</v>
      </c>
      <c r="O55" s="3332"/>
      <c r="P55" s="3338">
        <f>SUM(P31,P45,P50,P54)</f>
        <v>75273.820715615686</v>
      </c>
      <c r="Q55" s="3338">
        <f>SUM(Q31,Q45,Q50,Q54)</f>
        <v>5007.4612123131583</v>
      </c>
      <c r="R55" s="3338">
        <f>SUM(R31,R45,R50,R54)</f>
        <v>70266.359503302519</v>
      </c>
      <c r="S55" s="2399"/>
      <c r="T55" s="3344">
        <f>SUM(T31,T45,T50,T54)</f>
        <v>257643.31817877598</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1363.5579918063095</v>
      </c>
      <c r="D10" s="4127">
        <f>C10-'Table1.A(d)'!E31/1000</f>
        <v>1260.0225706064255</v>
      </c>
      <c r="E10" s="4126">
        <f>'Table1.A(b)'!T31</f>
        <v>86876.362311049204</v>
      </c>
      <c r="F10" s="4126">
        <f>'Table1.A(a)s1'!C11/1000</f>
        <v>1260.313644408757</v>
      </c>
      <c r="G10" s="4126">
        <f>'Table1.A(a)s1'!H11</f>
        <v>85739.002620920146</v>
      </c>
      <c r="H10" s="4126">
        <f>100*((D10-F10)/F10)</f>
        <v>-2.309534643402901E-2</v>
      </c>
      <c r="I10" s="4128">
        <f>100*((E10-G10)/G10)</f>
        <v>1.326537113054246</v>
      </c>
      <c r="L10"/>
    </row>
    <row r="11" spans="2:12" ht="18" customHeight="1" x14ac:dyDescent="0.2">
      <c r="B11" s="50" t="s">
        <v>430</v>
      </c>
      <c r="C11" s="4126">
        <f>'Table1.A(b)'!N45/1000</f>
        <v>1618.7820527672527</v>
      </c>
      <c r="D11" s="4126">
        <f>C11-'Table1.A(d)'!E45/1000</f>
        <v>1522.889624506442</v>
      </c>
      <c r="E11" s="4126">
        <f>'Table1.A(b)'!T45</f>
        <v>138698.30434942062</v>
      </c>
      <c r="F11" s="4126">
        <f>'Table1.A(a)s1'!C12/1000</f>
        <v>1494.78159171932</v>
      </c>
      <c r="G11" s="4126">
        <f>'Table1.A(a)s1'!H12</f>
        <v>136203.58880505917</v>
      </c>
      <c r="H11" s="4126">
        <f t="shared" ref="H11:H13" si="0">100*((D11-F11)/F11)</f>
        <v>1.8804106862723522</v>
      </c>
      <c r="I11" s="4128">
        <f t="shared" ref="I11:I13" si="1">100*((E11-G11)/G11)</f>
        <v>1.8316077911368382</v>
      </c>
      <c r="L11"/>
    </row>
    <row r="12" spans="2:12" ht="18" customHeight="1" x14ac:dyDescent="0.2">
      <c r="B12" s="50" t="s">
        <v>431</v>
      </c>
      <c r="C12" s="4126">
        <f>'Table1.A(b)'!N50/1000</f>
        <v>644.88925000000006</v>
      </c>
      <c r="D12" s="4126">
        <f>C12-'Table1.A(d)'!E50/1000</f>
        <v>624.11542692461751</v>
      </c>
      <c r="E12" s="4126">
        <f>'Table1.A(b)'!T50</f>
        <v>32068.651518306142</v>
      </c>
      <c r="F12" s="4126">
        <f>'Table1.A(a)s1'!C13/1000</f>
        <v>615.63288361668447</v>
      </c>
      <c r="G12" s="4126">
        <f>'Table1.A(a)s1'!H13</f>
        <v>31656.227813965859</v>
      </c>
      <c r="H12" s="4126">
        <f t="shared" si="0"/>
        <v>1.3778574104262085</v>
      </c>
      <c r="I12" s="4128">
        <f t="shared" si="1"/>
        <v>1.3028201173051095</v>
      </c>
      <c r="L12"/>
    </row>
    <row r="13" spans="2:12" ht="18" customHeight="1" x14ac:dyDescent="0.2">
      <c r="B13" s="50" t="s">
        <v>432</v>
      </c>
      <c r="C13" s="4126">
        <f>'Table1.A(b)'!N54/1000</f>
        <v>0</v>
      </c>
      <c r="D13" s="4126">
        <f>C13-SUM('Table1.A(d)'!E54)/1000</f>
        <v>0</v>
      </c>
      <c r="E13" s="4126">
        <f>'Table1.A(b)'!T54</f>
        <v>0</v>
      </c>
      <c r="F13" s="4126">
        <f>'Table1.A(a)s1'!C14/1000</f>
        <v>3.7498703489482987</v>
      </c>
      <c r="G13" s="4126">
        <f>'Table1.A(a)s1'!H14</f>
        <v>337.15649657791033</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3627.2292945735626</v>
      </c>
      <c r="D15" s="4196">
        <f>SUM(D10:D14)</f>
        <v>3407.0276220374849</v>
      </c>
      <c r="E15" s="4196">
        <f>SUM(E10:E14)</f>
        <v>257643.31817877598</v>
      </c>
      <c r="F15" s="4196">
        <f>SUM(F10:F14)</f>
        <v>3374.4779900937096</v>
      </c>
      <c r="G15" s="4196">
        <f>SUM(G10:G14)</f>
        <v>253935.97573652311</v>
      </c>
      <c r="H15" s="4197">
        <f t="shared" ref="H15" si="2">100*((D15-F15)/F15)</f>
        <v>0.96458273070174416</v>
      </c>
      <c r="I15" s="4198">
        <f t="shared" ref="I15" si="3">100*((E15-G15)/G15)</f>
        <v>1.4599516399753898</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f3ac41a9-262d-4755-bd43-8a680e000c6c"/>
    <ds:schemaRef ds:uri="http://schemas.microsoft.com/office/2006/documentManagement/types"/>
    <ds:schemaRef ds:uri="http://purl.org/dc/terms/"/>
    <ds:schemaRef ds:uri="3c3f7c97-9070-4768-a3ac-fb4f4af74aa6"/>
    <ds:schemaRef ds:uri="http://schemas.openxmlformats.org/package/2006/metadata/core-properties"/>
    <ds:schemaRef ds:uri="http://purl.org/dc/elements/1.1/"/>
    <ds:schemaRef ds:uri="http://purl.org/dc/dcmitype/"/>
    <ds:schemaRef ds:uri="http://schemas.microsoft.com/office/2006/metadata/properties"/>
    <ds:schemaRef ds:uri="http://schemas.microsoft.com/office/infopath/2007/PartnerControls"/>
    <ds:schemaRef ds:uri="81c01dc6-2c49-4730-b140-874c95cac37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Oliver, Steven</cp:lastModifiedBy>
  <cp:revision/>
  <dcterms:created xsi:type="dcterms:W3CDTF">2011-02-23T16:15:13Z</dcterms:created>
  <dcterms:modified xsi:type="dcterms:W3CDTF">2024-04-12T00:26:06Z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