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6" documentId="13_ncr:1_{45DA8B01-B873-4FAA-BCB8-DAB4C38885F5}" xr6:coauthVersionLast="47" xr6:coauthVersionMax="47" xr10:uidLastSave="{50481366-6E60-4D59-B475-34079F23DF95}"/>
  <bookViews>
    <workbookView xWindow="555" yWindow="1710" windowWidth="26865" windowHeight="13545"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O18" i="70"/>
  <c r="O12" i="70"/>
  <c r="C30" i="70"/>
  <c r="Q26" i="70"/>
  <c r="I50" i="70"/>
  <c r="C41" i="70"/>
  <c r="O41" i="70" l="1"/>
  <c r="O50" i="70"/>
  <c r="C18" i="70"/>
  <c r="O11" i="70"/>
  <c r="I18" i="70"/>
  <c r="T26" i="70"/>
  <c r="R26" i="70"/>
  <c r="S26" i="70"/>
  <c r="O22" i="70"/>
  <c r="I22" i="70"/>
  <c r="O30" i="70"/>
  <c r="I30" i="70"/>
  <c r="I12" i="70"/>
  <c r="C12" i="70"/>
  <c r="C11" i="70" s="1"/>
  <c r="C10" i="70" s="1"/>
  <c r="I41" i="70"/>
  <c r="C22" i="70"/>
  <c r="O10" i="70" l="1"/>
  <c r="I11" i="70"/>
  <c r="I10" i="70" s="1"/>
  <c r="C10" i="73" l="1"/>
  <c r="E34" i="73" s="1"/>
  <c r="E35" i="73" s="1"/>
  <c r="D302" i="56" l="1"/>
  <c r="D281" i="56"/>
  <c r="D282" i="56"/>
  <c r="D423" i="56"/>
  <c r="D415" i="56"/>
  <c r="C17" i="124"/>
  <c r="C11" i="124"/>
  <c r="C10" i="124" s="1"/>
  <c r="D411" i="56" l="1"/>
  <c r="D331" i="56"/>
  <c r="D327" i="56" s="1"/>
  <c r="D277" i="56"/>
  <c r="R18" i="50"/>
  <c r="R13" i="50" s="1"/>
  <c r="R10" i="50" s="1"/>
  <c r="Q17" i="52"/>
  <c r="Q11" i="52" s="1"/>
  <c r="Q10" i="52" s="1"/>
  <c r="Q11" i="53"/>
  <c r="P11" i="53"/>
  <c r="R21" i="51"/>
  <c r="R15" i="51" s="1"/>
  <c r="R10" i="51" s="1"/>
  <c r="E21" i="51" l="1"/>
  <c r="K22" i="51"/>
  <c r="D22" i="51"/>
  <c r="F21" i="51"/>
  <c r="L22" i="51"/>
  <c r="K15" i="52"/>
  <c r="D15" i="52"/>
  <c r="E14" i="52"/>
  <c r="Q21" i="51"/>
  <c r="S22" i="51"/>
  <c r="S21" i="51" s="1"/>
  <c r="N11" i="53"/>
  <c r="K16" i="52"/>
  <c r="D16" i="52"/>
  <c r="K18" i="52"/>
  <c r="D18" i="52"/>
  <c r="K12" i="51"/>
  <c r="D12" i="51"/>
  <c r="I35" i="47"/>
  <c r="F18" i="50"/>
  <c r="L19" i="50"/>
  <c r="Q18" i="50"/>
  <c r="S19" i="50"/>
  <c r="S18" i="50" s="1"/>
  <c r="E18" i="50"/>
  <c r="K18" i="50" s="1"/>
  <c r="D19" i="50"/>
  <c r="K19" i="50"/>
  <c r="P17" i="52"/>
  <c r="P11" i="52" s="1"/>
  <c r="P10" i="52" s="1"/>
  <c r="P11" i="51"/>
  <c r="J12" i="51" l="1"/>
  <c r="H12" i="51"/>
  <c r="G12" i="51"/>
  <c r="J19" i="50"/>
  <c r="H19" i="50"/>
  <c r="G19" i="50"/>
  <c r="I19" i="50"/>
  <c r="D18" i="50"/>
  <c r="O18" i="52"/>
  <c r="I18" i="52" s="1"/>
  <c r="O18" i="51"/>
  <c r="S18" i="51" s="1"/>
  <c r="K14" i="52"/>
  <c r="O12" i="51"/>
  <c r="G18" i="52"/>
  <c r="J18" i="52"/>
  <c r="H18" i="52"/>
  <c r="D14" i="52"/>
  <c r="J15" i="52"/>
  <c r="I15" i="52"/>
  <c r="G15" i="52"/>
  <c r="H15" i="52"/>
  <c r="H16" i="52"/>
  <c r="J16" i="52"/>
  <c r="I16" i="52"/>
  <c r="G16" i="52"/>
  <c r="L21" i="51"/>
  <c r="F15" i="51"/>
  <c r="H22" i="51"/>
  <c r="D21" i="51"/>
  <c r="J22" i="51"/>
  <c r="I22" i="51"/>
  <c r="G22" i="51"/>
  <c r="N11" i="51"/>
  <c r="N17" i="52"/>
  <c r="N11" i="52" s="1"/>
  <c r="O19" i="52"/>
  <c r="S19" i="52" s="1"/>
  <c r="F13" i="50"/>
  <c r="L18" i="50"/>
  <c r="M11" i="53"/>
  <c r="O12" i="53"/>
  <c r="P14" i="49"/>
  <c r="K21" i="51"/>
  <c r="G45" i="59"/>
  <c r="G22" i="59"/>
  <c r="G16" i="59"/>
  <c r="F10" i="51" l="1"/>
  <c r="L10" i="51" s="1"/>
  <c r="L15" i="51"/>
  <c r="M17" i="52"/>
  <c r="M11" i="52" s="1"/>
  <c r="F50" i="59"/>
  <c r="G51" i="59"/>
  <c r="J18" i="50"/>
  <c r="H18" i="50"/>
  <c r="G18" i="50"/>
  <c r="I18" i="50"/>
  <c r="M11" i="51"/>
  <c r="O14" i="51"/>
  <c r="S14" i="51" s="1"/>
  <c r="G14" i="59"/>
  <c r="L13" i="50"/>
  <c r="F10" i="50"/>
  <c r="L10" i="50" s="1"/>
  <c r="G24" i="59"/>
  <c r="F23" i="59"/>
  <c r="G23" i="59" s="1"/>
  <c r="F17" i="59"/>
  <c r="G17" i="59" s="1"/>
  <c r="G18" i="59"/>
  <c r="P15" i="49"/>
  <c r="U15" i="49" s="1"/>
  <c r="I12" i="51"/>
  <c r="S12" i="51"/>
  <c r="O11" i="51"/>
  <c r="J14" i="52"/>
  <c r="H14" i="52"/>
  <c r="I14" i="52"/>
  <c r="G14" i="52"/>
  <c r="S18" i="52"/>
  <c r="S17" i="52" s="1"/>
  <c r="S11" i="52" s="1"/>
  <c r="O17" i="52"/>
  <c r="O11" i="52" s="1"/>
  <c r="J21" i="51"/>
  <c r="H21" i="51"/>
  <c r="I21" i="51"/>
  <c r="G21" i="51"/>
  <c r="F38" i="59"/>
  <c r="G39" i="59"/>
  <c r="O11" i="53"/>
  <c r="S12" i="53"/>
  <c r="S11" i="53" s="1"/>
  <c r="P22" i="49"/>
  <c r="U22" i="49" s="1"/>
  <c r="G38" i="59" l="1"/>
  <c r="F37" i="59"/>
  <c r="F49" i="59"/>
  <c r="G50" i="59"/>
  <c r="C24" i="47"/>
  <c r="C21" i="47"/>
  <c r="T23" i="49"/>
  <c r="T16" i="49" s="1"/>
  <c r="T10" i="49" s="1"/>
  <c r="Q16" i="51"/>
  <c r="Q15" i="51" s="1"/>
  <c r="D21" i="49"/>
  <c r="Q14" i="53"/>
  <c r="Q13" i="53" s="1"/>
  <c r="Q10" i="53" s="1"/>
  <c r="R14" i="53"/>
  <c r="R13" i="53" s="1"/>
  <c r="R10" i="53" s="1"/>
  <c r="Q14" i="50"/>
  <c r="Q13" i="50" s="1"/>
  <c r="S25" i="49"/>
  <c r="S17" i="49"/>
  <c r="S11" i="49"/>
  <c r="D17" i="51" l="1"/>
  <c r="E16" i="51"/>
  <c r="K17" i="51"/>
  <c r="G15" i="59"/>
  <c r="F13" i="59"/>
  <c r="D13" i="49"/>
  <c r="L13" i="49"/>
  <c r="M24" i="49"/>
  <c r="D24" i="49"/>
  <c r="F23" i="49"/>
  <c r="F32" i="59"/>
  <c r="G33" i="59"/>
  <c r="L12" i="49"/>
  <c r="D12" i="49"/>
  <c r="D16" i="53"/>
  <c r="E14" i="53"/>
  <c r="K16" i="53"/>
  <c r="D18" i="49"/>
  <c r="E17" i="49"/>
  <c r="L18" i="49"/>
  <c r="L15" i="53"/>
  <c r="F14" i="53"/>
  <c r="D15" i="53"/>
  <c r="E14" i="50"/>
  <c r="D15" i="50"/>
  <c r="K15" i="50"/>
  <c r="G49" i="59"/>
  <c r="F48" i="59"/>
  <c r="G48" i="59" s="1"/>
  <c r="D26" i="49"/>
  <c r="L26" i="49"/>
  <c r="E25" i="49"/>
  <c r="G67" i="59"/>
  <c r="F66" i="59"/>
  <c r="G44" i="59"/>
  <c r="F43" i="59"/>
  <c r="G37" i="59"/>
  <c r="K37" i="52"/>
  <c r="E36" i="52"/>
  <c r="D37" i="52"/>
  <c r="F20" i="59"/>
  <c r="G21" i="59"/>
  <c r="I21" i="59"/>
  <c r="H21" i="59"/>
  <c r="Q17" i="49"/>
  <c r="R25" i="49"/>
  <c r="R17" i="49"/>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K21" i="49"/>
  <c r="L21" i="49"/>
  <c r="O11" i="49"/>
  <c r="O15" i="50" l="1"/>
  <c r="M14" i="50"/>
  <c r="M13" i="50" s="1"/>
  <c r="J18" i="49"/>
  <c r="H18" i="49"/>
  <c r="G18" i="49"/>
  <c r="D17" i="49"/>
  <c r="K18" i="49"/>
  <c r="F16" i="49"/>
  <c r="M23" i="49"/>
  <c r="D20" i="49"/>
  <c r="E19" i="49"/>
  <c r="L20" i="49"/>
  <c r="J24" i="49"/>
  <c r="G24" i="49"/>
  <c r="D23" i="49"/>
  <c r="H24" i="49"/>
  <c r="K24" i="49"/>
  <c r="S19" i="49"/>
  <c r="S16" i="49" s="1"/>
  <c r="S10" i="49" s="1"/>
  <c r="E13" i="53"/>
  <c r="K13" i="53" s="1"/>
  <c r="K14" i="53"/>
  <c r="C50" i="57"/>
  <c r="P14" i="53"/>
  <c r="P13" i="53" s="1"/>
  <c r="P10" i="53" s="1"/>
  <c r="F42" i="59"/>
  <c r="G43" i="59"/>
  <c r="P26" i="49"/>
  <c r="N25" i="49"/>
  <c r="F19" i="59"/>
  <c r="G20" i="59"/>
  <c r="G16" i="53"/>
  <c r="H16" i="53"/>
  <c r="I16" i="53"/>
  <c r="P24" i="49"/>
  <c r="N23" i="49"/>
  <c r="J16" i="53"/>
  <c r="G37" i="52"/>
  <c r="D36" i="52"/>
  <c r="H37" i="52"/>
  <c r="J37" i="52"/>
  <c r="K13" i="49"/>
  <c r="H13" i="49"/>
  <c r="J13" i="49"/>
  <c r="G13" i="49"/>
  <c r="I13" i="49"/>
  <c r="M16" i="51"/>
  <c r="M15" i="51" s="1"/>
  <c r="M10" i="51" s="1"/>
  <c r="O17" i="51"/>
  <c r="D25" i="49"/>
  <c r="K26" i="49"/>
  <c r="J26" i="49"/>
  <c r="H26" i="49"/>
  <c r="G26" i="49"/>
  <c r="H15" i="50"/>
  <c r="D14" i="50"/>
  <c r="G15" i="50"/>
  <c r="J15" i="50"/>
  <c r="R19" i="49"/>
  <c r="R16" i="49" s="1"/>
  <c r="P16" i="51"/>
  <c r="P15" i="51" s="1"/>
  <c r="P10" i="51" s="1"/>
  <c r="C23" i="57"/>
  <c r="K14" i="50"/>
  <c r="E13" i="50"/>
  <c r="K13" i="50" s="1"/>
  <c r="F12" i="59"/>
  <c r="G13" i="59"/>
  <c r="S16" i="53"/>
  <c r="K36" i="52"/>
  <c r="E35" i="52"/>
  <c r="D14" i="53"/>
  <c r="H15" i="53"/>
  <c r="G15" i="53"/>
  <c r="J15" i="53"/>
  <c r="P12" i="49"/>
  <c r="N11" i="49"/>
  <c r="O15" i="53"/>
  <c r="M14" i="53"/>
  <c r="M13" i="53" s="1"/>
  <c r="M10" i="53" s="1"/>
  <c r="N17" i="49"/>
  <c r="P18" i="49"/>
  <c r="P13" i="49"/>
  <c r="U13" i="49" s="1"/>
  <c r="M36" i="52"/>
  <c r="M35" i="52" s="1"/>
  <c r="M23" i="52" s="1"/>
  <c r="M10" i="52" s="1"/>
  <c r="O37" i="52"/>
  <c r="D22" i="52"/>
  <c r="L22" i="52"/>
  <c r="F21" i="52"/>
  <c r="F13" i="53"/>
  <c r="L14" i="53"/>
  <c r="L17" i="49"/>
  <c r="C15" i="57"/>
  <c r="G66" i="59"/>
  <c r="F65" i="59"/>
  <c r="K12" i="49"/>
  <c r="H12" i="49"/>
  <c r="G12" i="49"/>
  <c r="J12" i="49"/>
  <c r="R11" i="49"/>
  <c r="H21" i="49"/>
  <c r="L25" i="49"/>
  <c r="C18" i="57"/>
  <c r="K16" i="51"/>
  <c r="E15" i="51"/>
  <c r="K15" i="51" s="1"/>
  <c r="C32" i="57"/>
  <c r="Q16" i="49"/>
  <c r="F31" i="59"/>
  <c r="G32" i="59"/>
  <c r="H17" i="51"/>
  <c r="G17" i="51"/>
  <c r="D16" i="51"/>
  <c r="J17" i="51"/>
  <c r="I17" i="51"/>
  <c r="K20" i="49" l="1"/>
  <c r="G20" i="49"/>
  <c r="D19" i="49"/>
  <c r="H20" i="49"/>
  <c r="J20" i="49"/>
  <c r="I20" i="49"/>
  <c r="H16" i="51"/>
  <c r="G16" i="51"/>
  <c r="D15" i="51"/>
  <c r="J16" i="51"/>
  <c r="P21" i="49"/>
  <c r="G21" i="49"/>
  <c r="G14" i="50"/>
  <c r="D13" i="50"/>
  <c r="J14" i="50"/>
  <c r="H14" i="50"/>
  <c r="I14" i="50"/>
  <c r="C48" i="57"/>
  <c r="K35" i="52"/>
  <c r="E23" i="52"/>
  <c r="K23" i="52" s="1"/>
  <c r="C16" i="57"/>
  <c r="L19" i="49"/>
  <c r="I18" i="49"/>
  <c r="U18" i="49"/>
  <c r="U17" i="49" s="1"/>
  <c r="P17" i="49"/>
  <c r="R10" i="49"/>
  <c r="E16" i="49"/>
  <c r="L16" i="49" s="1"/>
  <c r="M16" i="49"/>
  <c r="F10" i="49"/>
  <c r="M10" i="49" s="1"/>
  <c r="G42" i="59"/>
  <c r="F36" i="59"/>
  <c r="G36" i="59" s="1"/>
  <c r="C13" i="57"/>
  <c r="G31" i="59"/>
  <c r="F25" i="59"/>
  <c r="G25" i="59" s="1"/>
  <c r="F11" i="59"/>
  <c r="G12" i="59"/>
  <c r="G36" i="52"/>
  <c r="D35" i="52"/>
  <c r="I36" i="52"/>
  <c r="H36" i="52"/>
  <c r="J36" i="52"/>
  <c r="G65" i="59"/>
  <c r="F59" i="59"/>
  <c r="F10" i="53"/>
  <c r="L10" i="53" s="1"/>
  <c r="L13" i="53"/>
  <c r="U12" i="49"/>
  <c r="P11" i="49"/>
  <c r="N19" i="49"/>
  <c r="N16" i="49" s="1"/>
  <c r="N10" i="49" s="1"/>
  <c r="P20" i="49"/>
  <c r="C30" i="57"/>
  <c r="I12" i="49"/>
  <c r="L21" i="52"/>
  <c r="F17" i="52"/>
  <c r="J25" i="49"/>
  <c r="H25" i="49"/>
  <c r="K25" i="49"/>
  <c r="G25" i="49"/>
  <c r="I26" i="49"/>
  <c r="P25" i="49"/>
  <c r="I25" i="49" s="1"/>
  <c r="U26" i="49"/>
  <c r="U25" i="49" s="1"/>
  <c r="J23" i="49"/>
  <c r="K23" i="49"/>
  <c r="G23" i="49"/>
  <c r="H23" i="49"/>
  <c r="D13" i="53"/>
  <c r="H14" i="53"/>
  <c r="G14" i="53"/>
  <c r="J14" i="53"/>
  <c r="I14" i="53"/>
  <c r="I15" i="53"/>
  <c r="S15" i="53"/>
  <c r="S14" i="53" s="1"/>
  <c r="S13" i="53" s="1"/>
  <c r="O14" i="53"/>
  <c r="O13" i="53" s="1"/>
  <c r="O10" i="53" s="1"/>
  <c r="K17" i="49"/>
  <c r="J17" i="49"/>
  <c r="G17" i="49"/>
  <c r="H17" i="49"/>
  <c r="I17" i="49"/>
  <c r="D16" i="49"/>
  <c r="C21" i="57"/>
  <c r="O16" i="51"/>
  <c r="O15" i="51" s="1"/>
  <c r="O10" i="51" s="1"/>
  <c r="S17" i="51"/>
  <c r="S16" i="51" s="1"/>
  <c r="S15" i="51" s="1"/>
  <c r="C19" i="47" s="1"/>
  <c r="I37" i="52"/>
  <c r="S37" i="52"/>
  <c r="S36" i="52" s="1"/>
  <c r="S35" i="52" s="1"/>
  <c r="S23" i="52" s="1"/>
  <c r="O36" i="52"/>
  <c r="O35" i="52" s="1"/>
  <c r="O23" i="52" s="1"/>
  <c r="O10" i="52" s="1"/>
  <c r="O19" i="49"/>
  <c r="O16" i="49" s="1"/>
  <c r="O10" i="49" s="1"/>
  <c r="D21" i="52"/>
  <c r="I22" i="52"/>
  <c r="J22" i="52"/>
  <c r="H22" i="52"/>
  <c r="G22" i="52"/>
  <c r="I24" i="49"/>
  <c r="P23" i="49"/>
  <c r="I23" i="49" s="1"/>
  <c r="U24" i="49"/>
  <c r="U23" i="49" s="1"/>
  <c r="I15" i="50"/>
  <c r="O14" i="50"/>
  <c r="O13" i="50" s="1"/>
  <c r="S15" i="50"/>
  <c r="S14" i="50" s="1"/>
  <c r="S13" i="50" s="1"/>
  <c r="C16" i="47" s="1"/>
  <c r="C25" i="47" l="1"/>
  <c r="S10" i="53"/>
  <c r="H15" i="51"/>
  <c r="G15" i="51"/>
  <c r="I15" i="51"/>
  <c r="J15" i="51"/>
  <c r="C20" i="57"/>
  <c r="I35" i="52"/>
  <c r="D23" i="52"/>
  <c r="G35" i="52"/>
  <c r="J35" i="52"/>
  <c r="H35" i="52"/>
  <c r="J16" i="49"/>
  <c r="G16" i="49"/>
  <c r="H16" i="49"/>
  <c r="K16" i="49"/>
  <c r="I16" i="51"/>
  <c r="F11" i="52"/>
  <c r="L17" i="52"/>
  <c r="G59" i="59"/>
  <c r="F10" i="59"/>
  <c r="H21" i="52"/>
  <c r="I21" i="52"/>
  <c r="G21" i="52"/>
  <c r="J21" i="52"/>
  <c r="G13" i="50"/>
  <c r="I13" i="50"/>
  <c r="H13" i="50"/>
  <c r="J13" i="50"/>
  <c r="K19" i="49"/>
  <c r="J19" i="49"/>
  <c r="H19" i="49"/>
  <c r="G19" i="49"/>
  <c r="U21" i="49"/>
  <c r="I21" i="49"/>
  <c r="G13" i="53"/>
  <c r="H13" i="53"/>
  <c r="J13" i="53"/>
  <c r="I13" i="53"/>
  <c r="K12" i="53"/>
  <c r="D12" i="53"/>
  <c r="E11" i="53"/>
  <c r="C22" i="47"/>
  <c r="C20" i="47" s="1"/>
  <c r="S10" i="52"/>
  <c r="P19" i="49"/>
  <c r="I19" i="49" s="1"/>
  <c r="U20" i="49"/>
  <c r="U19" i="49" s="1"/>
  <c r="U16" i="49" s="1"/>
  <c r="C13" i="47" s="1"/>
  <c r="M15" i="48"/>
  <c r="J20" i="48"/>
  <c r="M13" i="48"/>
  <c r="M17" i="48"/>
  <c r="J21" i="48" s="1"/>
  <c r="G23" i="52" l="1"/>
  <c r="I23" i="52"/>
  <c r="J23" i="52"/>
  <c r="H23" i="52"/>
  <c r="H30" i="57"/>
  <c r="D32" i="57"/>
  <c r="D30" i="57" s="1"/>
  <c r="F30" i="57" s="1"/>
  <c r="L14" i="49"/>
  <c r="D14" i="49"/>
  <c r="E11" i="49"/>
  <c r="E11" i="50"/>
  <c r="D12" i="50"/>
  <c r="K12" i="50"/>
  <c r="P16" i="49"/>
  <c r="L11" i="52"/>
  <c r="F10" i="52"/>
  <c r="L10" i="52" s="1"/>
  <c r="C20" i="48"/>
  <c r="M10" i="48"/>
  <c r="E20" i="48"/>
  <c r="C46" i="109"/>
  <c r="M18" i="48"/>
  <c r="K20" i="48"/>
  <c r="K21" i="48" s="1"/>
  <c r="K20" i="52"/>
  <c r="D20" i="52"/>
  <c r="E17" i="52"/>
  <c r="E10" i="54"/>
  <c r="D11" i="54"/>
  <c r="D10" i="54" s="1"/>
  <c r="D13" i="51"/>
  <c r="E11" i="51"/>
  <c r="C47" i="57"/>
  <c r="K11" i="53"/>
  <c r="E10" i="53"/>
  <c r="K10" i="53" s="1"/>
  <c r="D11" i="53"/>
  <c r="H12" i="53"/>
  <c r="J12" i="53"/>
  <c r="I12" i="53"/>
  <c r="G12" i="53"/>
  <c r="F20" i="48"/>
  <c r="F21" i="48" s="1"/>
  <c r="H20" i="48"/>
  <c r="H21" i="48" s="1"/>
  <c r="M12" i="48"/>
  <c r="C23" i="47"/>
  <c r="I68" i="34"/>
  <c r="H70" i="34"/>
  <c r="G72" i="34"/>
  <c r="H72" i="34"/>
  <c r="I72" i="34"/>
  <c r="G76" i="34"/>
  <c r="I65" i="34"/>
  <c r="G67" i="34"/>
  <c r="G69" i="34"/>
  <c r="H76" i="34"/>
  <c r="H67" i="34"/>
  <c r="I76" i="34"/>
  <c r="I71" i="34"/>
  <c r="G73" i="34"/>
  <c r="G75" i="34"/>
  <c r="H66" i="34"/>
  <c r="H73" i="34"/>
  <c r="H75" i="34"/>
  <c r="G65" i="34"/>
  <c r="I66" i="34"/>
  <c r="G68" i="34"/>
  <c r="I73" i="34"/>
  <c r="I75" i="34"/>
  <c r="H68" i="34"/>
  <c r="G70" i="34"/>
  <c r="G82" i="34"/>
  <c r="G84" i="34"/>
  <c r="G86" i="34"/>
  <c r="G88" i="34"/>
  <c r="G78" i="34"/>
  <c r="H86" i="34"/>
  <c r="H88" i="34"/>
  <c r="I78" i="34"/>
  <c r="I80" i="34"/>
  <c r="I82" i="34"/>
  <c r="I84" i="34"/>
  <c r="I86" i="34"/>
  <c r="I88" i="34"/>
  <c r="G79" i="34"/>
  <c r="G81" i="34"/>
  <c r="G83" i="34"/>
  <c r="G85" i="34"/>
  <c r="G89" i="34"/>
  <c r="H85" i="34"/>
  <c r="H87" i="34"/>
  <c r="H89" i="34"/>
  <c r="I79" i="34"/>
  <c r="I81" i="34"/>
  <c r="I83" i="34"/>
  <c r="I85" i="34"/>
  <c r="I87" i="34"/>
  <c r="I89" i="34"/>
  <c r="I55" i="34"/>
  <c r="I57" i="34"/>
  <c r="H59" i="34"/>
  <c r="I59" i="34"/>
  <c r="H61" i="34"/>
  <c r="G63" i="34"/>
  <c r="I61" i="34"/>
  <c r="H63" i="34"/>
  <c r="I63" i="34"/>
  <c r="I52" i="34"/>
  <c r="G54" i="34"/>
  <c r="G56" i="34"/>
  <c r="G58" i="34"/>
  <c r="H56" i="34"/>
  <c r="H58" i="34"/>
  <c r="K51" i="34"/>
  <c r="I54" i="34"/>
  <c r="I56" i="34"/>
  <c r="I58" i="34"/>
  <c r="G62" i="34"/>
  <c r="H60" i="34"/>
  <c r="H62" i="34"/>
  <c r="I60" i="34"/>
  <c r="I62" i="34"/>
  <c r="G52" i="34"/>
  <c r="H53" i="34"/>
  <c r="G55" i="34"/>
  <c r="G57" i="34"/>
  <c r="I53" i="34"/>
  <c r="H55" i="34"/>
  <c r="H57" i="34"/>
  <c r="G59" i="34"/>
  <c r="I92" i="34"/>
  <c r="I94" i="34"/>
  <c r="I96" i="34"/>
  <c r="I98" i="34"/>
  <c r="I100" i="34"/>
  <c r="I102" i="34"/>
  <c r="J107" i="34"/>
  <c r="J115" i="34"/>
  <c r="K107" i="34"/>
  <c r="K109" i="34"/>
  <c r="K111" i="34"/>
  <c r="K113" i="34"/>
  <c r="K115" i="34"/>
  <c r="M107" i="34"/>
  <c r="M109" i="34"/>
  <c r="M111" i="34"/>
  <c r="M113" i="34"/>
  <c r="M115" i="34"/>
  <c r="I93" i="34"/>
  <c r="I95" i="34"/>
  <c r="I97" i="34"/>
  <c r="I99" i="34"/>
  <c r="I101" i="34"/>
  <c r="I103" i="34"/>
  <c r="J106" i="34"/>
  <c r="J114" i="34"/>
  <c r="J116" i="34"/>
  <c r="K106" i="34"/>
  <c r="K108" i="34"/>
  <c r="K110" i="34"/>
  <c r="K112" i="34"/>
  <c r="K114" i="34"/>
  <c r="K116" i="34"/>
  <c r="M106" i="34"/>
  <c r="M108" i="34"/>
  <c r="M110" i="34"/>
  <c r="M112" i="34"/>
  <c r="M114" i="34"/>
  <c r="M116" i="34"/>
  <c r="T29" i="25"/>
  <c r="H125" i="34"/>
  <c r="I121" i="34"/>
  <c r="I123" i="34"/>
  <c r="I125" i="34"/>
  <c r="I127" i="34"/>
  <c r="I129" i="34"/>
  <c r="G129" i="34"/>
  <c r="G119" i="34"/>
  <c r="G125" i="34"/>
  <c r="G127" i="34"/>
  <c r="H129" i="34"/>
  <c r="G120" i="34"/>
  <c r="G122" i="34"/>
  <c r="I119" i="34"/>
  <c r="H120" i="34"/>
  <c r="H122" i="34"/>
  <c r="H124" i="34"/>
  <c r="H128" i="34"/>
  <c r="I120" i="34"/>
  <c r="I122" i="34"/>
  <c r="I124" i="34"/>
  <c r="I126" i="34"/>
  <c r="G128" i="34"/>
  <c r="I128" i="34"/>
  <c r="G121" i="34"/>
  <c r="I118" i="34"/>
  <c r="H132" i="34"/>
  <c r="G30" i="25"/>
  <c r="G137" i="34"/>
  <c r="G134" i="34"/>
  <c r="H142" i="34"/>
  <c r="I30" i="25"/>
  <c r="G139" i="34"/>
  <c r="H139" i="34"/>
  <c r="T30" i="25"/>
  <c r="G132" i="34"/>
  <c r="H136" i="34"/>
  <c r="H141" i="34"/>
  <c r="F30" i="25"/>
  <c r="G136" i="34"/>
  <c r="G141" i="34"/>
  <c r="G133" i="34"/>
  <c r="G138" i="34"/>
  <c r="G140" i="34"/>
  <c r="H30" i="25"/>
  <c r="H138" i="34"/>
  <c r="R30" i="25"/>
  <c r="G143" i="34"/>
  <c r="G135" i="34"/>
  <c r="H143" i="34"/>
  <c r="H135" i="34"/>
  <c r="K30" i="25"/>
  <c r="O30" i="25"/>
  <c r="G142" i="34"/>
  <c r="H147" i="34"/>
  <c r="I154" i="34"/>
  <c r="I156" i="34"/>
  <c r="H149" i="34"/>
  <c r="H158" i="34"/>
  <c r="I149" i="34"/>
  <c r="H151" i="34"/>
  <c r="I158" i="34"/>
  <c r="I153" i="34"/>
  <c r="H155" i="34"/>
  <c r="I155" i="34"/>
  <c r="H148" i="34"/>
  <c r="H157" i="34"/>
  <c r="I157" i="34"/>
  <c r="I150" i="34"/>
  <c r="H152" i="34"/>
  <c r="H154" i="34"/>
  <c r="I16" i="59"/>
  <c r="D18" i="57"/>
  <c r="J41" i="34"/>
  <c r="M48" i="34"/>
  <c r="K50" i="34"/>
  <c r="L41" i="34"/>
  <c r="J43" i="34"/>
  <c r="M50" i="34"/>
  <c r="M41" i="34"/>
  <c r="K43" i="34"/>
  <c r="J45" i="34"/>
  <c r="M43" i="34"/>
  <c r="K45" i="34"/>
  <c r="K47" i="34"/>
  <c r="M47" i="34"/>
  <c r="K42" i="34"/>
  <c r="M45" i="34"/>
  <c r="L47" i="34"/>
  <c r="J49" i="34"/>
  <c r="K49" i="34"/>
  <c r="J44" i="34"/>
  <c r="K40" i="34"/>
  <c r="M49" i="34"/>
  <c r="M40" i="34"/>
  <c r="K41" i="34"/>
  <c r="L50" i="34"/>
  <c r="M42" i="34"/>
  <c r="K44" i="34"/>
  <c r="J46" i="34"/>
  <c r="M46" i="34"/>
  <c r="L44" i="34"/>
  <c r="K46" i="34"/>
  <c r="M44" i="34"/>
  <c r="K48" i="34"/>
  <c r="L42" i="34"/>
  <c r="L45" i="34"/>
  <c r="L43" i="34"/>
  <c r="L48" i="34"/>
  <c r="L49" i="34"/>
  <c r="L46" i="34"/>
  <c r="L40" i="34"/>
  <c r="I27" i="34"/>
  <c r="I29" i="34"/>
  <c r="H31" i="34"/>
  <c r="G33" i="34"/>
  <c r="I31" i="34"/>
  <c r="H33" i="34"/>
  <c r="G37" i="34"/>
  <c r="I37" i="34"/>
  <c r="H26" i="34"/>
  <c r="I26" i="34"/>
  <c r="G30" i="34"/>
  <c r="G32" i="34"/>
  <c r="I28" i="34"/>
  <c r="H30" i="34"/>
  <c r="I35" i="34"/>
  <c r="I30" i="34"/>
  <c r="I32" i="34"/>
  <c r="H34" i="34"/>
  <c r="G36" i="34"/>
  <c r="G26" i="34"/>
  <c r="I34" i="34"/>
  <c r="H36" i="34"/>
  <c r="H37" i="34"/>
  <c r="I36" i="34"/>
  <c r="G27" i="34"/>
  <c r="I33" i="34"/>
  <c r="G31" i="34"/>
  <c r="D16" i="57"/>
  <c r="I22" i="59"/>
  <c r="I45" i="59"/>
  <c r="K20" i="59"/>
  <c r="I15" i="59"/>
  <c r="H16" i="59"/>
  <c r="H22" i="59"/>
  <c r="H15" i="59"/>
  <c r="H45" i="59"/>
  <c r="D12" i="57"/>
  <c r="L20" i="59"/>
  <c r="K13" i="51"/>
  <c r="Q11" i="50"/>
  <c r="Q10" i="50" s="1"/>
  <c r="D15" i="57" l="1"/>
  <c r="D13" i="57" s="1"/>
  <c r="H13" i="57"/>
  <c r="H11" i="57" s="1"/>
  <c r="J48" i="34"/>
  <c r="R27" i="25"/>
  <c r="H27" i="25"/>
  <c r="K38" i="59"/>
  <c r="H39" i="59"/>
  <c r="H29" i="34"/>
  <c r="H31" i="25"/>
  <c r="G151" i="34"/>
  <c r="H27" i="34"/>
  <c r="G28" i="34"/>
  <c r="I18" i="34"/>
  <c r="F44" i="34"/>
  <c r="I44" i="34" s="1"/>
  <c r="F40" i="34"/>
  <c r="I40" i="34" s="1"/>
  <c r="I14" i="34"/>
  <c r="K27" i="25"/>
  <c r="E45" i="34"/>
  <c r="H45" i="34" s="1"/>
  <c r="H19" i="34"/>
  <c r="G154" i="34"/>
  <c r="M31" i="25"/>
  <c r="D30" i="25"/>
  <c r="C29" i="25"/>
  <c r="F48" i="22" s="1"/>
  <c r="J117" i="34"/>
  <c r="D106" i="34"/>
  <c r="G106" i="34" s="1"/>
  <c r="G93" i="34"/>
  <c r="K105" i="34"/>
  <c r="K104" i="34" s="1"/>
  <c r="K91" i="34"/>
  <c r="K90" i="34" s="1"/>
  <c r="D107" i="34"/>
  <c r="G107" i="34" s="1"/>
  <c r="G94" i="34"/>
  <c r="K77" i="34"/>
  <c r="G80" i="34"/>
  <c r="C12" i="57"/>
  <c r="E10" i="49"/>
  <c r="L10" i="49" s="1"/>
  <c r="L11" i="49"/>
  <c r="K64" i="34"/>
  <c r="G18" i="34"/>
  <c r="D44" i="34"/>
  <c r="G44" i="34" s="1"/>
  <c r="J12" i="50"/>
  <c r="D11" i="50"/>
  <c r="L25" i="34"/>
  <c r="K11" i="50"/>
  <c r="E10" i="50"/>
  <c r="K10" i="50" s="1"/>
  <c r="E41" i="34"/>
  <c r="H41" i="34" s="1"/>
  <c r="H15" i="34"/>
  <c r="J42" i="34"/>
  <c r="G27" i="25" s="1"/>
  <c r="G24" i="34"/>
  <c r="D50" i="34"/>
  <c r="G50" i="34" s="1"/>
  <c r="L146" i="34"/>
  <c r="U29" i="25"/>
  <c r="R29" i="25"/>
  <c r="U28" i="25"/>
  <c r="H103" i="34"/>
  <c r="E116" i="34"/>
  <c r="H116" i="34" s="1"/>
  <c r="T28" i="25"/>
  <c r="E115" i="34"/>
  <c r="H115" i="34" s="1"/>
  <c r="H102" i="34"/>
  <c r="G53" i="34"/>
  <c r="L77" i="34"/>
  <c r="G71" i="34"/>
  <c r="H74" i="34"/>
  <c r="C47" i="109"/>
  <c r="C46" i="57"/>
  <c r="C46" i="65"/>
  <c r="G14" i="49"/>
  <c r="J14" i="49"/>
  <c r="I14" i="49"/>
  <c r="K14" i="49"/>
  <c r="H14" i="49"/>
  <c r="D11" i="49"/>
  <c r="E46" i="34"/>
  <c r="H46" i="34" s="1"/>
  <c r="H20" i="34"/>
  <c r="H14" i="34"/>
  <c r="E40" i="34"/>
  <c r="H40" i="34" s="1"/>
  <c r="D108" i="34"/>
  <c r="G108" i="34" s="1"/>
  <c r="G95" i="34"/>
  <c r="M64" i="34"/>
  <c r="H69" i="34"/>
  <c r="C29" i="57"/>
  <c r="E10" i="51"/>
  <c r="L38" i="59"/>
  <c r="I39" i="59"/>
  <c r="E47" i="34"/>
  <c r="H47" i="34" s="1"/>
  <c r="H21" i="34"/>
  <c r="G158" i="34"/>
  <c r="U31" i="25"/>
  <c r="K25" i="34"/>
  <c r="L12" i="34"/>
  <c r="L11" i="34" s="1"/>
  <c r="L10" i="34" s="1"/>
  <c r="L39" i="34"/>
  <c r="L38" i="34" s="1"/>
  <c r="I17" i="34"/>
  <c r="F43" i="34"/>
  <c r="I43" i="34" s="1"/>
  <c r="J40" i="34"/>
  <c r="D27" i="25" s="1"/>
  <c r="D26" i="25" s="1"/>
  <c r="D40" i="34"/>
  <c r="G40" i="34" s="1"/>
  <c r="G14" i="34"/>
  <c r="D47" i="34"/>
  <c r="G47" i="34" s="1"/>
  <c r="G21" i="34"/>
  <c r="H150" i="34"/>
  <c r="G153" i="34"/>
  <c r="K31" i="25"/>
  <c r="K146" i="34"/>
  <c r="M30" i="25"/>
  <c r="C30" i="25"/>
  <c r="J131" i="34"/>
  <c r="J130" i="34" s="1"/>
  <c r="L117" i="34"/>
  <c r="K29" i="25"/>
  <c r="G126" i="34"/>
  <c r="I29" i="25"/>
  <c r="J112" i="34"/>
  <c r="M28" i="25"/>
  <c r="E112" i="34"/>
  <c r="H112" i="34" s="1"/>
  <c r="H99" i="34"/>
  <c r="J111" i="34"/>
  <c r="K28" i="25" s="1"/>
  <c r="E111" i="34"/>
  <c r="H111" i="34" s="1"/>
  <c r="H98" i="34"/>
  <c r="L51" i="34"/>
  <c r="H84" i="34"/>
  <c r="E21" i="48"/>
  <c r="G147" i="34"/>
  <c r="C31" i="25"/>
  <c r="J146" i="34"/>
  <c r="D110" i="34"/>
  <c r="G110" i="34" s="1"/>
  <c r="G97" i="34"/>
  <c r="D111" i="34"/>
  <c r="G111" i="34" s="1"/>
  <c r="G98" i="34"/>
  <c r="S13" i="51"/>
  <c r="S11" i="51" s="1"/>
  <c r="Q11" i="51"/>
  <c r="Q10" i="51" s="1"/>
  <c r="I18" i="57"/>
  <c r="E18" i="57"/>
  <c r="G96" i="34"/>
  <c r="D109" i="34"/>
  <c r="G109" i="34" s="1"/>
  <c r="J50" i="34"/>
  <c r="U27" i="25"/>
  <c r="U26" i="25" s="1"/>
  <c r="I15" i="34"/>
  <c r="F41" i="34"/>
  <c r="I41" i="34" s="1"/>
  <c r="I27" i="25"/>
  <c r="D46" i="34"/>
  <c r="G46" i="34" s="1"/>
  <c r="G20" i="34"/>
  <c r="D39" i="34"/>
  <c r="G39" i="34" s="1"/>
  <c r="G13" i="34"/>
  <c r="G19" i="34"/>
  <c r="D45" i="34"/>
  <c r="G45" i="34" s="1"/>
  <c r="G157" i="34"/>
  <c r="T31" i="25"/>
  <c r="I148" i="34"/>
  <c r="I147" i="34"/>
  <c r="H140" i="34"/>
  <c r="H137" i="34"/>
  <c r="F29" i="25"/>
  <c r="H29" i="25"/>
  <c r="G124" i="34"/>
  <c r="H119" i="34"/>
  <c r="G29" i="25"/>
  <c r="H123" i="34"/>
  <c r="J110" i="34"/>
  <c r="I28" i="25"/>
  <c r="H97" i="34"/>
  <c r="E110" i="34"/>
  <c r="H110" i="34" s="1"/>
  <c r="J109" i="34"/>
  <c r="H28" i="25" s="1"/>
  <c r="H96" i="34"/>
  <c r="E109" i="34"/>
  <c r="H109" i="34" s="1"/>
  <c r="H54" i="34"/>
  <c r="H83" i="34"/>
  <c r="H82" i="34"/>
  <c r="J64" i="34"/>
  <c r="I70" i="34"/>
  <c r="J13" i="51"/>
  <c r="H13" i="51"/>
  <c r="I13" i="51"/>
  <c r="G13" i="51"/>
  <c r="D11" i="51"/>
  <c r="K17" i="59"/>
  <c r="H17" i="59" s="1"/>
  <c r="H18" i="59"/>
  <c r="D112" i="34"/>
  <c r="G112" i="34" s="1"/>
  <c r="G99" i="34"/>
  <c r="K23" i="59"/>
  <c r="H23" i="59" s="1"/>
  <c r="H24" i="59"/>
  <c r="G22" i="34"/>
  <c r="D48" i="34"/>
  <c r="G48" i="34" s="1"/>
  <c r="H23" i="34"/>
  <c r="E49" i="34"/>
  <c r="H49" i="34" s="1"/>
  <c r="K13" i="59"/>
  <c r="H14" i="59"/>
  <c r="O29" i="25"/>
  <c r="H127" i="34"/>
  <c r="E114" i="34"/>
  <c r="H114" i="34" s="1"/>
  <c r="H101" i="34"/>
  <c r="H52" i="34"/>
  <c r="L17" i="59"/>
  <c r="I17" i="59" s="1"/>
  <c r="I18" i="59"/>
  <c r="L23" i="59"/>
  <c r="I23" i="59" s="1"/>
  <c r="I24" i="59"/>
  <c r="H28" i="34"/>
  <c r="G35" i="34"/>
  <c r="E50" i="34"/>
  <c r="H50" i="34" s="1"/>
  <c r="H24" i="34"/>
  <c r="K39" i="34"/>
  <c r="K38" i="34" s="1"/>
  <c r="K12" i="34"/>
  <c r="F42" i="34"/>
  <c r="I42" i="34" s="1"/>
  <c r="I16" i="34"/>
  <c r="H17" i="34"/>
  <c r="E43" i="34"/>
  <c r="H43" i="34" s="1"/>
  <c r="H153" i="34"/>
  <c r="G156" i="34"/>
  <c r="R31" i="25"/>
  <c r="H133" i="34"/>
  <c r="H134" i="34"/>
  <c r="G118" i="34"/>
  <c r="D29" i="25"/>
  <c r="H121" i="34"/>
  <c r="J108" i="34"/>
  <c r="G28" i="25" s="1"/>
  <c r="E108" i="34"/>
  <c r="H108" i="34" s="1"/>
  <c r="H95" i="34"/>
  <c r="F28" i="25"/>
  <c r="E107" i="34"/>
  <c r="H107" i="34" s="1"/>
  <c r="H94" i="34"/>
  <c r="J51" i="34"/>
  <c r="H81" i="34"/>
  <c r="H80" i="34"/>
  <c r="L64" i="34"/>
  <c r="M21" i="48"/>
  <c r="M20" i="48"/>
  <c r="C21" i="48"/>
  <c r="D31" i="25"/>
  <c r="G148" i="34"/>
  <c r="I31" i="25"/>
  <c r="G152" i="34"/>
  <c r="G100" i="34"/>
  <c r="D113" i="34"/>
  <c r="G113" i="34" s="1"/>
  <c r="M131" i="34"/>
  <c r="M130" i="34" s="1"/>
  <c r="E42" i="34"/>
  <c r="H42" i="34" s="1"/>
  <c r="H16" i="34"/>
  <c r="M117" i="34"/>
  <c r="G31" i="25"/>
  <c r="G150" i="34"/>
  <c r="R28" i="25"/>
  <c r="D23" i="57"/>
  <c r="D21" i="57" s="1"/>
  <c r="H21" i="57"/>
  <c r="H20" i="57" s="1"/>
  <c r="I12" i="57"/>
  <c r="I15" i="57"/>
  <c r="G13" i="57"/>
  <c r="G11" i="57" s="1"/>
  <c r="E15" i="57"/>
  <c r="I16" i="57"/>
  <c r="E16" i="57"/>
  <c r="G29" i="34"/>
  <c r="F48" i="34"/>
  <c r="I48" i="34" s="1"/>
  <c r="I22" i="34"/>
  <c r="F46" i="34"/>
  <c r="I46" i="34" s="1"/>
  <c r="I20" i="34"/>
  <c r="H18" i="34"/>
  <c r="E44" i="34"/>
  <c r="H44" i="34" s="1"/>
  <c r="F49" i="34"/>
  <c r="I49" i="34" s="1"/>
  <c r="I23" i="34"/>
  <c r="G23" i="34"/>
  <c r="D49" i="34"/>
  <c r="G49" i="34" s="1"/>
  <c r="F27" i="25"/>
  <c r="F26" i="25" s="1"/>
  <c r="I151" i="34"/>
  <c r="K131" i="34"/>
  <c r="K130" i="34" s="1"/>
  <c r="K117" i="34"/>
  <c r="G123" i="34"/>
  <c r="L91" i="34"/>
  <c r="L90" i="34" s="1"/>
  <c r="D28" i="25"/>
  <c r="H93" i="34"/>
  <c r="E106" i="34"/>
  <c r="H106" i="34" s="1"/>
  <c r="M105" i="34"/>
  <c r="M104" i="34" s="1"/>
  <c r="M91" i="34"/>
  <c r="J105" i="34"/>
  <c r="C28" i="25" s="1"/>
  <c r="J91" i="34"/>
  <c r="H92" i="34"/>
  <c r="E105" i="34"/>
  <c r="H105" i="34" s="1"/>
  <c r="G60" i="34"/>
  <c r="H79" i="34"/>
  <c r="M77" i="34"/>
  <c r="J77" i="34"/>
  <c r="H78" i="34"/>
  <c r="H71" i="34"/>
  <c r="I74" i="34"/>
  <c r="H65" i="34"/>
  <c r="G28" i="57"/>
  <c r="I13" i="34"/>
  <c r="F39" i="34"/>
  <c r="I39" i="34" s="1"/>
  <c r="D41" i="34"/>
  <c r="G41" i="34" s="1"/>
  <c r="G15" i="34"/>
  <c r="G16" i="34"/>
  <c r="D42" i="34"/>
  <c r="G42" i="34" s="1"/>
  <c r="I11" i="53"/>
  <c r="H11" i="53"/>
  <c r="G11" i="53"/>
  <c r="D10" i="53"/>
  <c r="J11" i="53"/>
  <c r="H20" i="59"/>
  <c r="J25" i="34"/>
  <c r="H35" i="34"/>
  <c r="M12" i="34"/>
  <c r="M39" i="34"/>
  <c r="M38" i="34" s="1"/>
  <c r="L43" i="59"/>
  <c r="I44" i="59"/>
  <c r="L13" i="59"/>
  <c r="I14" i="59"/>
  <c r="E39" i="34"/>
  <c r="H39" i="34" s="1"/>
  <c r="H13" i="34"/>
  <c r="U30" i="25"/>
  <c r="M29" i="25"/>
  <c r="J113" i="34"/>
  <c r="O28" i="25" s="1"/>
  <c r="E113" i="34"/>
  <c r="H113" i="34" s="1"/>
  <c r="H100" i="34"/>
  <c r="L19" i="59"/>
  <c r="I19" i="59" s="1"/>
  <c r="I20" i="59"/>
  <c r="U14" i="49"/>
  <c r="U11" i="49" s="1"/>
  <c r="Q11" i="49"/>
  <c r="Q10" i="49" s="1"/>
  <c r="G34" i="34"/>
  <c r="G17" i="34"/>
  <c r="D43" i="34"/>
  <c r="G43" i="34" s="1"/>
  <c r="M27" i="25"/>
  <c r="T27" i="25"/>
  <c r="F47" i="34"/>
  <c r="I47" i="34" s="1"/>
  <c r="I21" i="34"/>
  <c r="J39" i="34"/>
  <c r="J12" i="34"/>
  <c r="I152" i="34"/>
  <c r="O31" i="25"/>
  <c r="G155" i="34"/>
  <c r="G149" i="34"/>
  <c r="F31" i="25"/>
  <c r="H156" i="34"/>
  <c r="H126" i="34"/>
  <c r="H118" i="34"/>
  <c r="D116" i="34"/>
  <c r="G116" i="34" s="1"/>
  <c r="G103" i="34"/>
  <c r="G92" i="34"/>
  <c r="D105" i="34"/>
  <c r="G105" i="34" s="1"/>
  <c r="G66" i="34"/>
  <c r="I69" i="34"/>
  <c r="K17" i="52"/>
  <c r="E11" i="52"/>
  <c r="G21" i="57"/>
  <c r="I23" i="57"/>
  <c r="E23" i="57"/>
  <c r="I32" i="57"/>
  <c r="G30" i="57"/>
  <c r="E32" i="57"/>
  <c r="M25" i="34"/>
  <c r="H32" i="34"/>
  <c r="I24" i="34"/>
  <c r="F50" i="34"/>
  <c r="I50" i="34" s="1"/>
  <c r="E48" i="34"/>
  <c r="H48" i="34" s="1"/>
  <c r="H22" i="34"/>
  <c r="F45" i="34"/>
  <c r="I45" i="34" s="1"/>
  <c r="I19" i="34"/>
  <c r="J47" i="34"/>
  <c r="O27" i="25"/>
  <c r="M146" i="34"/>
  <c r="G101" i="34"/>
  <c r="D114" i="34"/>
  <c r="G114" i="34" s="1"/>
  <c r="G102" i="34"/>
  <c r="D115" i="34"/>
  <c r="G115" i="34" s="1"/>
  <c r="M51" i="34"/>
  <c r="G61" i="34"/>
  <c r="G87" i="34"/>
  <c r="I67" i="34"/>
  <c r="G74" i="34"/>
  <c r="I20" i="52"/>
  <c r="G20" i="52"/>
  <c r="H20" i="52"/>
  <c r="J20" i="52"/>
  <c r="D17" i="52"/>
  <c r="P10" i="49"/>
  <c r="I16" i="49"/>
  <c r="F14" i="124"/>
  <c r="D14" i="124" s="1"/>
  <c r="D43" i="25" l="1"/>
  <c r="D39" i="25" s="1"/>
  <c r="D10" i="25"/>
  <c r="G26" i="25"/>
  <c r="F47" i="22"/>
  <c r="I11" i="57"/>
  <c r="K12" i="59"/>
  <c r="H13" i="59"/>
  <c r="J302" i="56"/>
  <c r="J281" i="56"/>
  <c r="G306" i="56"/>
  <c r="G281" i="56" s="1"/>
  <c r="C27" i="25"/>
  <c r="J38" i="34"/>
  <c r="J11" i="34" s="1"/>
  <c r="F50" i="22"/>
  <c r="E12" i="57"/>
  <c r="C11" i="57"/>
  <c r="K43" i="59"/>
  <c r="H44" i="59"/>
  <c r="D45" i="70"/>
  <c r="E45" i="70" s="1"/>
  <c r="M11" i="34"/>
  <c r="D20" i="57"/>
  <c r="F20" i="57" s="1"/>
  <c r="F21" i="57"/>
  <c r="E12" i="47"/>
  <c r="E11" i="47" s="1"/>
  <c r="H17" i="52"/>
  <c r="J17" i="52"/>
  <c r="G17" i="52"/>
  <c r="I17" i="52"/>
  <c r="D11" i="52"/>
  <c r="J423" i="56"/>
  <c r="J416" i="56" s="1"/>
  <c r="J415" i="56"/>
  <c r="G427" i="56"/>
  <c r="I30" i="57"/>
  <c r="E19" i="47" s="1"/>
  <c r="E30" i="57"/>
  <c r="L12" i="59"/>
  <c r="I13" i="59"/>
  <c r="C47" i="65"/>
  <c r="K37" i="59"/>
  <c r="H38" i="59"/>
  <c r="C12" i="47"/>
  <c r="U10" i="49"/>
  <c r="L32" i="59"/>
  <c r="I33" i="59"/>
  <c r="T26" i="25"/>
  <c r="K50" i="59"/>
  <c r="H51" i="59"/>
  <c r="M26" i="25"/>
  <c r="L37" i="59"/>
  <c r="I38" i="59"/>
  <c r="K11" i="49"/>
  <c r="G11" i="49"/>
  <c r="D10" i="49"/>
  <c r="I11" i="49"/>
  <c r="J11" i="49"/>
  <c r="H11" i="49"/>
  <c r="K26" i="25"/>
  <c r="H26" i="25"/>
  <c r="O26" i="25"/>
  <c r="K32" i="59"/>
  <c r="H33" i="59"/>
  <c r="I31" i="47"/>
  <c r="E30" i="47"/>
  <c r="E50" i="109" s="1"/>
  <c r="E50" i="65" s="1"/>
  <c r="P49" i="70" s="1"/>
  <c r="Q49" i="70" s="1"/>
  <c r="K19" i="59"/>
  <c r="F10" i="25"/>
  <c r="F43" i="25"/>
  <c r="F39" i="25" s="1"/>
  <c r="K11" i="34"/>
  <c r="K10" i="34" s="1"/>
  <c r="K11" i="51"/>
  <c r="J11" i="50"/>
  <c r="D10" i="50"/>
  <c r="J10" i="50" s="1"/>
  <c r="R26" i="25"/>
  <c r="C30" i="47"/>
  <c r="I32" i="47"/>
  <c r="O48" i="22"/>
  <c r="D23" i="73"/>
  <c r="E23" i="73" s="1"/>
  <c r="L42" i="59"/>
  <c r="I42" i="59" s="1"/>
  <c r="I43" i="59"/>
  <c r="J282" i="56"/>
  <c r="G307" i="56"/>
  <c r="G282" i="56" s="1"/>
  <c r="I21" i="57"/>
  <c r="G20" i="57"/>
  <c r="E21" i="57"/>
  <c r="J104" i="34"/>
  <c r="J90" i="34" s="1"/>
  <c r="C18" i="47"/>
  <c r="C17" i="47" s="1"/>
  <c r="S10" i="51"/>
  <c r="F49" i="22"/>
  <c r="K10" i="51"/>
  <c r="I29" i="57"/>
  <c r="H28" i="57"/>
  <c r="I28" i="57" s="1"/>
  <c r="D29" i="57"/>
  <c r="D28" i="57" s="1"/>
  <c r="F28" i="57" s="1"/>
  <c r="I13" i="57"/>
  <c r="E13" i="47" s="1"/>
  <c r="E13" i="57"/>
  <c r="U43" i="25"/>
  <c r="U39" i="25" s="1"/>
  <c r="U10" i="25"/>
  <c r="C10" i="127"/>
  <c r="L50" i="59"/>
  <c r="I51" i="59"/>
  <c r="E10" i="52"/>
  <c r="K10" i="52" s="1"/>
  <c r="K11" i="52"/>
  <c r="J10" i="53"/>
  <c r="H10" i="53"/>
  <c r="G10" i="53"/>
  <c r="I10" i="53"/>
  <c r="M90" i="34"/>
  <c r="C28" i="57"/>
  <c r="E28" i="57" s="1"/>
  <c r="E29" i="57"/>
  <c r="I11" i="51"/>
  <c r="G11" i="51"/>
  <c r="H11" i="51"/>
  <c r="J11" i="51"/>
  <c r="D10" i="51"/>
  <c r="I26" i="25"/>
  <c r="D11" i="57"/>
  <c r="F13" i="57"/>
  <c r="G10" i="126"/>
  <c r="H10" i="126"/>
  <c r="C30" i="128"/>
  <c r="C23" i="128"/>
  <c r="C21" i="128" s="1"/>
  <c r="C10" i="128" s="1"/>
  <c r="C67" i="109"/>
  <c r="F16" i="124"/>
  <c r="D16" i="124" s="1"/>
  <c r="G10" i="51" l="1"/>
  <c r="I10" i="51"/>
  <c r="H10" i="51"/>
  <c r="J10" i="51"/>
  <c r="T43" i="25"/>
  <c r="T39" i="25" s="1"/>
  <c r="T10" i="25"/>
  <c r="F46" i="22"/>
  <c r="C26" i="25"/>
  <c r="C43" i="25" s="1"/>
  <c r="G415" i="56"/>
  <c r="G423" i="56"/>
  <c r="F11" i="126"/>
  <c r="F10" i="126" s="1"/>
  <c r="D12" i="1" s="1"/>
  <c r="L49" i="59"/>
  <c r="I50" i="59"/>
  <c r="D24" i="73"/>
  <c r="E24" i="73" s="1"/>
  <c r="O49" i="22"/>
  <c r="M10" i="34"/>
  <c r="J277" i="56"/>
  <c r="J295" i="56"/>
  <c r="G302" i="56"/>
  <c r="J331" i="56"/>
  <c r="J327" i="56" s="1"/>
  <c r="J320" i="56" s="1"/>
  <c r="D22" i="47" s="1"/>
  <c r="I22" i="47" s="1"/>
  <c r="J411" i="56"/>
  <c r="J404" i="56" s="1"/>
  <c r="H10" i="49"/>
  <c r="K10" i="49"/>
  <c r="I10" i="49"/>
  <c r="J10" i="49"/>
  <c r="G10" i="49"/>
  <c r="C11" i="47"/>
  <c r="M11" i="50"/>
  <c r="O12" i="50"/>
  <c r="G12" i="50"/>
  <c r="N11" i="50"/>
  <c r="H12" i="50"/>
  <c r="F45" i="70"/>
  <c r="D12" i="47"/>
  <c r="D11" i="47" s="1"/>
  <c r="K11" i="59"/>
  <c r="H12" i="59"/>
  <c r="K43" i="25"/>
  <c r="K39" i="25" s="1"/>
  <c r="K10" i="25"/>
  <c r="R43" i="25"/>
  <c r="R39" i="25" s="1"/>
  <c r="R10" i="25"/>
  <c r="R49" i="70"/>
  <c r="D18" i="47"/>
  <c r="K36" i="59"/>
  <c r="H36" i="59" s="1"/>
  <c r="H37" i="59"/>
  <c r="G11" i="52"/>
  <c r="D10" i="52"/>
  <c r="H11" i="52"/>
  <c r="J11" i="52"/>
  <c r="I11" i="52"/>
  <c r="H43" i="25"/>
  <c r="H39" i="25" s="1"/>
  <c r="H10" i="25"/>
  <c r="F23" i="73"/>
  <c r="C45" i="109"/>
  <c r="K42" i="59"/>
  <c r="H43" i="59"/>
  <c r="I10" i="25"/>
  <c r="I43" i="25"/>
  <c r="I39" i="25" s="1"/>
  <c r="D13" i="47"/>
  <c r="I13" i="47" s="1"/>
  <c r="H19" i="59"/>
  <c r="I20" i="57"/>
  <c r="E20" i="57"/>
  <c r="E18" i="47"/>
  <c r="E17" i="47" s="1"/>
  <c r="E45" i="109" s="1"/>
  <c r="E45" i="65" s="1"/>
  <c r="P44" i="70" s="1"/>
  <c r="Q44" i="70" s="1"/>
  <c r="L36" i="59"/>
  <c r="I36" i="59" s="1"/>
  <c r="I37" i="59"/>
  <c r="D46" i="70"/>
  <c r="E46" i="70" s="1"/>
  <c r="E11" i="57"/>
  <c r="C10" i="57"/>
  <c r="D22" i="73"/>
  <c r="E22" i="73" s="1"/>
  <c r="O47" i="22"/>
  <c r="K49" i="59"/>
  <c r="H50" i="59"/>
  <c r="L31" i="59"/>
  <c r="I32" i="59"/>
  <c r="C50" i="109"/>
  <c r="I30" i="47"/>
  <c r="C66" i="65"/>
  <c r="O67" i="109"/>
  <c r="G11" i="124"/>
  <c r="F13" i="124"/>
  <c r="K31" i="59"/>
  <c r="H32" i="59"/>
  <c r="M10" i="25"/>
  <c r="M43" i="25"/>
  <c r="M39" i="25" s="1"/>
  <c r="G43" i="25"/>
  <c r="G39" i="25" s="1"/>
  <c r="G10" i="25"/>
  <c r="C11" i="126"/>
  <c r="F11" i="57"/>
  <c r="O43" i="25"/>
  <c r="O39" i="25" s="1"/>
  <c r="O10" i="25"/>
  <c r="L11" i="59"/>
  <c r="I12" i="59"/>
  <c r="O50" i="22"/>
  <c r="D25" i="73"/>
  <c r="E25" i="73" s="1"/>
  <c r="E43" i="109"/>
  <c r="E43" i="65" s="1"/>
  <c r="P42" i="70" s="1"/>
  <c r="Q42" i="70" s="1"/>
  <c r="J10" i="34"/>
  <c r="F18" i="124"/>
  <c r="R44" i="70" l="1"/>
  <c r="W43" i="25"/>
  <c r="C45" i="65"/>
  <c r="F25" i="73"/>
  <c r="K25" i="59"/>
  <c r="H25" i="59" s="1"/>
  <c r="D16" i="47"/>
  <c r="H31" i="59"/>
  <c r="D21" i="73"/>
  <c r="E21" i="73" s="1"/>
  <c r="O46" i="22"/>
  <c r="F45" i="22"/>
  <c r="C50" i="65"/>
  <c r="O50" i="109"/>
  <c r="L25" i="59"/>
  <c r="I25" i="59" s="1"/>
  <c r="I31" i="59"/>
  <c r="O11" i="50"/>
  <c r="S12" i="50"/>
  <c r="S11" i="50" s="1"/>
  <c r="I12" i="50"/>
  <c r="R42" i="70"/>
  <c r="M10" i="50"/>
  <c r="G10" i="50" s="1"/>
  <c r="G11" i="50"/>
  <c r="J270" i="56"/>
  <c r="J269" i="56" s="1"/>
  <c r="J10" i="56" s="1"/>
  <c r="G277" i="56"/>
  <c r="K48" i="59"/>
  <c r="H48" i="59" s="1"/>
  <c r="H49" i="59"/>
  <c r="F11" i="124"/>
  <c r="D13" i="124"/>
  <c r="D11" i="124" s="1"/>
  <c r="I12" i="47"/>
  <c r="N10" i="50"/>
  <c r="H10" i="50" s="1"/>
  <c r="H11" i="50"/>
  <c r="I11" i="59"/>
  <c r="E16" i="47"/>
  <c r="E14" i="47" s="1"/>
  <c r="F22" i="73"/>
  <c r="G10" i="52"/>
  <c r="I10" i="52"/>
  <c r="H10" i="52"/>
  <c r="J10" i="52"/>
  <c r="C43" i="109"/>
  <c r="I11" i="47"/>
  <c r="I18" i="47"/>
  <c r="G411" i="56"/>
  <c r="G331" i="56"/>
  <c r="G327" i="56" s="1"/>
  <c r="F24" i="73"/>
  <c r="J12" i="1"/>
  <c r="D11" i="1"/>
  <c r="F17" i="124"/>
  <c r="G17" i="124" s="1"/>
  <c r="G10" i="124" s="1"/>
  <c r="C29" i="47" s="1"/>
  <c r="D18" i="124"/>
  <c r="D17" i="124" s="1"/>
  <c r="D65" i="70"/>
  <c r="E65" i="70" s="1"/>
  <c r="K66" i="65"/>
  <c r="D19" i="47"/>
  <c r="I19" i="47" s="1"/>
  <c r="H42" i="59"/>
  <c r="C10" i="126"/>
  <c r="F46" i="70"/>
  <c r="H11" i="59"/>
  <c r="D43" i="109"/>
  <c r="D43" i="65" s="1"/>
  <c r="J42" i="70" s="1"/>
  <c r="K42" i="70" s="1"/>
  <c r="E21" i="47"/>
  <c r="E20" i="47" s="1"/>
  <c r="E46" i="109" s="1"/>
  <c r="E46" i="65" s="1"/>
  <c r="P45" i="70" s="1"/>
  <c r="Q45" i="70" s="1"/>
  <c r="L48" i="59"/>
  <c r="I48" i="59" s="1"/>
  <c r="I49" i="59"/>
  <c r="D52" i="109" l="1"/>
  <c r="J11" i="1"/>
  <c r="D14" i="47"/>
  <c r="I16" i="47"/>
  <c r="D10" i="124"/>
  <c r="S10" i="50"/>
  <c r="C15" i="47"/>
  <c r="L42" i="70"/>
  <c r="F10" i="124"/>
  <c r="O10" i="50"/>
  <c r="I10" i="50" s="1"/>
  <c r="I11" i="50"/>
  <c r="I29" i="47"/>
  <c r="C49" i="109"/>
  <c r="D21" i="47"/>
  <c r="D44" i="70"/>
  <c r="E44" i="70" s="1"/>
  <c r="C43" i="65"/>
  <c r="O43" i="109"/>
  <c r="D17" i="47"/>
  <c r="E44" i="109"/>
  <c r="E44" i="65" s="1"/>
  <c r="P43" i="70" s="1"/>
  <c r="Q43" i="70" s="1"/>
  <c r="D49" i="70"/>
  <c r="E49" i="70" s="1"/>
  <c r="K50" i="65"/>
  <c r="F28" i="109"/>
  <c r="O45" i="22"/>
  <c r="F21" i="73"/>
  <c r="R45" i="70"/>
  <c r="F65" i="70"/>
  <c r="D42" i="70" l="1"/>
  <c r="E42" i="70" s="1"/>
  <c r="K43" i="65"/>
  <c r="C14" i="47"/>
  <c r="I15" i="47"/>
  <c r="D27" i="128"/>
  <c r="G23" i="128"/>
  <c r="D23" i="128" s="1"/>
  <c r="D45" i="109"/>
  <c r="I17" i="47"/>
  <c r="D23" i="1"/>
  <c r="J23" i="1" s="1"/>
  <c r="F11" i="129"/>
  <c r="F44" i="70"/>
  <c r="F10" i="127"/>
  <c r="D11" i="127"/>
  <c r="D22" i="128"/>
  <c r="G10" i="127"/>
  <c r="E11" i="127"/>
  <c r="D20" i="47"/>
  <c r="I21" i="47"/>
  <c r="R43" i="70"/>
  <c r="D22" i="1"/>
  <c r="F10" i="129"/>
  <c r="O49" i="109"/>
  <c r="C49" i="65"/>
  <c r="D44" i="109"/>
  <c r="D44" i="65" s="1"/>
  <c r="J43" i="70" s="1"/>
  <c r="K43" i="70" s="1"/>
  <c r="D12" i="43"/>
  <c r="E22" i="128"/>
  <c r="H21" i="128"/>
  <c r="E17" i="43"/>
  <c r="F28" i="65"/>
  <c r="K28" i="65" s="1"/>
  <c r="O28" i="109"/>
  <c r="D31" i="128"/>
  <c r="G30" i="128"/>
  <c r="D30" i="128" s="1"/>
  <c r="G10" i="129"/>
  <c r="E22" i="1"/>
  <c r="E21" i="1" s="1"/>
  <c r="E55" i="109" s="1"/>
  <c r="E55" i="65" s="1"/>
  <c r="P54" i="70" s="1"/>
  <c r="Q54" i="70" s="1"/>
  <c r="F22" i="128"/>
  <c r="I21" i="128"/>
  <c r="F49" i="70"/>
  <c r="O52" i="109"/>
  <c r="D52" i="65"/>
  <c r="E11" i="43"/>
  <c r="E13" i="43"/>
  <c r="E14" i="43"/>
  <c r="C46" i="38"/>
  <c r="E38" i="38"/>
  <c r="J38" i="38" s="1"/>
  <c r="E37" i="38"/>
  <c r="J37" i="38" s="1"/>
  <c r="E23" i="43"/>
  <c r="D12" i="46"/>
  <c r="E39" i="38"/>
  <c r="J39" i="38" s="1"/>
  <c r="I10" i="128" l="1"/>
  <c r="F21" i="128"/>
  <c r="H10" i="128"/>
  <c r="E21" i="128"/>
  <c r="E16" i="43"/>
  <c r="D46" i="109"/>
  <c r="I20" i="47"/>
  <c r="R54" i="70"/>
  <c r="D45" i="65"/>
  <c r="O45" i="109"/>
  <c r="E18" i="43"/>
  <c r="L43" i="70"/>
  <c r="G21" i="128"/>
  <c r="E10" i="46"/>
  <c r="C45" i="38" s="1"/>
  <c r="K49" i="65"/>
  <c r="D48" i="70"/>
  <c r="E48" i="70" s="1"/>
  <c r="E16" i="1"/>
  <c r="E15" i="1" s="1"/>
  <c r="E10" i="127"/>
  <c r="I14" i="47"/>
  <c r="C44" i="109"/>
  <c r="C10" i="47"/>
  <c r="J46" i="38"/>
  <c r="C39" i="109"/>
  <c r="E35" i="38"/>
  <c r="D11" i="46"/>
  <c r="E40" i="38"/>
  <c r="J40" i="38" s="1"/>
  <c r="E19" i="43"/>
  <c r="F12" i="43"/>
  <c r="E36" i="38" s="1"/>
  <c r="J36" i="38" s="1"/>
  <c r="J51" i="70"/>
  <c r="K51" i="70" s="1"/>
  <c r="K52" i="65"/>
  <c r="D16" i="1"/>
  <c r="D10" i="127"/>
  <c r="F42" i="70"/>
  <c r="F21" i="43"/>
  <c r="E42" i="38" s="1"/>
  <c r="J42" i="38" s="1"/>
  <c r="D13" i="46"/>
  <c r="J22" i="1"/>
  <c r="D21" i="1"/>
  <c r="E22" i="43"/>
  <c r="P22" i="12"/>
  <c r="K41" i="12"/>
  <c r="K15" i="12"/>
  <c r="K42" i="12"/>
  <c r="F42" i="15"/>
  <c r="K26" i="12"/>
  <c r="K16" i="12"/>
  <c r="K13" i="12"/>
  <c r="K40" i="12"/>
  <c r="P34" i="12"/>
  <c r="E50" i="15"/>
  <c r="K37" i="12"/>
  <c r="F13" i="33"/>
  <c r="L41" i="12" l="1"/>
  <c r="N41" i="12"/>
  <c r="P41" i="12" s="1"/>
  <c r="E45" i="15"/>
  <c r="C53" i="11"/>
  <c r="L51" i="70"/>
  <c r="J44" i="70"/>
  <c r="K44" i="70" s="1"/>
  <c r="K45" i="65"/>
  <c r="N37" i="12"/>
  <c r="P37" i="12" s="1"/>
  <c r="R37" i="12" s="1"/>
  <c r="S37" i="12" s="1"/>
  <c r="T37" i="12" s="1"/>
  <c r="L37" i="12"/>
  <c r="K11" i="12"/>
  <c r="K17" i="12"/>
  <c r="N42" i="12"/>
  <c r="P42" i="12" s="1"/>
  <c r="L42" i="12"/>
  <c r="E53" i="109"/>
  <c r="E53" i="65" s="1"/>
  <c r="P52" i="70" s="1"/>
  <c r="Q52" i="70" s="1"/>
  <c r="E12" i="43"/>
  <c r="F41" i="15"/>
  <c r="Q25" i="12"/>
  <c r="H25" i="15"/>
  <c r="L26" i="12"/>
  <c r="N26" i="12"/>
  <c r="P26" i="12" s="1"/>
  <c r="K24" i="12"/>
  <c r="K47" i="12"/>
  <c r="Q24" i="12"/>
  <c r="H24" i="15"/>
  <c r="F10" i="43"/>
  <c r="G10" i="128"/>
  <c r="D21" i="128"/>
  <c r="F48" i="70"/>
  <c r="H47" i="15"/>
  <c r="G50" i="15"/>
  <c r="H50" i="15" s="1"/>
  <c r="Q47" i="12"/>
  <c r="Q42" i="12"/>
  <c r="H42" i="15"/>
  <c r="Q35" i="12"/>
  <c r="H35" i="15"/>
  <c r="C13" i="25"/>
  <c r="C12" i="25" s="1"/>
  <c r="C11" i="25" s="1"/>
  <c r="G12" i="33"/>
  <c r="G11" i="33" s="1"/>
  <c r="G10" i="33" s="1"/>
  <c r="G31" i="15"/>
  <c r="Q22" i="12"/>
  <c r="H22" i="15"/>
  <c r="H41" i="15"/>
  <c r="Q41" i="12"/>
  <c r="R41" i="12" s="1"/>
  <c r="S41" i="12" s="1"/>
  <c r="T41" i="12" s="1"/>
  <c r="K19" i="12"/>
  <c r="J35" i="38"/>
  <c r="E34" i="38"/>
  <c r="D46" i="65"/>
  <c r="O46" i="109"/>
  <c r="N40" i="12"/>
  <c r="P40" i="12" s="1"/>
  <c r="R40" i="12" s="1"/>
  <c r="S40" i="12" s="1"/>
  <c r="T40" i="12" s="1"/>
  <c r="L40" i="12"/>
  <c r="L16" i="12"/>
  <c r="N16" i="12"/>
  <c r="P16" i="12" s="1"/>
  <c r="R16" i="12" s="1"/>
  <c r="S16" i="12" s="1"/>
  <c r="T16" i="12" s="1"/>
  <c r="K52" i="12"/>
  <c r="E31" i="15"/>
  <c r="E55" i="15" s="1"/>
  <c r="Q26" i="12"/>
  <c r="R26" i="12" s="1"/>
  <c r="S26" i="12" s="1"/>
  <c r="T26" i="12" s="1"/>
  <c r="H26" i="15"/>
  <c r="Q28" i="12"/>
  <c r="H28" i="15"/>
  <c r="C39" i="65"/>
  <c r="O39" i="109"/>
  <c r="J21" i="1"/>
  <c r="D55" i="109"/>
  <c r="F47" i="15"/>
  <c r="I50" i="15"/>
  <c r="F50" i="15" s="1"/>
  <c r="K35" i="12"/>
  <c r="K28" i="12"/>
  <c r="F35" i="15"/>
  <c r="I45" i="15"/>
  <c r="N13" i="12"/>
  <c r="P13" i="12" s="1"/>
  <c r="R13" i="12" s="1"/>
  <c r="S13" i="12" s="1"/>
  <c r="T13" i="12" s="1"/>
  <c r="L13" i="12"/>
  <c r="F28" i="15"/>
  <c r="C38" i="109"/>
  <c r="C10" i="38"/>
  <c r="J45" i="38"/>
  <c r="H45" i="132"/>
  <c r="H42" i="132" s="1"/>
  <c r="H35" i="132"/>
  <c r="C24" i="22" s="1"/>
  <c r="H39" i="132"/>
  <c r="H36" i="132"/>
  <c r="C25" i="42"/>
  <c r="G45" i="15"/>
  <c r="H45" i="15" s="1"/>
  <c r="H34" i="15"/>
  <c r="Q34" i="12"/>
  <c r="C42" i="109"/>
  <c r="E10" i="128"/>
  <c r="D19" i="1"/>
  <c r="D18" i="1" s="1"/>
  <c r="D54" i="109" s="1"/>
  <c r="D54" i="65" s="1"/>
  <c r="J53" i="70" s="1"/>
  <c r="D15" i="1"/>
  <c r="J16" i="1"/>
  <c r="O44" i="109"/>
  <c r="C44" i="65"/>
  <c r="H64" i="132"/>
  <c r="C31" i="22" s="1"/>
  <c r="Q37" i="12"/>
  <c r="H37" i="15"/>
  <c r="F26" i="15"/>
  <c r="I31" i="15"/>
  <c r="N15" i="12"/>
  <c r="P15" i="12" s="1"/>
  <c r="R15" i="12" s="1"/>
  <c r="S15" i="12" s="1"/>
  <c r="T15" i="12" s="1"/>
  <c r="L15" i="12"/>
  <c r="K21" i="12"/>
  <c r="K20" i="12"/>
  <c r="K25" i="12"/>
  <c r="E19" i="1"/>
  <c r="E18" i="1" s="1"/>
  <c r="E54" i="109" s="1"/>
  <c r="E54" i="65" s="1"/>
  <c r="P53" i="70" s="1"/>
  <c r="F10" i="128"/>
  <c r="E33" i="132"/>
  <c r="K22" i="132"/>
  <c r="L22" i="132"/>
  <c r="E73" i="132"/>
  <c r="I164" i="34"/>
  <c r="E63" i="132"/>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R37" i="41"/>
  <c r="K20" i="41"/>
  <c r="K15" i="41" s="1"/>
  <c r="K10" i="41" s="1"/>
  <c r="I28" i="41"/>
  <c r="I27" i="41" s="1"/>
  <c r="L20" i="41"/>
  <c r="L15" i="41" s="1"/>
  <c r="L10" i="41" s="1"/>
  <c r="L48" i="41" s="1"/>
  <c r="J28" i="41"/>
  <c r="J27" i="41" s="1"/>
  <c r="J30" i="41"/>
  <c r="M20" i="41"/>
  <c r="M15" i="41" s="1"/>
  <c r="M10" i="41" s="1"/>
  <c r="K28" i="41"/>
  <c r="K27" i="41" s="1"/>
  <c r="K30" i="41"/>
  <c r="R22" i="41"/>
  <c r="L28" i="41"/>
  <c r="L27" i="41" s="1"/>
  <c r="L30" i="41"/>
  <c r="O28" i="41"/>
  <c r="O27" i="41" s="1"/>
  <c r="Q28" i="41"/>
  <c r="Q27" i="41" s="1"/>
  <c r="N30" i="41"/>
  <c r="N48" i="41" s="1"/>
  <c r="N49" i="41" s="1"/>
  <c r="O30" i="41"/>
  <c r="R33" i="41"/>
  <c r="Q30" i="41"/>
  <c r="G22" i="40"/>
  <c r="E22" i="41" s="1"/>
  <c r="G29" i="40"/>
  <c r="E29" i="41" s="1"/>
  <c r="G23" i="40"/>
  <c r="E23" i="41" s="1"/>
  <c r="G26" i="40"/>
  <c r="E26" i="41" s="1"/>
  <c r="G21" i="40"/>
  <c r="E21" i="41" s="1"/>
  <c r="J49" i="41"/>
  <c r="K49" i="41"/>
  <c r="L49" i="41"/>
  <c r="W47" i="41"/>
  <c r="V47" i="41"/>
  <c r="C22" i="10"/>
  <c r="C27" i="10"/>
  <c r="C15" i="10" s="1"/>
  <c r="C104" i="10"/>
  <c r="H98" i="132"/>
  <c r="C58" i="22" s="1"/>
  <c r="E31" i="38"/>
  <c r="J31" i="38" s="1"/>
  <c r="G28" i="39"/>
  <c r="G27" i="39" s="1"/>
  <c r="D19" i="38" s="1"/>
  <c r="J19" i="38" s="1"/>
  <c r="G45" i="39"/>
  <c r="K28" i="40"/>
  <c r="K27" i="40" s="1"/>
  <c r="D29" i="38" s="1"/>
  <c r="K39" i="40"/>
  <c r="C22" i="22"/>
  <c r="O22" i="22" s="1"/>
  <c r="G25" i="39"/>
  <c r="G24" i="39" s="1"/>
  <c r="D18" i="38" s="1"/>
  <c r="J18" i="38" s="1"/>
  <c r="K25" i="40"/>
  <c r="K24" i="40" s="1"/>
  <c r="D28" i="38" s="1"/>
  <c r="J28" i="38" s="1"/>
  <c r="K45" i="40"/>
  <c r="X30" i="41"/>
  <c r="E30" i="38" s="1"/>
  <c r="Y17" i="25"/>
  <c r="Y16" i="25" s="1"/>
  <c r="C23" i="40" l="1"/>
  <c r="J23" i="40" s="1"/>
  <c r="C23" i="41"/>
  <c r="U23" i="41" s="1"/>
  <c r="F23" i="39"/>
  <c r="C100" i="10"/>
  <c r="C112" i="10"/>
  <c r="C111" i="10" s="1"/>
  <c r="K20" i="40"/>
  <c r="K15" i="40" s="1"/>
  <c r="G98" i="10"/>
  <c r="F98" i="10"/>
  <c r="F26" i="39"/>
  <c r="C26" i="41"/>
  <c r="C25" i="41" s="1"/>
  <c r="C24" i="41" s="1"/>
  <c r="C26" i="40"/>
  <c r="C25" i="39"/>
  <c r="O48" i="41"/>
  <c r="K48" i="41"/>
  <c r="F20" i="41"/>
  <c r="R21" i="41"/>
  <c r="R42" i="12"/>
  <c r="S42" i="12" s="1"/>
  <c r="T42" i="12" s="1"/>
  <c r="N24" i="12"/>
  <c r="P24" i="12" s="1"/>
  <c r="R24" i="12" s="1"/>
  <c r="S24" i="12" s="1"/>
  <c r="T24" i="12" s="1"/>
  <c r="L24" i="12"/>
  <c r="N11" i="12"/>
  <c r="L11" i="12"/>
  <c r="G20" i="39"/>
  <c r="G15" i="39" s="1"/>
  <c r="L28" i="12"/>
  <c r="N28" i="12"/>
  <c r="P28" i="12" s="1"/>
  <c r="R28" i="12" s="1"/>
  <c r="S28" i="12" s="1"/>
  <c r="T28" i="12" s="1"/>
  <c r="X20" i="41"/>
  <c r="U21" i="41"/>
  <c r="J22" i="132"/>
  <c r="E18" i="22"/>
  <c r="G120" i="10"/>
  <c r="C103" i="10"/>
  <c r="F120" i="10"/>
  <c r="C21" i="41"/>
  <c r="C21" i="40"/>
  <c r="C15" i="39"/>
  <c r="F21" i="39"/>
  <c r="R32" i="41"/>
  <c r="AJ35" i="25"/>
  <c r="I54" i="22"/>
  <c r="F14" i="45"/>
  <c r="F10" i="45" s="1"/>
  <c r="F45" i="15"/>
  <c r="L19" i="12"/>
  <c r="N19" i="12"/>
  <c r="P19" i="12" s="1"/>
  <c r="R19" i="12" s="1"/>
  <c r="S19" i="12" s="1"/>
  <c r="T19" i="12" s="1"/>
  <c r="Q50" i="12"/>
  <c r="G84" i="10"/>
  <c r="F84" i="10"/>
  <c r="C45" i="39"/>
  <c r="F45" i="39" s="1"/>
  <c r="C46" i="40"/>
  <c r="F46" i="39"/>
  <c r="C46" i="41"/>
  <c r="C45" i="41" s="1"/>
  <c r="L21" i="12"/>
  <c r="N21" i="12"/>
  <c r="P21" i="12" s="1"/>
  <c r="R21" i="12" s="1"/>
  <c r="S21" i="12" s="1"/>
  <c r="T21" i="12" s="1"/>
  <c r="N35" i="12"/>
  <c r="L35" i="12"/>
  <c r="L52" i="12"/>
  <c r="N52" i="12"/>
  <c r="L44" i="70"/>
  <c r="L20" i="12"/>
  <c r="N20" i="12"/>
  <c r="P20" i="12" s="1"/>
  <c r="R20" i="12" s="1"/>
  <c r="S20" i="12" s="1"/>
  <c r="T20" i="12" s="1"/>
  <c r="F26" i="33"/>
  <c r="F25" i="33"/>
  <c r="H164" i="34"/>
  <c r="E46" i="132"/>
  <c r="F46" i="132"/>
  <c r="J15" i="1"/>
  <c r="D53" i="109"/>
  <c r="D10" i="1"/>
  <c r="Q31" i="12"/>
  <c r="R22" i="12"/>
  <c r="S22" i="12" s="1"/>
  <c r="T22" i="12" s="1"/>
  <c r="L25" i="12"/>
  <c r="N25" i="12"/>
  <c r="P25" i="12" s="1"/>
  <c r="R25" i="12" s="1"/>
  <c r="S25" i="12" s="1"/>
  <c r="T25" i="12" s="1"/>
  <c r="K44" i="65"/>
  <c r="D43" i="70"/>
  <c r="E43" i="70" s="1"/>
  <c r="I35" i="132"/>
  <c r="I45" i="132"/>
  <c r="I42" i="132" s="1"/>
  <c r="M45" i="41"/>
  <c r="R45" i="41" s="1"/>
  <c r="R46" i="41"/>
  <c r="H48" i="57"/>
  <c r="D50" i="57"/>
  <c r="D48" i="57" s="1"/>
  <c r="F48" i="57" s="1"/>
  <c r="L66" i="59"/>
  <c r="I67" i="59"/>
  <c r="C38" i="40"/>
  <c r="J38" i="40" s="1"/>
  <c r="C38" i="41"/>
  <c r="U38" i="41" s="1"/>
  <c r="I30" i="41"/>
  <c r="I48" i="41" s="1"/>
  <c r="I49" i="41" s="1"/>
  <c r="R38" i="41"/>
  <c r="F28" i="33"/>
  <c r="F27" i="45"/>
  <c r="G55" i="15"/>
  <c r="H55" i="15" s="1"/>
  <c r="H31" i="15"/>
  <c r="C16" i="10"/>
  <c r="K30" i="40"/>
  <c r="D30" i="38" s="1"/>
  <c r="J30" i="38" s="1"/>
  <c r="C36" i="22"/>
  <c r="H72" i="132"/>
  <c r="G69" i="10"/>
  <c r="F69" i="10"/>
  <c r="C68" i="10"/>
  <c r="C60" i="10" s="1"/>
  <c r="C29" i="10"/>
  <c r="C40" i="10"/>
  <c r="F36" i="39"/>
  <c r="C36" i="40"/>
  <c r="J36" i="40" s="1"/>
  <c r="C36" i="41"/>
  <c r="C37" i="40"/>
  <c r="J37" i="40" s="1"/>
  <c r="C37" i="41"/>
  <c r="F37" i="39"/>
  <c r="G164" i="34"/>
  <c r="F23" i="132"/>
  <c r="G23" i="132"/>
  <c r="E23" i="132"/>
  <c r="O55" i="109"/>
  <c r="D55" i="65"/>
  <c r="D10" i="128"/>
  <c r="C19" i="1"/>
  <c r="E10" i="1"/>
  <c r="E51" i="109" s="1"/>
  <c r="E51" i="65" s="1"/>
  <c r="P50" i="70" s="1"/>
  <c r="Q50" i="70" s="1"/>
  <c r="M25" i="41"/>
  <c r="R26" i="41"/>
  <c r="C22" i="40"/>
  <c r="J22" i="40" s="1"/>
  <c r="C22" i="41"/>
  <c r="F22" i="39"/>
  <c r="C43" i="41"/>
  <c r="C39" i="41" s="1"/>
  <c r="F43" i="39"/>
  <c r="C43" i="40"/>
  <c r="C39" i="39"/>
  <c r="F39" i="39" s="1"/>
  <c r="C17" i="22"/>
  <c r="C105" i="10"/>
  <c r="C102" i="10"/>
  <c r="C23" i="10"/>
  <c r="C34" i="41"/>
  <c r="C34" i="40"/>
  <c r="J34" i="40" s="1"/>
  <c r="F34" i="39"/>
  <c r="C35" i="41"/>
  <c r="F35" i="39"/>
  <c r="C35" i="40"/>
  <c r="J35" i="40" s="1"/>
  <c r="R23" i="41"/>
  <c r="R43" i="41"/>
  <c r="M39" i="41"/>
  <c r="R39" i="41" s="1"/>
  <c r="F21" i="45"/>
  <c r="G24" i="132"/>
  <c r="I55" i="15"/>
  <c r="F55" i="15" s="1"/>
  <c r="F31" i="15"/>
  <c r="C31" i="109"/>
  <c r="C10" i="25"/>
  <c r="C40" i="25"/>
  <c r="R52" i="70"/>
  <c r="AJ34" i="25"/>
  <c r="J162" i="34"/>
  <c r="I53" i="22"/>
  <c r="X28" i="41"/>
  <c r="U29" i="41"/>
  <c r="G24" i="33"/>
  <c r="G23" i="33" s="1"/>
  <c r="G22" i="33" s="1"/>
  <c r="X17" i="25"/>
  <c r="X16" i="25" s="1"/>
  <c r="G39" i="39"/>
  <c r="G30" i="39" s="1"/>
  <c r="D20" i="38" s="1"/>
  <c r="J20" i="38" s="1"/>
  <c r="C96" i="10"/>
  <c r="C88" i="10" s="1"/>
  <c r="C12" i="10"/>
  <c r="C33" i="40"/>
  <c r="J33" i="40" s="1"/>
  <c r="F33" i="39"/>
  <c r="C33" i="41"/>
  <c r="Q48" i="41"/>
  <c r="Q49" i="41" s="1"/>
  <c r="C42" i="65"/>
  <c r="C38" i="65"/>
  <c r="O38" i="109"/>
  <c r="C26" i="10"/>
  <c r="C50" i="10"/>
  <c r="C29" i="40"/>
  <c r="F29" i="39"/>
  <c r="C28" i="39"/>
  <c r="C29" i="41"/>
  <c r="C28" i="41" s="1"/>
  <c r="C27" i="41" s="1"/>
  <c r="F28" i="41"/>
  <c r="R29" i="41"/>
  <c r="R34" i="12"/>
  <c r="Q45" i="12"/>
  <c r="D38" i="70"/>
  <c r="E38" i="70" s="1"/>
  <c r="K39" i="65"/>
  <c r="J45" i="70"/>
  <c r="K45" i="70" s="1"/>
  <c r="K46" i="65"/>
  <c r="C57" i="22"/>
  <c r="O58" i="22"/>
  <c r="C30" i="22"/>
  <c r="I31" i="22"/>
  <c r="AJ18" i="25"/>
  <c r="AJ16" i="25" s="1"/>
  <c r="Y10" i="25"/>
  <c r="Y41" i="25"/>
  <c r="Y39" i="25" s="1"/>
  <c r="C30" i="10"/>
  <c r="C21" i="10"/>
  <c r="C11" i="10" s="1"/>
  <c r="C81" i="10"/>
  <c r="C32" i="40"/>
  <c r="F32" i="39"/>
  <c r="C32" i="41"/>
  <c r="C30" i="39"/>
  <c r="F30" i="39" s="1"/>
  <c r="J20" i="41"/>
  <c r="J15" i="41" s="1"/>
  <c r="J10" i="41" s="1"/>
  <c r="J48" i="41" s="1"/>
  <c r="E33" i="38"/>
  <c r="J34" i="38"/>
  <c r="N47" i="12"/>
  <c r="L47" i="12"/>
  <c r="L17" i="12"/>
  <c r="N17" i="12"/>
  <c r="P17" i="12" s="1"/>
  <c r="R17" i="12" s="1"/>
  <c r="S17" i="12" s="1"/>
  <c r="T17" i="12" s="1"/>
  <c r="C99" i="11"/>
  <c r="D16" i="20"/>
  <c r="C10" i="20"/>
  <c r="M9" i="20" s="1"/>
  <c r="L9" i="20" s="1"/>
  <c r="G24" i="114"/>
  <c r="E38" i="7"/>
  <c r="F23" i="114"/>
  <c r="G26" i="114"/>
  <c r="G23" i="114"/>
  <c r="F26" i="114"/>
  <c r="G22" i="114"/>
  <c r="F25" i="114"/>
  <c r="F38" i="114"/>
  <c r="G30" i="114"/>
  <c r="G38" i="114"/>
  <c r="G12" i="114"/>
  <c r="I27" i="114"/>
  <c r="J27" i="114"/>
  <c r="D15" i="16"/>
  <c r="H38" i="114"/>
  <c r="G25" i="114"/>
  <c r="F24" i="114"/>
  <c r="E15" i="16"/>
  <c r="E35" i="114"/>
  <c r="I70" i="132"/>
  <c r="I67" i="132" s="1"/>
  <c r="H70" i="132"/>
  <c r="H67" i="132" s="1"/>
  <c r="C34" i="22" s="1"/>
  <c r="J70" i="132"/>
  <c r="J67" i="132" s="1"/>
  <c r="H50" i="132"/>
  <c r="H47" i="132" s="1"/>
  <c r="C26" i="22" s="1"/>
  <c r="O26" i="22" s="1"/>
  <c r="F91" i="10"/>
  <c r="G94" i="10"/>
  <c r="E61" i="10"/>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J96" i="10" l="1"/>
  <c r="J14" i="10" s="1"/>
  <c r="G97" i="10"/>
  <c r="I62" i="9"/>
  <c r="J81" i="10"/>
  <c r="E27" i="7" s="1"/>
  <c r="G82" i="10"/>
  <c r="H112" i="10"/>
  <c r="H111" i="10" s="1"/>
  <c r="H100" i="10"/>
  <c r="E113" i="10"/>
  <c r="J61" i="9"/>
  <c r="G31" i="10"/>
  <c r="J21" i="10"/>
  <c r="K66" i="59"/>
  <c r="H67" i="59"/>
  <c r="F11" i="16"/>
  <c r="J32" i="114"/>
  <c r="G35" i="114"/>
  <c r="AJ41" i="25"/>
  <c r="AJ39" i="25" s="1"/>
  <c r="S34" i="12"/>
  <c r="T34" i="12" s="1"/>
  <c r="X41" i="25"/>
  <c r="X10" i="25"/>
  <c r="C24" i="39"/>
  <c r="F24" i="39" s="1"/>
  <c r="F25" i="39"/>
  <c r="I40" i="10"/>
  <c r="F41" i="10"/>
  <c r="I81" i="10"/>
  <c r="D27" i="7" s="1"/>
  <c r="F82" i="10"/>
  <c r="I38" i="9"/>
  <c r="D20" i="7" s="1"/>
  <c r="G11" i="16"/>
  <c r="E12" i="16"/>
  <c r="J60" i="9"/>
  <c r="J67" i="9"/>
  <c r="J40" i="10"/>
  <c r="G41" i="10"/>
  <c r="H29" i="10"/>
  <c r="E69" i="10"/>
  <c r="H68" i="10"/>
  <c r="H60" i="10" s="1"/>
  <c r="F121" i="10"/>
  <c r="I104" i="10"/>
  <c r="F104" i="10" s="1"/>
  <c r="I21" i="10"/>
  <c r="F31" i="10"/>
  <c r="I30" i="10"/>
  <c r="H31" i="9"/>
  <c r="C19" i="7" s="1"/>
  <c r="H45" i="9"/>
  <c r="C21" i="7" s="1"/>
  <c r="H81" i="9"/>
  <c r="J25" i="8"/>
  <c r="I26" i="8"/>
  <c r="D47" i="57"/>
  <c r="D46" i="57" s="1"/>
  <c r="H46" i="57"/>
  <c r="H10" i="57" s="1"/>
  <c r="J52" i="132"/>
  <c r="E34" i="22"/>
  <c r="E27" i="22" s="1"/>
  <c r="E25" i="109" s="1"/>
  <c r="E25" i="65" s="1"/>
  <c r="P25" i="70" s="1"/>
  <c r="Q25" i="70" s="1"/>
  <c r="F14" i="114"/>
  <c r="E35" i="109"/>
  <c r="J33" i="38"/>
  <c r="V14" i="73"/>
  <c r="I27" i="22"/>
  <c r="K38" i="65"/>
  <c r="D37" i="70"/>
  <c r="E37" i="70" s="1"/>
  <c r="C31" i="65"/>
  <c r="C30" i="41"/>
  <c r="U30" i="41" s="1"/>
  <c r="D24" i="22"/>
  <c r="I22" i="132"/>
  <c r="P35" i="12"/>
  <c r="N45" i="12"/>
  <c r="C11" i="13" s="1"/>
  <c r="D11" i="13" s="1"/>
  <c r="J26" i="40"/>
  <c r="C25" i="40"/>
  <c r="J60" i="10"/>
  <c r="G61" i="10"/>
  <c r="J62" i="9"/>
  <c r="J81" i="9"/>
  <c r="F15" i="39"/>
  <c r="C10" i="39"/>
  <c r="H30" i="10"/>
  <c r="E31" i="10"/>
  <c r="H21" i="10"/>
  <c r="I65" i="9"/>
  <c r="J24" i="9"/>
  <c r="E18" i="7" s="1"/>
  <c r="I27" i="8"/>
  <c r="J66" i="8"/>
  <c r="G11" i="114"/>
  <c r="I32" i="114"/>
  <c r="F35" i="114"/>
  <c r="F27" i="41"/>
  <c r="R28" i="41"/>
  <c r="V27" i="73"/>
  <c r="W27" i="73" s="1"/>
  <c r="O53" i="22"/>
  <c r="I52" i="22"/>
  <c r="C35" i="22"/>
  <c r="O36" i="22"/>
  <c r="C20" i="41"/>
  <c r="C15" i="41" s="1"/>
  <c r="C10" i="41" s="1"/>
  <c r="N31" i="12"/>
  <c r="P11" i="12"/>
  <c r="C27" i="22"/>
  <c r="X27" i="41"/>
  <c r="U28" i="41"/>
  <c r="J16" i="10"/>
  <c r="E25" i="7" s="1"/>
  <c r="G17" i="10"/>
  <c r="I10" i="20"/>
  <c r="E53" i="7" s="1"/>
  <c r="F11" i="20"/>
  <c r="I16" i="10"/>
  <c r="D25" i="7" s="1"/>
  <c r="F17" i="10"/>
  <c r="F89" i="10"/>
  <c r="I88" i="10"/>
  <c r="D28" i="7" s="1"/>
  <c r="E97" i="10"/>
  <c r="H96" i="10"/>
  <c r="H88" i="10" s="1"/>
  <c r="C28" i="7" s="1"/>
  <c r="J22" i="10"/>
  <c r="G22" i="10" s="1"/>
  <c r="G32" i="10"/>
  <c r="J50" i="10"/>
  <c r="G51" i="10"/>
  <c r="H105" i="10"/>
  <c r="E108" i="10"/>
  <c r="H102" i="10"/>
  <c r="E102" i="10" s="1"/>
  <c r="J26" i="8"/>
  <c r="I30" i="8"/>
  <c r="J13" i="9"/>
  <c r="J45" i="9"/>
  <c r="E21" i="7" s="1"/>
  <c r="F11" i="114"/>
  <c r="I10" i="114"/>
  <c r="C43" i="7" s="1"/>
  <c r="E19" i="16"/>
  <c r="G18" i="16"/>
  <c r="E18" i="16" s="1"/>
  <c r="J16" i="114"/>
  <c r="G18" i="114"/>
  <c r="C14" i="20"/>
  <c r="M10" i="20" s="1"/>
  <c r="L10" i="20" s="1"/>
  <c r="C30" i="109"/>
  <c r="O57" i="22"/>
  <c r="O31" i="22"/>
  <c r="J38" i="9"/>
  <c r="E20" i="7" s="1"/>
  <c r="C58" i="7"/>
  <c r="E23" i="19"/>
  <c r="E29" i="19" s="1"/>
  <c r="C16" i="19"/>
  <c r="C17" i="19"/>
  <c r="L24" i="114"/>
  <c r="L21" i="114" s="1"/>
  <c r="C11" i="19"/>
  <c r="H38" i="9"/>
  <c r="C20" i="7" s="1"/>
  <c r="E120" i="10"/>
  <c r="H103" i="10"/>
  <c r="E103" i="10" s="1"/>
  <c r="G37" i="10"/>
  <c r="J27" i="10"/>
  <c r="H16" i="10"/>
  <c r="C25" i="7" s="1"/>
  <c r="E17" i="10"/>
  <c r="H11" i="10"/>
  <c r="J95" i="9"/>
  <c r="H25" i="8"/>
  <c r="E19" i="132"/>
  <c r="I52" i="9"/>
  <c r="D22" i="7" s="1"/>
  <c r="J21" i="114"/>
  <c r="D44" i="7" s="1"/>
  <c r="G13" i="114"/>
  <c r="H14" i="114"/>
  <c r="C109" i="11"/>
  <c r="C108" i="11" s="1"/>
  <c r="C94" i="11"/>
  <c r="C93" i="11" s="1"/>
  <c r="J32" i="40"/>
  <c r="C27" i="39"/>
  <c r="F27" i="39" s="1"/>
  <c r="F28" i="39"/>
  <c r="AJ33" i="25"/>
  <c r="AJ44" i="25" s="1"/>
  <c r="C13" i="10"/>
  <c r="M24" i="41"/>
  <c r="R24" i="41" s="1"/>
  <c r="R25" i="41"/>
  <c r="F103" i="10"/>
  <c r="G103" i="10"/>
  <c r="D27" i="38"/>
  <c r="K10" i="40"/>
  <c r="I50" i="57"/>
  <c r="G48" i="57"/>
  <c r="E50" i="57"/>
  <c r="F18" i="16"/>
  <c r="D18" i="16" s="1"/>
  <c r="D19" i="16"/>
  <c r="F43" i="70"/>
  <c r="I60" i="10"/>
  <c r="F61" i="10"/>
  <c r="H119" i="9"/>
  <c r="H118" i="9" s="1"/>
  <c r="G89" i="10"/>
  <c r="J88" i="10"/>
  <c r="E28" i="7" s="1"/>
  <c r="J28" i="7" s="1"/>
  <c r="H104" i="10"/>
  <c r="E104" i="10" s="1"/>
  <c r="E121" i="10"/>
  <c r="G113" i="10"/>
  <c r="J112" i="10"/>
  <c r="J111" i="10" s="1"/>
  <c r="J100" i="10"/>
  <c r="I50" i="10"/>
  <c r="F51" i="10"/>
  <c r="H24" i="9"/>
  <c r="C18" i="7" s="1"/>
  <c r="I61" i="9"/>
  <c r="E19" i="109"/>
  <c r="E19" i="65" s="1"/>
  <c r="P19" i="70" s="1"/>
  <c r="Q19" i="70" s="1"/>
  <c r="F20" i="45"/>
  <c r="R50" i="70"/>
  <c r="L65" i="59"/>
  <c r="I66" i="59"/>
  <c r="Q55" i="12"/>
  <c r="J12" i="9"/>
  <c r="I47" i="57"/>
  <c r="E24" i="47" s="1"/>
  <c r="I24" i="47" s="1"/>
  <c r="E47" i="57"/>
  <c r="F22" i="114"/>
  <c r="I21" i="114"/>
  <c r="C44" i="7" s="1"/>
  <c r="I96" i="10"/>
  <c r="I14" i="10" s="1"/>
  <c r="F14" i="10" s="1"/>
  <c r="F97" i="10"/>
  <c r="J11" i="9"/>
  <c r="J17" i="9"/>
  <c r="E17" i="7" s="1"/>
  <c r="F32" i="10"/>
  <c r="I22" i="10"/>
  <c r="F22" i="10" s="1"/>
  <c r="E114" i="11"/>
  <c r="H99" i="11"/>
  <c r="E99" i="11" s="1"/>
  <c r="I100" i="10"/>
  <c r="F113" i="10"/>
  <c r="I112" i="10"/>
  <c r="I111" i="10" s="1"/>
  <c r="J105" i="10"/>
  <c r="J102" i="10"/>
  <c r="G102" i="10" s="1"/>
  <c r="G108" i="10"/>
  <c r="E32" i="10"/>
  <c r="H22" i="10"/>
  <c r="E22" i="10" s="1"/>
  <c r="I27" i="10"/>
  <c r="F37" i="10"/>
  <c r="I67" i="9"/>
  <c r="I60" i="9"/>
  <c r="I119" i="9"/>
  <c r="I118" i="9" s="1"/>
  <c r="J31" i="9"/>
  <c r="E19" i="7" s="1"/>
  <c r="H102" i="9"/>
  <c r="I95" i="9"/>
  <c r="J102" i="9"/>
  <c r="K32" i="114"/>
  <c r="K36" i="114"/>
  <c r="H37" i="114"/>
  <c r="L45" i="70"/>
  <c r="J29" i="40"/>
  <c r="C28" i="40"/>
  <c r="H22" i="132"/>
  <c r="C18" i="1"/>
  <c r="J19" i="1"/>
  <c r="J46" i="40"/>
  <c r="C45" i="40"/>
  <c r="J45" i="40" s="1"/>
  <c r="E16" i="22"/>
  <c r="O18" i="22"/>
  <c r="C99" i="10"/>
  <c r="I52" i="132"/>
  <c r="D34" i="22"/>
  <c r="D27" i="22" s="1"/>
  <c r="D25" i="109" s="1"/>
  <c r="D25" i="65" s="1"/>
  <c r="J25" i="70" s="1"/>
  <c r="K25" i="70" s="1"/>
  <c r="I105" i="10"/>
  <c r="I102" i="10"/>
  <c r="F102" i="10" s="1"/>
  <c r="F108" i="10"/>
  <c r="H50" i="10"/>
  <c r="E51" i="10"/>
  <c r="I81" i="9"/>
  <c r="J75" i="8"/>
  <c r="G37" i="114"/>
  <c r="J36" i="114"/>
  <c r="G14" i="114"/>
  <c r="H11" i="114"/>
  <c r="K10" i="114"/>
  <c r="E43" i="7" s="1"/>
  <c r="F12" i="10"/>
  <c r="E12" i="10"/>
  <c r="G12" i="10"/>
  <c r="O17" i="22"/>
  <c r="C16" i="22"/>
  <c r="D51" i="109"/>
  <c r="D51" i="65" s="1"/>
  <c r="J50" i="70" s="1"/>
  <c r="K50" i="70" s="1"/>
  <c r="C15" i="68"/>
  <c r="V28" i="73"/>
  <c r="W28" i="73" s="1"/>
  <c r="O54" i="22"/>
  <c r="F15" i="41"/>
  <c r="F10" i="41" s="1"/>
  <c r="R20" i="41"/>
  <c r="R15" i="41" s="1"/>
  <c r="R10" i="41" s="1"/>
  <c r="H52" i="132"/>
  <c r="D17" i="38"/>
  <c r="G10" i="39"/>
  <c r="J65" i="9"/>
  <c r="D41" i="70"/>
  <c r="E41" i="70" s="1"/>
  <c r="J21" i="40"/>
  <c r="C20" i="40"/>
  <c r="J26" i="10"/>
  <c r="G36" i="10"/>
  <c r="N62" i="109"/>
  <c r="I26" i="10"/>
  <c r="F36" i="10"/>
  <c r="I23" i="10"/>
  <c r="F23" i="10" s="1"/>
  <c r="F33" i="10"/>
  <c r="E36" i="10"/>
  <c r="H26" i="10"/>
  <c r="J119" i="9"/>
  <c r="J118" i="9" s="1"/>
  <c r="J63" i="8"/>
  <c r="H53" i="8"/>
  <c r="C14" i="7" s="1"/>
  <c r="H11" i="9"/>
  <c r="J52" i="9"/>
  <c r="E22" i="7" s="1"/>
  <c r="C10" i="16"/>
  <c r="F37" i="114"/>
  <c r="I36" i="114"/>
  <c r="K21" i="114"/>
  <c r="E44" i="7" s="1"/>
  <c r="H22" i="114"/>
  <c r="F38" i="70"/>
  <c r="C39" i="25"/>
  <c r="W40" i="25"/>
  <c r="K55" i="65"/>
  <c r="J54" i="70"/>
  <c r="K54" i="70" s="1"/>
  <c r="D53" i="65"/>
  <c r="O53" i="109"/>
  <c r="P52" i="12"/>
  <c r="N54" i="12"/>
  <c r="C13" i="13" s="1"/>
  <c r="D13" i="13" s="1"/>
  <c r="H30" i="8"/>
  <c r="E33" i="10"/>
  <c r="H23" i="10"/>
  <c r="E23" i="10" s="1"/>
  <c r="J104" i="10"/>
  <c r="G104" i="10" s="1"/>
  <c r="G121" i="10"/>
  <c r="I102" i="9"/>
  <c r="H61" i="9"/>
  <c r="H60" i="9"/>
  <c r="H67" i="9"/>
  <c r="E41" i="10"/>
  <c r="H40" i="10"/>
  <c r="D13" i="16"/>
  <c r="D14" i="16"/>
  <c r="E15" i="19"/>
  <c r="C49" i="7" s="1"/>
  <c r="E27" i="19"/>
  <c r="E28" i="19" s="1"/>
  <c r="P47" i="12"/>
  <c r="N50" i="12"/>
  <c r="C12" i="13" s="1"/>
  <c r="D12" i="13" s="1"/>
  <c r="J43" i="40"/>
  <c r="C39" i="40"/>
  <c r="J39" i="40" s="1"/>
  <c r="C28" i="10"/>
  <c r="C14" i="10" s="1"/>
  <c r="F29" i="10"/>
  <c r="G29" i="10"/>
  <c r="M30" i="41"/>
  <c r="R30" i="41" s="1"/>
  <c r="U20" i="41"/>
  <c r="X15" i="41"/>
  <c r="E20" i="132"/>
  <c r="E21" i="132"/>
  <c r="I24" i="9"/>
  <c r="D18" i="7" s="1"/>
  <c r="J18" i="7" s="1"/>
  <c r="I12" i="9"/>
  <c r="I62" i="8"/>
  <c r="J32" i="8"/>
  <c r="J53" i="8"/>
  <c r="E14" i="7" s="1"/>
  <c r="E47" i="10"/>
  <c r="N63" i="109"/>
  <c r="E95" i="10"/>
  <c r="M63" i="109"/>
  <c r="K63" i="109"/>
  <c r="L63" i="109"/>
  <c r="H27" i="8" l="1"/>
  <c r="H32" i="8"/>
  <c r="F48" i="41"/>
  <c r="R27" i="41"/>
  <c r="H13" i="9"/>
  <c r="J28" i="40"/>
  <c r="C27" i="40"/>
  <c r="J27" i="40" s="1"/>
  <c r="H68" i="8"/>
  <c r="H61" i="8"/>
  <c r="J82" i="8"/>
  <c r="H16" i="9"/>
  <c r="I66" i="8"/>
  <c r="H75" i="8"/>
  <c r="U15" i="41"/>
  <c r="E27" i="38"/>
  <c r="X10" i="41"/>
  <c r="J16" i="9"/>
  <c r="F27" i="10"/>
  <c r="I15" i="10"/>
  <c r="F15" i="10" s="1"/>
  <c r="H18" i="132"/>
  <c r="H14" i="132" s="1"/>
  <c r="C15" i="22" s="1"/>
  <c r="O15" i="22" s="1"/>
  <c r="X27" i="73"/>
  <c r="J31" i="114"/>
  <c r="D45" i="7" s="1"/>
  <c r="G52" i="7"/>
  <c r="L61" i="109" s="1"/>
  <c r="L62" i="109"/>
  <c r="I32" i="8"/>
  <c r="I25" i="8"/>
  <c r="I75" i="8"/>
  <c r="P50" i="12"/>
  <c r="R47" i="12"/>
  <c r="H62" i="9"/>
  <c r="H10" i="20"/>
  <c r="D53" i="7" s="1"/>
  <c r="E11" i="20"/>
  <c r="G10" i="20"/>
  <c r="C53" i="7" s="1"/>
  <c r="D11" i="20"/>
  <c r="I21" i="8"/>
  <c r="I45" i="9"/>
  <c r="D21" i="7" s="1"/>
  <c r="J21" i="7" s="1"/>
  <c r="J23" i="10"/>
  <c r="G33" i="10"/>
  <c r="L50" i="70"/>
  <c r="E24" i="109"/>
  <c r="E24" i="65" s="1"/>
  <c r="P24" i="70" s="1"/>
  <c r="Q24" i="70" s="1"/>
  <c r="E10" i="22"/>
  <c r="E22" i="109" s="1"/>
  <c r="E22" i="65" s="1"/>
  <c r="P22" i="70" s="1"/>
  <c r="Q22" i="70" s="1"/>
  <c r="C20" i="10"/>
  <c r="G46" i="57"/>
  <c r="I48" i="57"/>
  <c r="E25" i="47" s="1"/>
  <c r="E23" i="47" s="1"/>
  <c r="E48" i="57"/>
  <c r="C30" i="40"/>
  <c r="J30" i="40" s="1"/>
  <c r="U27" i="41"/>
  <c r="E29" i="38"/>
  <c r="J29" i="38" s="1"/>
  <c r="F10" i="39"/>
  <c r="O35" i="109"/>
  <c r="E35" i="65"/>
  <c r="J59" i="9"/>
  <c r="E23" i="7" s="1"/>
  <c r="E16" i="7" s="1"/>
  <c r="E14" i="109" s="1"/>
  <c r="E14" i="65" s="1"/>
  <c r="P14" i="70" s="1"/>
  <c r="Q14" i="70" s="1"/>
  <c r="F10" i="16"/>
  <c r="D39" i="7" s="1"/>
  <c r="D38" i="7" s="1"/>
  <c r="J62" i="8"/>
  <c r="R52" i="12"/>
  <c r="P54" i="12"/>
  <c r="P45" i="12"/>
  <c r="R35" i="12"/>
  <c r="I52" i="7"/>
  <c r="N61" i="109" s="1"/>
  <c r="F52" i="7"/>
  <c r="K61" i="109" s="1"/>
  <c r="K62" i="109"/>
  <c r="I13" i="9"/>
  <c r="I82" i="8"/>
  <c r="D11" i="38"/>
  <c r="J17" i="38"/>
  <c r="K31" i="114"/>
  <c r="E45" i="7" s="1"/>
  <c r="E42" i="7" s="1"/>
  <c r="R19" i="70"/>
  <c r="D22" i="38"/>
  <c r="D21" i="38"/>
  <c r="J27" i="38"/>
  <c r="H18" i="8"/>
  <c r="J25" i="7"/>
  <c r="I31" i="114"/>
  <c r="C45" i="7" s="1"/>
  <c r="J45" i="7" s="1"/>
  <c r="D16" i="22"/>
  <c r="O24" i="22"/>
  <c r="H99" i="10"/>
  <c r="C29" i="7" s="1"/>
  <c r="J29" i="7" s="1"/>
  <c r="E100" i="10"/>
  <c r="R25" i="70"/>
  <c r="I11" i="10"/>
  <c r="I20" i="10"/>
  <c r="D26" i="7" s="1"/>
  <c r="F21" i="10"/>
  <c r="H44" i="11"/>
  <c r="I53" i="8"/>
  <c r="D14" i="7" s="1"/>
  <c r="C13" i="22"/>
  <c r="O13" i="22" s="1"/>
  <c r="E12" i="132"/>
  <c r="K53" i="65"/>
  <c r="J52" i="70"/>
  <c r="K52" i="70" s="1"/>
  <c r="E15" i="20"/>
  <c r="H14" i="20"/>
  <c r="D54" i="7" s="1"/>
  <c r="D63" i="109" s="1"/>
  <c r="D62" i="65" s="1"/>
  <c r="J61" i="70" s="1"/>
  <c r="K61" i="70" s="1"/>
  <c r="H21" i="8"/>
  <c r="I68" i="8"/>
  <c r="I61" i="8"/>
  <c r="C10" i="10"/>
  <c r="L54" i="70"/>
  <c r="G27" i="10"/>
  <c r="J15" i="10"/>
  <c r="G15" i="10" s="1"/>
  <c r="C57" i="7"/>
  <c r="J58" i="7"/>
  <c r="J43" i="7"/>
  <c r="P31" i="12"/>
  <c r="R11" i="12"/>
  <c r="S11" i="12" s="1"/>
  <c r="T11" i="12" s="1"/>
  <c r="T31" i="12" s="1"/>
  <c r="J10" i="114"/>
  <c r="D43" i="7" s="1"/>
  <c r="D42" i="7" s="1"/>
  <c r="D20" i="109" s="1"/>
  <c r="D20" i="65" s="1"/>
  <c r="J20" i="70" s="1"/>
  <c r="K20" i="70" s="1"/>
  <c r="K65" i="59"/>
  <c r="H66" i="59"/>
  <c r="I13" i="10"/>
  <c r="F13" i="10" s="1"/>
  <c r="F26" i="10"/>
  <c r="J19" i="8"/>
  <c r="H66" i="8"/>
  <c r="H65" i="9"/>
  <c r="H63" i="8"/>
  <c r="H26" i="8"/>
  <c r="H24" i="8" s="1"/>
  <c r="C13" i="7" s="1"/>
  <c r="J13" i="10"/>
  <c r="G13" i="10" s="1"/>
  <c r="G26" i="10"/>
  <c r="O34" i="22"/>
  <c r="C10" i="13"/>
  <c r="N55" i="12"/>
  <c r="H95" i="9"/>
  <c r="AH41" i="25"/>
  <c r="G30" i="22"/>
  <c r="X39" i="25"/>
  <c r="I14" i="20"/>
  <c r="E54" i="7" s="1"/>
  <c r="E63" i="109" s="1"/>
  <c r="E62" i="65" s="1"/>
  <c r="P61" i="70" s="1"/>
  <c r="Q61" i="70" s="1"/>
  <c r="F15" i="20"/>
  <c r="C24" i="109"/>
  <c r="H62" i="8"/>
  <c r="G14" i="20"/>
  <c r="C54" i="7" s="1"/>
  <c r="D15" i="20"/>
  <c r="J30" i="8"/>
  <c r="W39" i="25"/>
  <c r="F25" i="22"/>
  <c r="J20" i="40"/>
  <c r="C15" i="40"/>
  <c r="L25" i="70"/>
  <c r="C10" i="1"/>
  <c r="C54" i="109"/>
  <c r="J18" i="1"/>
  <c r="J44" i="7"/>
  <c r="D30" i="70"/>
  <c r="E30" i="70" s="1"/>
  <c r="J68" i="8"/>
  <c r="C25" i="109"/>
  <c r="E37" i="10"/>
  <c r="H27" i="10"/>
  <c r="J21" i="8"/>
  <c r="I16" i="9"/>
  <c r="C12" i="22"/>
  <c r="H10" i="132"/>
  <c r="E11" i="132"/>
  <c r="H82" i="8"/>
  <c r="H17" i="9"/>
  <c r="C17" i="7" s="1"/>
  <c r="H12" i="9"/>
  <c r="C14" i="22"/>
  <c r="O14" i="22" s="1"/>
  <c r="E13" i="132"/>
  <c r="H13" i="10"/>
  <c r="E13" i="10" s="1"/>
  <c r="E26" i="10"/>
  <c r="I59" i="9"/>
  <c r="D23" i="7" s="1"/>
  <c r="I99" i="10"/>
  <c r="D29" i="7" s="1"/>
  <c r="F100" i="10"/>
  <c r="L59" i="59"/>
  <c r="I65" i="59"/>
  <c r="J99" i="10"/>
  <c r="E29" i="7" s="1"/>
  <c r="G100" i="10"/>
  <c r="E62" i="109"/>
  <c r="E61" i="65" s="1"/>
  <c r="P60" i="70" s="1"/>
  <c r="Q60" i="70" s="1"/>
  <c r="E52" i="7"/>
  <c r="E61" i="109" s="1"/>
  <c r="E60" i="65" s="1"/>
  <c r="P59" i="70" s="1"/>
  <c r="Q59" i="70" s="1"/>
  <c r="F37" i="70"/>
  <c r="F46" i="57"/>
  <c r="D10" i="57"/>
  <c r="F10" i="57" s="1"/>
  <c r="E29" i="10"/>
  <c r="H28" i="10"/>
  <c r="H14" i="10" s="1"/>
  <c r="E14" i="10" s="1"/>
  <c r="E11" i="16"/>
  <c r="G10" i="16"/>
  <c r="C39" i="7" s="1"/>
  <c r="J61" i="8"/>
  <c r="E11" i="10"/>
  <c r="H10" i="10"/>
  <c r="I63" i="8"/>
  <c r="J27" i="8"/>
  <c r="I17" i="9"/>
  <c r="D17" i="7" s="1"/>
  <c r="I11" i="9"/>
  <c r="F41" i="70"/>
  <c r="O52" i="22"/>
  <c r="I29" i="109"/>
  <c r="E21" i="10"/>
  <c r="H20" i="10"/>
  <c r="C26" i="7" s="1"/>
  <c r="J26" i="7" s="1"/>
  <c r="I25" i="109"/>
  <c r="I25" i="65" s="1"/>
  <c r="I10" i="22"/>
  <c r="I22" i="109" s="1"/>
  <c r="I19" i="8"/>
  <c r="AJ10" i="25"/>
  <c r="J30" i="10"/>
  <c r="M62" i="109"/>
  <c r="H52" i="7"/>
  <c r="M61" i="109" s="1"/>
  <c r="O35" i="22"/>
  <c r="C26" i="109"/>
  <c r="I31" i="9"/>
  <c r="D19" i="7" s="1"/>
  <c r="J19" i="7" s="1"/>
  <c r="H52" i="9"/>
  <c r="C22" i="7" s="1"/>
  <c r="J22" i="7" s="1"/>
  <c r="D12" i="16"/>
  <c r="H11" i="16"/>
  <c r="C47" i="7"/>
  <c r="J49" i="7"/>
  <c r="J14" i="7"/>
  <c r="X28" i="73"/>
  <c r="E82" i="10"/>
  <c r="H81" i="10"/>
  <c r="C27" i="7" s="1"/>
  <c r="J27" i="7" s="1"/>
  <c r="J20" i="7"/>
  <c r="C30" i="65"/>
  <c r="O30" i="109"/>
  <c r="C24" i="40"/>
  <c r="J24" i="40" s="1"/>
  <c r="J25" i="40"/>
  <c r="W14" i="73"/>
  <c r="V10" i="73"/>
  <c r="W10" i="73" s="1"/>
  <c r="G21" i="10"/>
  <c r="J20" i="10"/>
  <c r="E26" i="7" s="1"/>
  <c r="E24" i="7" s="1"/>
  <c r="E15" i="109" s="1"/>
  <c r="E15" i="65" s="1"/>
  <c r="P15" i="70" s="1"/>
  <c r="Q15" i="70" s="1"/>
  <c r="G14" i="10"/>
  <c r="C38" i="7" l="1"/>
  <c r="J39" i="7"/>
  <c r="H15" i="10"/>
  <c r="E15" i="10" s="1"/>
  <c r="E27" i="10"/>
  <c r="J47" i="7"/>
  <c r="C21" i="109"/>
  <c r="C66" i="109"/>
  <c r="J57" i="7"/>
  <c r="H14" i="8"/>
  <c r="C24" i="7"/>
  <c r="E20" i="109"/>
  <c r="E20" i="65" s="1"/>
  <c r="P20" i="70" s="1"/>
  <c r="Q20" i="70" s="1"/>
  <c r="E37" i="7"/>
  <c r="E18" i="109" s="1"/>
  <c r="E18" i="65" s="1"/>
  <c r="P18" i="70" s="1"/>
  <c r="Q18" i="70" s="1"/>
  <c r="S35" i="12"/>
  <c r="T35" i="12" s="1"/>
  <c r="T45" i="12" s="1"/>
  <c r="E11" i="13" s="1"/>
  <c r="R45" i="12"/>
  <c r="K35" i="65"/>
  <c r="P34" i="70"/>
  <c r="Q34" i="70" s="1"/>
  <c r="C62" i="109"/>
  <c r="C52" i="7"/>
  <c r="J53" i="7"/>
  <c r="I59" i="59"/>
  <c r="L10" i="59"/>
  <c r="I10" i="59" s="1"/>
  <c r="D29" i="70"/>
  <c r="E29" i="70" s="1"/>
  <c r="K30" i="65"/>
  <c r="H10" i="16"/>
  <c r="D11" i="16"/>
  <c r="C24" i="65"/>
  <c r="D24" i="70" s="1"/>
  <c r="E24" i="70" s="1"/>
  <c r="L61" i="70"/>
  <c r="D24" i="7"/>
  <c r="D15" i="109" s="1"/>
  <c r="D15" i="65" s="1"/>
  <c r="J15" i="70" s="1"/>
  <c r="K15" i="70" s="1"/>
  <c r="D62" i="109"/>
  <c r="D61" i="65" s="1"/>
  <c r="J60" i="70" s="1"/>
  <c r="K60" i="70" s="1"/>
  <c r="D52" i="7"/>
  <c r="D61" i="109" s="1"/>
  <c r="D60" i="65" s="1"/>
  <c r="J59" i="70" s="1"/>
  <c r="K59" i="70" s="1"/>
  <c r="J10" i="9"/>
  <c r="I22" i="65"/>
  <c r="I10" i="109"/>
  <c r="I10" i="65" s="1"/>
  <c r="J17" i="7"/>
  <c r="D16" i="7"/>
  <c r="D14" i="109" s="1"/>
  <c r="D14" i="65" s="1"/>
  <c r="J14" i="70" s="1"/>
  <c r="K14" i="70" s="1"/>
  <c r="R61" i="70"/>
  <c r="D32" i="109"/>
  <c r="J11" i="38"/>
  <c r="R54" i="12"/>
  <c r="S52" i="12"/>
  <c r="T52" i="12" s="1"/>
  <c r="T54" i="12" s="1"/>
  <c r="E13" i="13" s="1"/>
  <c r="H59" i="9"/>
  <c r="C23" i="7" s="1"/>
  <c r="J23" i="7" s="1"/>
  <c r="X50" i="41"/>
  <c r="U50" i="41" s="1"/>
  <c r="U10" i="41"/>
  <c r="H19" i="8"/>
  <c r="L52" i="70"/>
  <c r="G23" i="10"/>
  <c r="J11" i="10"/>
  <c r="S47" i="12"/>
  <c r="T47" i="12" s="1"/>
  <c r="T50" i="12" s="1"/>
  <c r="E12" i="13" s="1"/>
  <c r="R50" i="12"/>
  <c r="E21" i="38"/>
  <c r="E22" i="38"/>
  <c r="J22" i="38" s="1"/>
  <c r="D25" i="47"/>
  <c r="K59" i="59"/>
  <c r="H65" i="59"/>
  <c r="I20" i="8"/>
  <c r="H60" i="8"/>
  <c r="C15" i="7" s="1"/>
  <c r="O25" i="22"/>
  <c r="F16" i="22"/>
  <c r="D11" i="73"/>
  <c r="R15" i="70"/>
  <c r="J20" i="8"/>
  <c r="R59" i="70"/>
  <c r="C11" i="22"/>
  <c r="O12" i="22"/>
  <c r="F30" i="70"/>
  <c r="AH39" i="25"/>
  <c r="J13" i="73"/>
  <c r="L20" i="70"/>
  <c r="D33" i="109"/>
  <c r="J21" i="38"/>
  <c r="F11" i="10"/>
  <c r="I10" i="10"/>
  <c r="G27" i="22"/>
  <c r="O30" i="22"/>
  <c r="O26" i="109"/>
  <c r="C26" i="65"/>
  <c r="J18" i="8"/>
  <c r="J60" i="8"/>
  <c r="E15" i="7" s="1"/>
  <c r="R60" i="70"/>
  <c r="J23" i="8"/>
  <c r="E10" i="13"/>
  <c r="D19" i="109"/>
  <c r="D19" i="65" s="1"/>
  <c r="J19" i="70" s="1"/>
  <c r="K19" i="70" s="1"/>
  <c r="D37" i="7"/>
  <c r="D18" i="109" s="1"/>
  <c r="D18" i="65" s="1"/>
  <c r="J18" i="70" s="1"/>
  <c r="K18" i="70" s="1"/>
  <c r="E47" i="109"/>
  <c r="E47" i="65" s="1"/>
  <c r="P46" i="70" s="1"/>
  <c r="Q46" i="70" s="1"/>
  <c r="E10" i="47"/>
  <c r="E42" i="109" s="1"/>
  <c r="E42" i="65" s="1"/>
  <c r="P41" i="70" s="1"/>
  <c r="Q41" i="70" s="1"/>
  <c r="I46" i="57"/>
  <c r="E46" i="57"/>
  <c r="G10" i="57"/>
  <c r="I10" i="9"/>
  <c r="C54" i="65"/>
  <c r="O54" i="109"/>
  <c r="J54" i="7"/>
  <c r="C63" i="109"/>
  <c r="D10" i="13"/>
  <c r="C15" i="13"/>
  <c r="I60" i="8"/>
  <c r="D15" i="7" s="1"/>
  <c r="R14" i="70"/>
  <c r="I14" i="8"/>
  <c r="J15" i="40"/>
  <c r="C10" i="40"/>
  <c r="J10" i="40" s="1"/>
  <c r="O29" i="109"/>
  <c r="I29" i="65"/>
  <c r="K29" i="65" s="1"/>
  <c r="P55" i="12"/>
  <c r="R31" i="12"/>
  <c r="X14" i="73"/>
  <c r="H23" i="8"/>
  <c r="C16" i="7"/>
  <c r="J14" i="8"/>
  <c r="C51" i="109"/>
  <c r="J10" i="1"/>
  <c r="C42" i="7"/>
  <c r="D10" i="22"/>
  <c r="D24" i="109"/>
  <c r="D24" i="65" s="1"/>
  <c r="J24" i="70" s="1"/>
  <c r="K24" i="70" s="1"/>
  <c r="R22" i="70"/>
  <c r="H23" i="11"/>
  <c r="H20" i="8"/>
  <c r="C25" i="65"/>
  <c r="D25" i="70" s="1"/>
  <c r="E25" i="70" s="1"/>
  <c r="X10" i="73"/>
  <c r="J24" i="8"/>
  <c r="E13" i="7" s="1"/>
  <c r="E12" i="7" s="1"/>
  <c r="R24" i="70"/>
  <c r="I24" i="8"/>
  <c r="D13" i="7" s="1"/>
  <c r="D12" i="7" s="1"/>
  <c r="I18" i="8"/>
  <c r="I23" i="8"/>
  <c r="H10" i="9"/>
  <c r="L24" i="70" l="1"/>
  <c r="R55" i="12"/>
  <c r="F10" i="22"/>
  <c r="F22" i="109" s="1"/>
  <c r="F24" i="109"/>
  <c r="F24" i="65" s="1"/>
  <c r="K24" i="65" s="1"/>
  <c r="O16" i="22"/>
  <c r="G11" i="10"/>
  <c r="J10" i="10"/>
  <c r="O24" i="109"/>
  <c r="G13" i="13"/>
  <c r="I13" i="13" s="1"/>
  <c r="R41" i="70"/>
  <c r="D15" i="13"/>
  <c r="J15" i="7"/>
  <c r="L59" i="70"/>
  <c r="C61" i="109"/>
  <c r="J52" i="7"/>
  <c r="O66" i="109"/>
  <c r="C65" i="65"/>
  <c r="F24" i="70"/>
  <c r="R46" i="70"/>
  <c r="F25" i="70"/>
  <c r="C51" i="65"/>
  <c r="O51" i="109"/>
  <c r="C62" i="65"/>
  <c r="O63" i="109"/>
  <c r="L18" i="70"/>
  <c r="J17" i="8"/>
  <c r="D33" i="65"/>
  <c r="O33" i="109"/>
  <c r="L60" i="70"/>
  <c r="C61" i="65"/>
  <c r="O62" i="109"/>
  <c r="O21" i="109"/>
  <c r="C21" i="65"/>
  <c r="K26" i="65"/>
  <c r="D26" i="70"/>
  <c r="E26" i="70" s="1"/>
  <c r="O32" i="109"/>
  <c r="D32" i="65"/>
  <c r="R34" i="70"/>
  <c r="L19" i="70"/>
  <c r="I17" i="8"/>
  <c r="H17" i="8"/>
  <c r="T55" i="12"/>
  <c r="H59" i="59"/>
  <c r="K10" i="59"/>
  <c r="H10" i="59" s="1"/>
  <c r="C12" i="68"/>
  <c r="D22" i="109"/>
  <c r="D22" i="65" s="1"/>
  <c r="J22" i="70" s="1"/>
  <c r="K22" i="70" s="1"/>
  <c r="C10" i="22"/>
  <c r="O11" i="22"/>
  <c r="C23" i="109"/>
  <c r="J16" i="7"/>
  <c r="C14" i="109"/>
  <c r="K54" i="65"/>
  <c r="D53" i="70"/>
  <c r="E53" i="70" s="1"/>
  <c r="E15" i="13"/>
  <c r="D23" i="47"/>
  <c r="I25" i="47"/>
  <c r="L15" i="70"/>
  <c r="F29" i="70"/>
  <c r="G25" i="109"/>
  <c r="G10" i="22"/>
  <c r="G22" i="109" s="1"/>
  <c r="O27" i="22"/>
  <c r="J10" i="73"/>
  <c r="K10" i="73" s="1"/>
  <c r="K13" i="73"/>
  <c r="C20" i="109"/>
  <c r="J42" i="7"/>
  <c r="D13" i="109"/>
  <c r="D13" i="65" s="1"/>
  <c r="J13" i="70" s="1"/>
  <c r="K13" i="70" s="1"/>
  <c r="H16" i="11"/>
  <c r="H16" i="8" s="1"/>
  <c r="C56" i="7" s="1"/>
  <c r="E33" i="109"/>
  <c r="E33" i="65" s="1"/>
  <c r="P32" i="70" s="1"/>
  <c r="Q32" i="70" s="1"/>
  <c r="L14" i="70"/>
  <c r="R18" i="70"/>
  <c r="C19" i="109"/>
  <c r="C37" i="7"/>
  <c r="J38" i="7"/>
  <c r="R20" i="70"/>
  <c r="J13" i="7"/>
  <c r="E13" i="109"/>
  <c r="E13" i="65" s="1"/>
  <c r="P13" i="70" s="1"/>
  <c r="Q13" i="70" s="1"/>
  <c r="I10" i="57"/>
  <c r="E10" i="57"/>
  <c r="E11" i="73"/>
  <c r="D10" i="73"/>
  <c r="E10" i="73" s="1"/>
  <c r="C15" i="109"/>
  <c r="J24" i="7"/>
  <c r="C12" i="7"/>
  <c r="J56" i="7" l="1"/>
  <c r="C65" i="109"/>
  <c r="F53" i="70"/>
  <c r="D64" i="70"/>
  <c r="C64" i="70" s="1"/>
  <c r="E64" i="70" s="1"/>
  <c r="K65" i="65"/>
  <c r="C18" i="109"/>
  <c r="J37" i="7"/>
  <c r="O19" i="109"/>
  <c r="C19" i="65"/>
  <c r="J31" i="70"/>
  <c r="K31" i="70" s="1"/>
  <c r="K32" i="65"/>
  <c r="D50" i="70"/>
  <c r="E50" i="70" s="1"/>
  <c r="K51" i="65"/>
  <c r="R13" i="70"/>
  <c r="F26" i="70"/>
  <c r="J32" i="70"/>
  <c r="K32" i="70" s="1"/>
  <c r="K33" i="65"/>
  <c r="O61" i="109"/>
  <c r="C60" i="65"/>
  <c r="C20" i="65"/>
  <c r="O20" i="109"/>
  <c r="O23" i="109"/>
  <c r="C23" i="65"/>
  <c r="L13" i="70"/>
  <c r="K21" i="65"/>
  <c r="D21" i="70"/>
  <c r="E21" i="70" s="1"/>
  <c r="C22" i="109"/>
  <c r="O10" i="22"/>
  <c r="C14" i="65"/>
  <c r="O14" i="109"/>
  <c r="D47" i="109"/>
  <c r="I23" i="47"/>
  <c r="D10" i="47"/>
  <c r="F10" i="109"/>
  <c r="F10" i="65" s="1"/>
  <c r="F22" i="65"/>
  <c r="J12" i="7"/>
  <c r="C13" i="109"/>
  <c r="L10" i="73"/>
  <c r="D60" i="70"/>
  <c r="E60" i="70" s="1"/>
  <c r="K61" i="65"/>
  <c r="L22" i="70"/>
  <c r="C15" i="65"/>
  <c r="O15" i="109"/>
  <c r="F10" i="73"/>
  <c r="L13" i="73"/>
  <c r="R32" i="70"/>
  <c r="G10" i="109"/>
  <c r="G10" i="65" s="1"/>
  <c r="G22" i="65"/>
  <c r="H11" i="73"/>
  <c r="G11" i="73"/>
  <c r="F11" i="73"/>
  <c r="G25" i="65"/>
  <c r="K25" i="65" s="1"/>
  <c r="O25" i="109"/>
  <c r="D61" i="70"/>
  <c r="E61" i="70" s="1"/>
  <c r="K62" i="65"/>
  <c r="L31" i="70" l="1"/>
  <c r="O22" i="109"/>
  <c r="C22" i="65"/>
  <c r="K19" i="65"/>
  <c r="D19" i="70"/>
  <c r="E19" i="70" s="1"/>
  <c r="C18" i="65"/>
  <c r="O18" i="109"/>
  <c r="G21" i="70"/>
  <c r="F21" i="70"/>
  <c r="H21" i="70"/>
  <c r="O13" i="109"/>
  <c r="C13" i="65"/>
  <c r="H64" i="70"/>
  <c r="F64" i="70"/>
  <c r="G64" i="70"/>
  <c r="L32" i="70"/>
  <c r="D42" i="109"/>
  <c r="C14" i="68"/>
  <c r="I10" i="47"/>
  <c r="D23" i="70"/>
  <c r="E23" i="70" s="1"/>
  <c r="K23" i="65"/>
  <c r="K15" i="65"/>
  <c r="D15" i="70"/>
  <c r="E15" i="70" s="1"/>
  <c r="D47" i="65"/>
  <c r="O47" i="109"/>
  <c r="F60" i="70"/>
  <c r="K20" i="65"/>
  <c r="D20" i="70"/>
  <c r="E20" i="70" s="1"/>
  <c r="F50" i="70"/>
  <c r="O65" i="109"/>
  <c r="C64" i="65"/>
  <c r="F61" i="70"/>
  <c r="D14" i="70"/>
  <c r="E14" i="70" s="1"/>
  <c r="K14" i="65"/>
  <c r="K60" i="65"/>
  <c r="D59" i="70"/>
  <c r="E59" i="70" s="1"/>
  <c r="F59" i="70" l="1"/>
  <c r="D18" i="70"/>
  <c r="E18" i="70" s="1"/>
  <c r="K18" i="65"/>
  <c r="F23" i="70"/>
  <c r="F14" i="70"/>
  <c r="F19" i="70"/>
  <c r="D42" i="65"/>
  <c r="O42" i="109"/>
  <c r="K22" i="65"/>
  <c r="D22" i="70"/>
  <c r="E22" i="70" s="1"/>
  <c r="D63" i="70"/>
  <c r="E63" i="70" s="1"/>
  <c r="K64" i="65"/>
  <c r="F20" i="70"/>
  <c r="J46" i="70"/>
  <c r="K46" i="70" s="1"/>
  <c r="K47" i="65"/>
  <c r="K13" i="65"/>
  <c r="D13" i="70"/>
  <c r="E13" i="70" s="1"/>
  <c r="F15" i="70"/>
  <c r="F63" i="70" l="1"/>
  <c r="F22" i="70"/>
  <c r="F18" i="70"/>
  <c r="F13" i="70"/>
  <c r="L46" i="70"/>
  <c r="J41" i="70"/>
  <c r="K41" i="70" s="1"/>
  <c r="K42" i="65"/>
  <c r="G16" i="45"/>
  <c r="G17" i="45"/>
  <c r="H12" i="45"/>
  <c r="G12" i="45"/>
  <c r="G19" i="45"/>
  <c r="H29" i="45"/>
  <c r="G13" i="45"/>
  <c r="H26" i="45"/>
  <c r="H19" i="45"/>
  <c r="H17" i="45"/>
  <c r="H18" i="45"/>
  <c r="H16" i="45"/>
  <c r="G18" i="45"/>
  <c r="G26" i="45"/>
  <c r="G29" i="45"/>
  <c r="H13" i="45"/>
  <c r="J27" i="45" l="1"/>
  <c r="H27" i="45" s="1"/>
  <c r="H28" i="45"/>
  <c r="I14" i="45"/>
  <c r="G14" i="45" s="1"/>
  <c r="G15" i="45"/>
  <c r="J14" i="45"/>
  <c r="H14" i="45" s="1"/>
  <c r="H15" i="45"/>
  <c r="I21" i="45"/>
  <c r="G22" i="45"/>
  <c r="D32" i="38"/>
  <c r="G10" i="42"/>
  <c r="F11" i="42"/>
  <c r="J10" i="45"/>
  <c r="H11" i="45"/>
  <c r="L41" i="70"/>
  <c r="G11" i="45"/>
  <c r="J21" i="45"/>
  <c r="H22" i="45"/>
  <c r="I27" i="45"/>
  <c r="G27" i="45" s="1"/>
  <c r="G28" i="45"/>
  <c r="C41" i="11"/>
  <c r="E77" i="8" l="1"/>
  <c r="G77" i="8"/>
  <c r="F77" i="8"/>
  <c r="H10" i="45"/>
  <c r="C63" i="8"/>
  <c r="G71" i="8"/>
  <c r="F71" i="8"/>
  <c r="E71" i="8"/>
  <c r="G78" i="8"/>
  <c r="F78" i="8"/>
  <c r="E78" i="8"/>
  <c r="C26" i="8"/>
  <c r="G34" i="8"/>
  <c r="F34" i="8"/>
  <c r="E34" i="8"/>
  <c r="E56" i="8"/>
  <c r="G56" i="8"/>
  <c r="F56" i="8"/>
  <c r="J32" i="38"/>
  <c r="D34" i="109"/>
  <c r="C66" i="8"/>
  <c r="G88" i="8"/>
  <c r="F88" i="8"/>
  <c r="E88" i="8"/>
  <c r="F84" i="8"/>
  <c r="E84" i="8"/>
  <c r="G84" i="8"/>
  <c r="C25" i="8"/>
  <c r="C32" i="8"/>
  <c r="G33" i="8"/>
  <c r="E33" i="8"/>
  <c r="F33" i="8"/>
  <c r="I20" i="45"/>
  <c r="G20" i="45" s="1"/>
  <c r="G21" i="45"/>
  <c r="C62" i="8"/>
  <c r="F70" i="8"/>
  <c r="E70" i="8"/>
  <c r="G70" i="8"/>
  <c r="C27" i="8"/>
  <c r="F35" i="8"/>
  <c r="E35" i="8"/>
  <c r="G35" i="8"/>
  <c r="J20" i="45"/>
  <c r="H20" i="45" s="1"/>
  <c r="H21" i="45"/>
  <c r="F85" i="8"/>
  <c r="G85" i="8"/>
  <c r="E85" i="8"/>
  <c r="C82" i="8"/>
  <c r="F83" i="8"/>
  <c r="G83" i="8"/>
  <c r="E83" i="8"/>
  <c r="C21" i="8"/>
  <c r="G57" i="8"/>
  <c r="F57" i="8"/>
  <c r="E57" i="8"/>
  <c r="C53" i="8"/>
  <c r="E54" i="8"/>
  <c r="G54" i="8"/>
  <c r="F54" i="8"/>
  <c r="I10" i="45"/>
  <c r="C75" i="8"/>
  <c r="G76" i="8"/>
  <c r="E76" i="8"/>
  <c r="F76" i="8"/>
  <c r="C61" i="8"/>
  <c r="C68" i="8"/>
  <c r="G69" i="8"/>
  <c r="F69" i="8"/>
  <c r="E69" i="8"/>
  <c r="C30" i="8"/>
  <c r="F38" i="8"/>
  <c r="E38" i="8"/>
  <c r="G38" i="8"/>
  <c r="C19" i="11"/>
  <c r="C20" i="11"/>
  <c r="C62" i="11"/>
  <c r="C40" i="11"/>
  <c r="G58" i="11"/>
  <c r="F58" i="11"/>
  <c r="E27" i="11" l="1"/>
  <c r="H19" i="11"/>
  <c r="J40" i="11"/>
  <c r="G40" i="11" s="1"/>
  <c r="G48" i="11"/>
  <c r="J62" i="11"/>
  <c r="G62" i="11" s="1"/>
  <c r="G69" i="11"/>
  <c r="C23" i="8"/>
  <c r="E30" i="8"/>
  <c r="F30" i="8"/>
  <c r="G30" i="8"/>
  <c r="I19" i="11"/>
  <c r="F27" i="11"/>
  <c r="F52" i="11"/>
  <c r="I44" i="11"/>
  <c r="H41" i="11"/>
  <c r="E41" i="11" s="1"/>
  <c r="E49" i="11"/>
  <c r="I99" i="11"/>
  <c r="F99" i="11" s="1"/>
  <c r="F114" i="11"/>
  <c r="G66" i="8"/>
  <c r="E66" i="8"/>
  <c r="F66" i="8"/>
  <c r="C23" i="11"/>
  <c r="E31" i="11"/>
  <c r="G67" i="11"/>
  <c r="J60" i="11"/>
  <c r="J66" i="11"/>
  <c r="F48" i="11"/>
  <c r="I40" i="11"/>
  <c r="F40" i="11" s="1"/>
  <c r="H53" i="11"/>
  <c r="E54" i="11"/>
  <c r="I60" i="11"/>
  <c r="I66" i="11"/>
  <c r="F67" i="11"/>
  <c r="D34" i="65"/>
  <c r="O34" i="109"/>
  <c r="H46" i="11"/>
  <c r="E47" i="11"/>
  <c r="H39" i="11"/>
  <c r="J19" i="11"/>
  <c r="G27" i="11"/>
  <c r="F49" i="11"/>
  <c r="I41" i="11"/>
  <c r="F41" i="11" s="1"/>
  <c r="J20" i="11"/>
  <c r="G28" i="11"/>
  <c r="H94" i="11"/>
  <c r="H109" i="11"/>
  <c r="H108" i="11" s="1"/>
  <c r="C36" i="7" s="1"/>
  <c r="E110" i="11"/>
  <c r="G49" i="11"/>
  <c r="J41" i="11"/>
  <c r="G41" i="11" s="1"/>
  <c r="F28" i="11"/>
  <c r="I20" i="11"/>
  <c r="C13" i="11"/>
  <c r="C60" i="8"/>
  <c r="F61" i="8"/>
  <c r="E61" i="8"/>
  <c r="G61" i="8"/>
  <c r="J23" i="11"/>
  <c r="G31" i="11"/>
  <c r="J94" i="11"/>
  <c r="J109" i="11"/>
  <c r="J108" i="11" s="1"/>
  <c r="E36" i="7" s="1"/>
  <c r="E34" i="7" s="1"/>
  <c r="E17" i="109" s="1"/>
  <c r="E17" i="65" s="1"/>
  <c r="P17" i="70" s="1"/>
  <c r="Q17" i="70" s="1"/>
  <c r="G110" i="11"/>
  <c r="I53" i="11"/>
  <c r="F54" i="11"/>
  <c r="J39" i="11"/>
  <c r="J46" i="11"/>
  <c r="G47" i="11"/>
  <c r="I62" i="11"/>
  <c r="F62" i="11" s="1"/>
  <c r="F69" i="11"/>
  <c r="C12" i="11"/>
  <c r="C14" i="8"/>
  <c r="F21" i="8"/>
  <c r="G21" i="8"/>
  <c r="E21" i="8"/>
  <c r="C18" i="8"/>
  <c r="C24" i="8"/>
  <c r="G25" i="8"/>
  <c r="E25" i="8"/>
  <c r="F25" i="8"/>
  <c r="G63" i="8"/>
  <c r="E63" i="8"/>
  <c r="F63" i="8"/>
  <c r="J99" i="11"/>
  <c r="G99" i="11" s="1"/>
  <c r="G114" i="11"/>
  <c r="C46" i="11"/>
  <c r="C39" i="11"/>
  <c r="C20" i="8"/>
  <c r="F27" i="8"/>
  <c r="G27" i="8"/>
  <c r="E27" i="8"/>
  <c r="I39" i="11"/>
  <c r="F47" i="11"/>
  <c r="I46" i="11"/>
  <c r="J44" i="11"/>
  <c r="G44" i="11" s="1"/>
  <c r="G52" i="11"/>
  <c r="G54" i="11"/>
  <c r="J53" i="11"/>
  <c r="E44" i="38"/>
  <c r="F110" i="11"/>
  <c r="I94" i="11"/>
  <c r="I109" i="11"/>
  <c r="I108" i="11" s="1"/>
  <c r="D36" i="7" s="1"/>
  <c r="D34" i="7" s="1"/>
  <c r="D17" i="109" s="1"/>
  <c r="D17" i="65" s="1"/>
  <c r="J17" i="70" s="1"/>
  <c r="K17" i="70" s="1"/>
  <c r="E26" i="11"/>
  <c r="H25" i="11"/>
  <c r="H18" i="11"/>
  <c r="H60" i="11"/>
  <c r="E67" i="11"/>
  <c r="H66" i="11"/>
  <c r="G26" i="11"/>
  <c r="J18" i="11"/>
  <c r="J25" i="11"/>
  <c r="F26" i="11"/>
  <c r="I25" i="11"/>
  <c r="I18" i="11"/>
  <c r="I23" i="11"/>
  <c r="F31" i="11"/>
  <c r="C44" i="11"/>
  <c r="E44" i="11" s="1"/>
  <c r="E52" i="11"/>
  <c r="D44" i="38"/>
  <c r="G10" i="45"/>
  <c r="C60" i="11"/>
  <c r="C59" i="11" s="1"/>
  <c r="C66" i="11"/>
  <c r="H62" i="11"/>
  <c r="E62" i="11" s="1"/>
  <c r="E69" i="11"/>
  <c r="E28" i="11"/>
  <c r="H20" i="11"/>
  <c r="E48" i="11"/>
  <c r="H40" i="11"/>
  <c r="E40" i="11" s="1"/>
  <c r="C18" i="11"/>
  <c r="C25" i="11"/>
  <c r="F62" i="8"/>
  <c r="E62" i="8"/>
  <c r="G62" i="8"/>
  <c r="C19" i="8"/>
  <c r="F26" i="8"/>
  <c r="G26" i="8"/>
  <c r="E26" i="8"/>
  <c r="H20" i="47"/>
  <c r="M46" i="109" s="1"/>
  <c r="F20" i="47"/>
  <c r="K46" i="109" s="1"/>
  <c r="G17" i="47"/>
  <c r="L45" i="109" s="1"/>
  <c r="G20" i="47"/>
  <c r="L46" i="109" s="1"/>
  <c r="H14" i="47"/>
  <c r="M44" i="109" s="1"/>
  <c r="M16" i="22"/>
  <c r="F14" i="47"/>
  <c r="K44" i="109" s="1"/>
  <c r="F34" i="7"/>
  <c r="K17" i="109" s="1"/>
  <c r="G34" i="7"/>
  <c r="L17" i="109" s="1"/>
  <c r="G12" i="7"/>
  <c r="H23" i="47"/>
  <c r="M47" i="109" s="1"/>
  <c r="H42" i="7"/>
  <c r="F30" i="7"/>
  <c r="K16" i="109" s="1"/>
  <c r="H11" i="1"/>
  <c r="H11" i="47"/>
  <c r="F42" i="7"/>
  <c r="G30" i="7"/>
  <c r="L16" i="109" s="1"/>
  <c r="F23" i="47"/>
  <c r="K47" i="109" s="1"/>
  <c r="G14" i="47"/>
  <c r="L44" i="109" s="1"/>
  <c r="I30" i="7"/>
  <c r="N16" i="109" s="1"/>
  <c r="I34" i="7"/>
  <c r="N17" i="109" s="1"/>
  <c r="I12" i="7"/>
  <c r="G23" i="47"/>
  <c r="L47" i="109" s="1"/>
  <c r="M57" i="22"/>
  <c r="M30" i="109" s="1"/>
  <c r="H30" i="7"/>
  <c r="M16" i="109" s="1"/>
  <c r="H34" i="7"/>
  <c r="M17" i="109" s="1"/>
  <c r="H12" i="7" l="1"/>
  <c r="M35" i="22"/>
  <c r="M26" i="109" s="1"/>
  <c r="G19" i="8"/>
  <c r="F19" i="8"/>
  <c r="E19" i="8"/>
  <c r="J17" i="11"/>
  <c r="E31" i="7" s="1"/>
  <c r="J11" i="11"/>
  <c r="G18" i="11"/>
  <c r="R17" i="70"/>
  <c r="F16" i="7"/>
  <c r="K14" i="109" s="1"/>
  <c r="F17" i="47"/>
  <c r="K45" i="109" s="1"/>
  <c r="M27" i="22"/>
  <c r="M25" i="109" s="1"/>
  <c r="G42" i="7"/>
  <c r="G94" i="11"/>
  <c r="J93" i="11"/>
  <c r="F19" i="11"/>
  <c r="I12" i="11"/>
  <c r="L27" i="22"/>
  <c r="D37" i="109"/>
  <c r="J44" i="38"/>
  <c r="D10" i="38"/>
  <c r="G23" i="11"/>
  <c r="J16" i="11"/>
  <c r="H93" i="11"/>
  <c r="E94" i="11"/>
  <c r="F24" i="7"/>
  <c r="K15" i="109" s="1"/>
  <c r="G11" i="47"/>
  <c r="E60" i="11"/>
  <c r="H59" i="11"/>
  <c r="C33" i="7" s="1"/>
  <c r="M20" i="109"/>
  <c r="H37" i="7"/>
  <c r="M18" i="109" s="1"/>
  <c r="J33" i="70"/>
  <c r="K33" i="70" s="1"/>
  <c r="K34" i="65"/>
  <c r="I24" i="7"/>
  <c r="N15" i="109" s="1"/>
  <c r="H16" i="7"/>
  <c r="M14" i="109" s="1"/>
  <c r="H17" i="47"/>
  <c r="M45" i="109" s="1"/>
  <c r="F11" i="47"/>
  <c r="C11" i="11"/>
  <c r="C17" i="11"/>
  <c r="E18" i="11"/>
  <c r="H11" i="11"/>
  <c r="H17" i="11"/>
  <c r="C31" i="7" s="1"/>
  <c r="J13" i="11"/>
  <c r="G20" i="11"/>
  <c r="I59" i="11"/>
  <c r="D33" i="7" s="1"/>
  <c r="F60" i="11"/>
  <c r="E23" i="8"/>
  <c r="G23" i="8"/>
  <c r="F23" i="8"/>
  <c r="F10" i="38"/>
  <c r="K37" i="109"/>
  <c r="F13" i="13"/>
  <c r="H13" i="13" s="1"/>
  <c r="F14" i="8"/>
  <c r="E14" i="8"/>
  <c r="G14" i="8"/>
  <c r="F37" i="7"/>
  <c r="K18" i="109" s="1"/>
  <c r="K20" i="109"/>
  <c r="L13" i="109"/>
  <c r="I16" i="7"/>
  <c r="N14" i="109" s="1"/>
  <c r="I38" i="11"/>
  <c r="D32" i="7" s="1"/>
  <c r="F39" i="11"/>
  <c r="F23" i="11"/>
  <c r="I16" i="11"/>
  <c r="H21" i="1"/>
  <c r="M55" i="109" s="1"/>
  <c r="G16" i="7"/>
  <c r="L14" i="109" s="1"/>
  <c r="H13" i="11"/>
  <c r="E20" i="11"/>
  <c r="I11" i="11"/>
  <c r="F18" i="11"/>
  <c r="I17" i="11"/>
  <c r="D31" i="7" s="1"/>
  <c r="L17" i="70"/>
  <c r="J38" i="11"/>
  <c r="E32" i="7" s="1"/>
  <c r="G39" i="11"/>
  <c r="C34" i="7"/>
  <c r="J36" i="7"/>
  <c r="M43" i="109"/>
  <c r="H10" i="47"/>
  <c r="M52" i="109"/>
  <c r="G24" i="7"/>
  <c r="L15" i="109" s="1"/>
  <c r="M24" i="109"/>
  <c r="M10" i="22"/>
  <c r="I93" i="11"/>
  <c r="F94" i="11"/>
  <c r="F20" i="11"/>
  <c r="I13" i="11"/>
  <c r="G19" i="11"/>
  <c r="J12" i="11"/>
  <c r="C16" i="11"/>
  <c r="E16" i="11" s="1"/>
  <c r="E23" i="11"/>
  <c r="H10" i="38"/>
  <c r="M37" i="109"/>
  <c r="N13" i="109"/>
  <c r="I11" i="7"/>
  <c r="F12" i="7"/>
  <c r="L37" i="109"/>
  <c r="G10" i="38"/>
  <c r="N27" i="22"/>
  <c r="G20" i="8"/>
  <c r="F20" i="8"/>
  <c r="E20" i="8"/>
  <c r="C17" i="8"/>
  <c r="E18" i="8"/>
  <c r="G18" i="8"/>
  <c r="F18" i="8"/>
  <c r="E39" i="11"/>
  <c r="H38" i="11"/>
  <c r="C32" i="7" s="1"/>
  <c r="F44" i="11"/>
  <c r="E19" i="11"/>
  <c r="H12" i="11"/>
  <c r="K27" i="22"/>
  <c r="H24" i="7"/>
  <c r="M15" i="109" s="1"/>
  <c r="E37" i="109"/>
  <c r="E37" i="65" s="1"/>
  <c r="P36" i="70" s="1"/>
  <c r="Q36" i="70" s="1"/>
  <c r="E10" i="38"/>
  <c r="E31" i="109" s="1"/>
  <c r="E31" i="65" s="1"/>
  <c r="P30" i="70" s="1"/>
  <c r="Q30" i="70" s="1"/>
  <c r="C38" i="11"/>
  <c r="G60" i="11"/>
  <c r="J59" i="11"/>
  <c r="E33" i="7" s="1"/>
  <c r="F55" i="9" l="1"/>
  <c r="G55" i="9"/>
  <c r="E55" i="9"/>
  <c r="M42" i="109"/>
  <c r="E14" i="68"/>
  <c r="D31" i="109"/>
  <c r="C13" i="68"/>
  <c r="J10" i="38"/>
  <c r="G105" i="9"/>
  <c r="E105" i="9"/>
  <c r="F105" i="9"/>
  <c r="E104" i="9"/>
  <c r="G104" i="9"/>
  <c r="F104" i="9"/>
  <c r="F122" i="9"/>
  <c r="E122" i="9"/>
  <c r="G122" i="9"/>
  <c r="E12" i="11"/>
  <c r="H12" i="8"/>
  <c r="G12" i="11"/>
  <c r="J12" i="8"/>
  <c r="E13" i="11"/>
  <c r="H13" i="8"/>
  <c r="L33" i="70"/>
  <c r="G51" i="9"/>
  <c r="F51" i="9"/>
  <c r="E51" i="9"/>
  <c r="E33" i="9"/>
  <c r="G33" i="9"/>
  <c r="F33" i="9"/>
  <c r="D37" i="65"/>
  <c r="O37" i="109"/>
  <c r="J34" i="7"/>
  <c r="C17" i="109"/>
  <c r="C95" i="9"/>
  <c r="G96" i="9"/>
  <c r="F96" i="9"/>
  <c r="E96" i="9"/>
  <c r="C17" i="9"/>
  <c r="C11" i="9"/>
  <c r="G18" i="9"/>
  <c r="E18" i="9"/>
  <c r="F18" i="9"/>
  <c r="C45" i="9"/>
  <c r="G46" i="9"/>
  <c r="E46" i="9"/>
  <c r="F46" i="9"/>
  <c r="F37" i="9"/>
  <c r="G37" i="9"/>
  <c r="E37" i="9"/>
  <c r="J32" i="7"/>
  <c r="D13" i="68"/>
  <c r="L31" i="109"/>
  <c r="F16" i="11"/>
  <c r="I16" i="8"/>
  <c r="H10" i="11"/>
  <c r="E11" i="11"/>
  <c r="H11" i="8"/>
  <c r="J33" i="7"/>
  <c r="F12" i="11"/>
  <c r="I12" i="8"/>
  <c r="J10" i="11"/>
  <c r="G11" i="11"/>
  <c r="J11" i="8"/>
  <c r="G58" i="9"/>
  <c r="F58" i="9"/>
  <c r="E58" i="9"/>
  <c r="C30" i="7"/>
  <c r="J31" i="7"/>
  <c r="C102" i="9"/>
  <c r="G103" i="9"/>
  <c r="F103" i="9"/>
  <c r="E103" i="9"/>
  <c r="E40" i="9"/>
  <c r="G40" i="9"/>
  <c r="F40" i="9"/>
  <c r="F121" i="9"/>
  <c r="G121" i="9"/>
  <c r="E121" i="9"/>
  <c r="E30" i="7"/>
  <c r="G30" i="9"/>
  <c r="E30" i="9"/>
  <c r="F30" i="9"/>
  <c r="C61" i="9"/>
  <c r="F69" i="9"/>
  <c r="G69" i="9"/>
  <c r="E69" i="9"/>
  <c r="L10" i="22"/>
  <c r="L25" i="109"/>
  <c r="F98" i="9"/>
  <c r="G98" i="9"/>
  <c r="E98" i="9"/>
  <c r="C52" i="9"/>
  <c r="F53" i="9"/>
  <c r="G53" i="9"/>
  <c r="E53" i="9"/>
  <c r="F11" i="7"/>
  <c r="K13" i="109"/>
  <c r="K31" i="109"/>
  <c r="F13" i="68"/>
  <c r="L43" i="109"/>
  <c r="G10" i="47"/>
  <c r="C65" i="9"/>
  <c r="F73" i="9"/>
  <c r="G73" i="9"/>
  <c r="E73" i="9"/>
  <c r="G101" i="9"/>
  <c r="E101" i="9"/>
  <c r="F101" i="9"/>
  <c r="K25" i="109"/>
  <c r="K10" i="22"/>
  <c r="C16" i="9"/>
  <c r="G23" i="9"/>
  <c r="F23" i="9"/>
  <c r="E23" i="9"/>
  <c r="G13" i="11"/>
  <c r="J13" i="8"/>
  <c r="G54" i="9"/>
  <c r="F54" i="9"/>
  <c r="E54" i="9"/>
  <c r="N10" i="22"/>
  <c r="N22" i="109" s="1"/>
  <c r="N25" i="109"/>
  <c r="F13" i="11"/>
  <c r="I13" i="8"/>
  <c r="E27" i="9"/>
  <c r="G27" i="9"/>
  <c r="F27" i="9"/>
  <c r="F41" i="9"/>
  <c r="G41" i="9"/>
  <c r="E41" i="9"/>
  <c r="N12" i="109"/>
  <c r="I10" i="7"/>
  <c r="N11" i="109" s="1"/>
  <c r="C10" i="11"/>
  <c r="C12" i="9"/>
  <c r="G19" i="9"/>
  <c r="F19" i="9"/>
  <c r="E19" i="9"/>
  <c r="E26" i="9"/>
  <c r="F26" i="9"/>
  <c r="G26" i="9"/>
  <c r="C67" i="9"/>
  <c r="C60" i="9"/>
  <c r="G68" i="9"/>
  <c r="F68" i="9"/>
  <c r="E68" i="9"/>
  <c r="C38" i="9"/>
  <c r="E39" i="9"/>
  <c r="F39" i="9"/>
  <c r="G39" i="9"/>
  <c r="E83" i="9"/>
  <c r="G83" i="9"/>
  <c r="F83" i="9"/>
  <c r="C13" i="9"/>
  <c r="G20" i="9"/>
  <c r="E20" i="9"/>
  <c r="F20" i="9"/>
  <c r="E48" i="9"/>
  <c r="G48" i="9"/>
  <c r="F48" i="9"/>
  <c r="E12" i="68"/>
  <c r="M22" i="109"/>
  <c r="C24" i="9"/>
  <c r="E25" i="9"/>
  <c r="F25" i="9"/>
  <c r="G25" i="9"/>
  <c r="C81" i="9"/>
  <c r="G82" i="9"/>
  <c r="E82" i="9"/>
  <c r="F82" i="9"/>
  <c r="K43" i="109"/>
  <c r="F10" i="47"/>
  <c r="L20" i="109"/>
  <c r="G37" i="7"/>
  <c r="L18" i="109" s="1"/>
  <c r="F125" i="9"/>
  <c r="G125" i="9"/>
  <c r="E125" i="9"/>
  <c r="F84" i="9"/>
  <c r="G84" i="9"/>
  <c r="E84" i="9"/>
  <c r="C31" i="9"/>
  <c r="E32" i="9"/>
  <c r="G32" i="9"/>
  <c r="F32" i="9"/>
  <c r="R30" i="70"/>
  <c r="D30" i="7"/>
  <c r="C119" i="9"/>
  <c r="C118" i="9" s="1"/>
  <c r="G120" i="9"/>
  <c r="F120" i="9"/>
  <c r="E120" i="9"/>
  <c r="G44" i="9"/>
  <c r="F44" i="9"/>
  <c r="E44" i="9"/>
  <c r="G16" i="11"/>
  <c r="J16" i="8"/>
  <c r="R36" i="70"/>
  <c r="M31" i="109"/>
  <c r="E13" i="68"/>
  <c r="G11" i="7"/>
  <c r="F87" i="9"/>
  <c r="G87" i="9"/>
  <c r="E87" i="9"/>
  <c r="C62" i="9"/>
  <c r="G70" i="9"/>
  <c r="F70" i="9"/>
  <c r="E70" i="9"/>
  <c r="F34" i="9"/>
  <c r="G34" i="9"/>
  <c r="E34" i="9"/>
  <c r="G47" i="9"/>
  <c r="E47" i="9"/>
  <c r="F47" i="9"/>
  <c r="H10" i="1"/>
  <c r="I10" i="11"/>
  <c r="F11" i="11"/>
  <c r="I11" i="8"/>
  <c r="H11" i="7"/>
  <c r="M13" i="109"/>
  <c r="G10" i="7" l="1"/>
  <c r="L12" i="109"/>
  <c r="C59" i="9"/>
  <c r="G60" i="9"/>
  <c r="E60" i="9"/>
  <c r="F60" i="9"/>
  <c r="G10" i="13"/>
  <c r="H10" i="8"/>
  <c r="E11" i="8"/>
  <c r="O17" i="109"/>
  <c r="C17" i="65"/>
  <c r="G13" i="9"/>
  <c r="E13" i="9"/>
  <c r="F13" i="9"/>
  <c r="C13" i="8"/>
  <c r="F12" i="13" s="1"/>
  <c r="H12" i="13" s="1"/>
  <c r="G12" i="13"/>
  <c r="I12" i="13" s="1"/>
  <c r="E13" i="8"/>
  <c r="J30" i="7"/>
  <c r="C16" i="109"/>
  <c r="C11" i="7"/>
  <c r="D16" i="109"/>
  <c r="D16" i="65" s="1"/>
  <c r="J16" i="70" s="1"/>
  <c r="K16" i="70" s="1"/>
  <c r="D11" i="7"/>
  <c r="F65" i="9"/>
  <c r="G65" i="9"/>
  <c r="E65" i="9"/>
  <c r="J36" i="70"/>
  <c r="K36" i="70" s="1"/>
  <c r="K37" i="65"/>
  <c r="L42" i="109"/>
  <c r="D14" i="68"/>
  <c r="G11" i="13"/>
  <c r="I11" i="13" s="1"/>
  <c r="F13" i="8"/>
  <c r="E16" i="9"/>
  <c r="G16" i="9"/>
  <c r="F16" i="9"/>
  <c r="C16" i="8"/>
  <c r="E16" i="8" s="1"/>
  <c r="L22" i="109"/>
  <c r="D12" i="68"/>
  <c r="J10" i="8"/>
  <c r="G11" i="8"/>
  <c r="C10" i="9"/>
  <c r="G11" i="9"/>
  <c r="E11" i="9"/>
  <c r="F11" i="9"/>
  <c r="C11" i="8"/>
  <c r="D31" i="65"/>
  <c r="O31" i="109"/>
  <c r="I10" i="8"/>
  <c r="H10" i="7"/>
  <c r="M12" i="109"/>
  <c r="F14" i="68"/>
  <c r="K42" i="109"/>
  <c r="F12" i="68"/>
  <c r="K22" i="109"/>
  <c r="G62" i="9"/>
  <c r="F62" i="9"/>
  <c r="E62" i="9"/>
  <c r="F12" i="9"/>
  <c r="G12" i="9"/>
  <c r="E12" i="9"/>
  <c r="C12" i="8"/>
  <c r="F11" i="13" s="1"/>
  <c r="H11" i="13" s="1"/>
  <c r="K12" i="109"/>
  <c r="F10" i="7"/>
  <c r="F12" i="8"/>
  <c r="G16" i="8"/>
  <c r="E16" i="109"/>
  <c r="E16" i="65" s="1"/>
  <c r="P16" i="70" s="1"/>
  <c r="Q16" i="70" s="1"/>
  <c r="E11" i="7"/>
  <c r="M51" i="109"/>
  <c r="E15" i="68"/>
  <c r="N10" i="109"/>
  <c r="F61" i="9"/>
  <c r="E61" i="9"/>
  <c r="G61" i="9"/>
  <c r="R16" i="70" l="1"/>
  <c r="F11" i="8"/>
  <c r="F10" i="13"/>
  <c r="C10" i="8"/>
  <c r="D10" i="7"/>
  <c r="D12" i="109"/>
  <c r="D12" i="65" s="1"/>
  <c r="J12" i="70" s="1"/>
  <c r="K12" i="70" s="1"/>
  <c r="K17" i="65"/>
  <c r="D17" i="70"/>
  <c r="E17" i="70" s="1"/>
  <c r="E10" i="7"/>
  <c r="E11" i="109" s="1"/>
  <c r="E12" i="109"/>
  <c r="E12" i="65" s="1"/>
  <c r="P12" i="70" s="1"/>
  <c r="Q12" i="70" s="1"/>
  <c r="E12" i="8"/>
  <c r="L16" i="70"/>
  <c r="C16" i="65"/>
  <c r="O16" i="109"/>
  <c r="G15" i="13"/>
  <c r="I15" i="13" s="1"/>
  <c r="I10" i="13"/>
  <c r="F11" i="68"/>
  <c r="F10" i="68" s="1"/>
  <c r="K11" i="109"/>
  <c r="K10" i="109" s="1"/>
  <c r="F16" i="8"/>
  <c r="G12" i="8"/>
  <c r="E11" i="68"/>
  <c r="E10" i="68" s="1"/>
  <c r="M11" i="109"/>
  <c r="M10" i="109" s="1"/>
  <c r="G13" i="8"/>
  <c r="C10" i="7"/>
  <c r="J11" i="7"/>
  <c r="C12" i="109"/>
  <c r="L36" i="70"/>
  <c r="J30" i="70"/>
  <c r="K30" i="70" s="1"/>
  <c r="K31" i="65"/>
  <c r="D11" i="68"/>
  <c r="D10" i="68" s="1"/>
  <c r="L11" i="109"/>
  <c r="L10" i="109" s="1"/>
  <c r="R12" i="70" l="1"/>
  <c r="E11" i="65"/>
  <c r="P11" i="70" s="1"/>
  <c r="E10" i="109"/>
  <c r="E10" i="65" s="1"/>
  <c r="L12" i="70"/>
  <c r="C11" i="68"/>
  <c r="C10" i="68" s="1"/>
  <c r="D11" i="109"/>
  <c r="C12" i="65"/>
  <c r="O12" i="109"/>
  <c r="D16" i="70"/>
  <c r="E16" i="70" s="1"/>
  <c r="K16" i="65"/>
  <c r="F15" i="13"/>
  <c r="H15" i="13" s="1"/>
  <c r="H10" i="13"/>
  <c r="J10" i="7"/>
  <c r="C11" i="109"/>
  <c r="L30" i="70"/>
  <c r="F17" i="70"/>
  <c r="D12" i="70" l="1"/>
  <c r="E12" i="70" s="1"/>
  <c r="K12" i="65"/>
  <c r="Q11" i="70"/>
  <c r="P10" i="70"/>
  <c r="Q10" i="70" s="1"/>
  <c r="C11" i="65"/>
  <c r="C10" i="109"/>
  <c r="O11" i="109"/>
  <c r="D11" i="65"/>
  <c r="J11" i="70" s="1"/>
  <c r="D10" i="109"/>
  <c r="D10" i="65" s="1"/>
  <c r="F16" i="70"/>
  <c r="K11" i="70" l="1"/>
  <c r="J10" i="70"/>
  <c r="K10" i="70" s="1"/>
  <c r="C10" i="65"/>
  <c r="K10" i="65" s="1"/>
  <c r="O10" i="109"/>
  <c r="D11" i="70"/>
  <c r="K11" i="65"/>
  <c r="R10" i="70"/>
  <c r="R11" i="70"/>
  <c r="F12" i="70"/>
  <c r="E11" i="70" l="1"/>
  <c r="D10" i="70"/>
  <c r="K72" i="65"/>
  <c r="K71" i="65"/>
  <c r="L10" i="70"/>
  <c r="L11" i="70"/>
  <c r="G34" i="73" l="1"/>
  <c r="E10" i="70"/>
  <c r="F11" i="70"/>
  <c r="F10" i="70" l="1"/>
  <c r="H10" i="70"/>
  <c r="H11" i="70"/>
  <c r="I34" i="73"/>
  <c r="J34" i="73" s="1"/>
  <c r="G35" i="73"/>
  <c r="H23" i="73"/>
  <c r="H45" i="70"/>
  <c r="T49" i="70"/>
  <c r="T44" i="70"/>
  <c r="H22" i="73"/>
  <c r="H24" i="73"/>
  <c r="H25" i="73"/>
  <c r="T42" i="70"/>
  <c r="H46" i="70"/>
  <c r="H21" i="73"/>
  <c r="H65" i="70"/>
  <c r="T45" i="70"/>
  <c r="N42" i="70"/>
  <c r="H44" i="70"/>
  <c r="H49" i="70"/>
  <c r="T43" i="70"/>
  <c r="H42" i="70"/>
  <c r="N43" i="70"/>
  <c r="T54" i="70"/>
  <c r="N51" i="70"/>
  <c r="H48" i="70"/>
  <c r="T52" i="70"/>
  <c r="N44" i="70"/>
  <c r="N45" i="70"/>
  <c r="T50" i="70"/>
  <c r="H38" i="70"/>
  <c r="H43" i="70"/>
  <c r="T19" i="70"/>
  <c r="Z27" i="73"/>
  <c r="Z28" i="73"/>
  <c r="T25" i="70"/>
  <c r="N54" i="70"/>
  <c r="H37" i="70"/>
  <c r="N50" i="70"/>
  <c r="N25" i="70"/>
  <c r="H41" i="70"/>
  <c r="H30" i="70"/>
  <c r="Z14" i="73"/>
  <c r="T22" i="70"/>
  <c r="N61" i="70"/>
  <c r="T15" i="70"/>
  <c r="T14" i="70"/>
  <c r="T24" i="70"/>
  <c r="T61" i="70"/>
  <c r="N20" i="70"/>
  <c r="N52" i="70"/>
  <c r="Z10" i="73"/>
  <c r="T59" i="70"/>
  <c r="T60" i="70"/>
  <c r="T34" i="70"/>
  <c r="N60" i="70"/>
  <c r="N24" i="70"/>
  <c r="T41" i="70"/>
  <c r="H24" i="70"/>
  <c r="T46" i="70"/>
  <c r="N18" i="70"/>
  <c r="N19" i="70"/>
  <c r="N14" i="70"/>
  <c r="T20" i="70"/>
  <c r="N59" i="70"/>
  <c r="N15" i="70"/>
  <c r="H25" i="70"/>
  <c r="T18" i="70"/>
  <c r="H29" i="70"/>
  <c r="N13" i="73"/>
  <c r="H53" i="70"/>
  <c r="T32" i="70"/>
  <c r="N22" i="70"/>
  <c r="H10" i="73"/>
  <c r="T13" i="70"/>
  <c r="N13" i="70"/>
  <c r="H26" i="70"/>
  <c r="N10" i="73"/>
  <c r="H61" i="70"/>
  <c r="N31" i="70"/>
  <c r="N32" i="70"/>
  <c r="H60" i="70"/>
  <c r="H50" i="70"/>
  <c r="H19" i="70"/>
  <c r="H15" i="70"/>
  <c r="H14" i="70"/>
  <c r="H59" i="70"/>
  <c r="H20" i="70"/>
  <c r="H23" i="70"/>
  <c r="H63" i="70"/>
  <c r="N46" i="70"/>
  <c r="H22" i="70"/>
  <c r="H18" i="70"/>
  <c r="H13" i="70"/>
  <c r="N41" i="70"/>
  <c r="N17" i="70"/>
  <c r="T17" i="70"/>
  <c r="N33" i="70"/>
  <c r="T30" i="70"/>
  <c r="T36" i="70"/>
  <c r="T16" i="70"/>
  <c r="N16" i="70"/>
  <c r="N36" i="70"/>
  <c r="T12" i="70"/>
  <c r="H17" i="70"/>
  <c r="N12" i="70"/>
  <c r="N30" i="70"/>
  <c r="H16" i="70"/>
  <c r="H12" i="70"/>
  <c r="T11" i="70"/>
  <c r="T10" i="70"/>
  <c r="N10" i="70"/>
  <c r="N11" i="70"/>
  <c r="I35" i="73" l="1"/>
  <c r="J35" i="73" s="1"/>
  <c r="G23" i="73"/>
  <c r="G22" i="73"/>
  <c r="G25" i="73"/>
  <c r="G24" i="73"/>
  <c r="G21" i="73"/>
  <c r="G65" i="70"/>
  <c r="S54" i="70"/>
  <c r="M51" i="70"/>
  <c r="S52" i="70"/>
  <c r="G38" i="70"/>
  <c r="S50" i="70"/>
  <c r="S19" i="70"/>
  <c r="Y28" i="73"/>
  <c r="G37" i="70"/>
  <c r="Y27" i="73"/>
  <c r="S25" i="70"/>
  <c r="M54" i="70"/>
  <c r="M50" i="70"/>
  <c r="M25" i="70"/>
  <c r="S60" i="70"/>
  <c r="G30" i="70"/>
  <c r="S24" i="70"/>
  <c r="Y14" i="73"/>
  <c r="S22" i="70"/>
  <c r="S14" i="70"/>
  <c r="M61" i="70"/>
  <c r="S15" i="70"/>
  <c r="S61" i="70"/>
  <c r="M20" i="70"/>
  <c r="M52" i="70"/>
  <c r="S59" i="70"/>
  <c r="Y10" i="73"/>
  <c r="S34" i="70"/>
  <c r="M24" i="70"/>
  <c r="G24" i="70"/>
  <c r="M60" i="70"/>
  <c r="S18" i="70"/>
  <c r="M19" i="70"/>
  <c r="M18" i="70"/>
  <c r="M14" i="70"/>
  <c r="S20" i="70"/>
  <c r="M59" i="70"/>
  <c r="G25" i="70"/>
  <c r="M15" i="70"/>
  <c r="G29" i="70"/>
  <c r="M10" i="73"/>
  <c r="M13" i="73"/>
  <c r="S32" i="70"/>
  <c r="G53" i="70"/>
  <c r="S13" i="70"/>
  <c r="M22" i="70"/>
  <c r="G10" i="73"/>
  <c r="M13" i="70"/>
  <c r="G26" i="70"/>
  <c r="G50" i="70"/>
  <c r="M31" i="70"/>
  <c r="G61" i="70"/>
  <c r="M32" i="70"/>
  <c r="G60" i="70"/>
  <c r="G19" i="70"/>
  <c r="G59" i="70"/>
  <c r="G20" i="70"/>
  <c r="G15" i="70"/>
  <c r="G23" i="70"/>
  <c r="G14" i="70"/>
  <c r="G63" i="70"/>
  <c r="G22" i="70"/>
  <c r="G18" i="70"/>
  <c r="G13" i="70"/>
  <c r="M17" i="70"/>
  <c r="S17" i="70"/>
  <c r="M33" i="70"/>
  <c r="S36" i="70"/>
  <c r="S30" i="70"/>
  <c r="M36" i="70"/>
  <c r="S16" i="70"/>
  <c r="M16" i="70"/>
  <c r="S12" i="70"/>
  <c r="G17" i="70"/>
  <c r="M12" i="70"/>
  <c r="M30" i="70"/>
  <c r="G16" i="70"/>
  <c r="G12" i="70"/>
  <c r="S11" i="70"/>
  <c r="S10" i="70"/>
  <c r="M10" i="70"/>
  <c r="M11" i="70"/>
  <c r="G11" i="70"/>
  <c r="G10" i="70"/>
</calcChain>
</file>

<file path=xl/sharedStrings.xml><?xml version="1.0" encoding="utf-8"?>
<sst xmlns="http://schemas.openxmlformats.org/spreadsheetml/2006/main" count="19394" uniqueCount="2462">
  <si>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</si>
  <si>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</si>
  <si>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</si>
  <si>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</si>
  <si>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</si>
  <si>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</si>
  <si>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</si>
  <si>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</si>
  <si>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</si>
  <si>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</si>
  <si>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</si>
  <si>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</si>
  <si>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</si>
  <si>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</si>
  <si>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</si>
  <si>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</si>
  <si>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</si>
  <si>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</si>
  <si>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</si>
  <si>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</si>
  <si>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</si>
  <si>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</si>
  <si>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</si>
  <si>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</si>
  <si>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</si>
  <si>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</si>
  <si>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</si>
  <si>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</si>
  <si>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</si>
  <si>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</si>
  <si>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</si>
  <si>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</si>
  <si>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</si>
  <si>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</si>
  <si>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</si>
  <si>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</si>
  <si>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</si>
  <si>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</si>
  <si>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</si>
  <si>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</si>
  <si>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</si>
  <si>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</si>
  <si>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</si>
  <si>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</si>
  <si>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</si>
  <si>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</si>
  <si>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</si>
  <si>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</si>
  <si>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</si>
  <si>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</si>
  <si>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</si>
  <si>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</si>
  <si>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</si>
  <si>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</si>
  <si>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</si>
  <si>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</si>
  <si>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</si>
  <si>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</si>
  <si>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</si>
  <si>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</si>
  <si>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</si>
  <si>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</si>
  <si>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</si>
  <si>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</si>
  <si>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</si>
  <si>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</si>
  <si>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</si>
  <si>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</si>
  <si>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</si>
  <si>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</si>
  <si>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</si>
  <si>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</si>
  <si>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</si>
  <si>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</si>
  <si>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</si>
  <si>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</si>
  <si>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</si>
  <si>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</si>
  <si>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</si>
  <si>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</si>
  <si>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</si>
  <si>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</si>
  <si>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</si>
  <si>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</si>
  <si>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</si>
  <si>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</si>
  <si>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</si>
  <si>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</si>
  <si>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</si>
  <si>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</si>
  <si>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</si>
  <si>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</si>
  <si>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</si>
  <si>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</si>
  <si>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</si>
  <si>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</si>
  <si>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</si>
  <si>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</si>
  <si>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</si>
  <si>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</si>
  <si>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</si>
  <si>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</si>
  <si>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</si>
  <si>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</si>
  <si>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</si>
  <si>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</si>
  <si>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</si>
  <si>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</si>
  <si>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</si>
  <si>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</si>
  <si>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</si>
  <si>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</si>
  <si>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</si>
  <si>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</si>
  <si>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</si>
  <si>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</si>
  <si>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</si>
  <si>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</si>
  <si>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</si>
  <si>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</si>
  <si>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</si>
  <si>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</si>
  <si>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</si>
  <si>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</si>
  <si>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</si>
  <si>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</si>
  <si>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</si>
  <si>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</si>
  <si>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</si>
  <si>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</si>
  <si>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</si>
  <si>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</si>
  <si>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</si>
  <si>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</si>
  <si>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</si>
  <si>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</si>
  <si>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</si>
  <si>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</si>
  <si>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</si>
  <si>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</si>
  <si>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</si>
  <si>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</si>
  <si>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</si>
  <si>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</si>
  <si>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</si>
  <si>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</si>
  <si>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</si>
  <si>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</si>
  <si>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</si>
  <si>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</si>
  <si>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</si>
  <si>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</si>
  <si>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</si>
  <si>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</si>
  <si>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</si>
  <si>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</si>
  <si>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</si>
  <si>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</si>
  <si>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</si>
  <si>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</si>
  <si>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</si>
  <si>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</si>
  <si>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</si>
  <si>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</si>
  <si>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</si>
  <si>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</si>
  <si>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</si>
  <si>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</si>
  <si>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</si>
  <si>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</si>
  <si>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</si>
  <si>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</si>
  <si>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</si>
  <si>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</si>
  <si>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</si>
  <si>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</si>
  <si>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</si>
  <si>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</si>
  <si>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</si>
  <si>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</si>
  <si>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</si>
  <si>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</si>
  <si>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</si>
  <si>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</si>
  <si>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</si>
  <si>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</si>
  <si>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</si>
  <si>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</si>
  <si>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</si>
  <si>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</si>
  <si>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</si>
  <si>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</si>
  <si>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</si>
  <si>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</si>
  <si>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</si>
  <si>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</si>
  <si>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</si>
  <si>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</si>
  <si>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</si>
  <si>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</si>
  <si>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</si>
  <si>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</si>
  <si>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</si>
  <si>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</si>
  <si>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</si>
  <si>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</si>
  <si>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</si>
  <si>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</si>
  <si>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</si>
  <si>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</si>
  <si>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</si>
  <si>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</si>
  <si>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</si>
  <si>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</si>
  <si>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</si>
  <si>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</si>
  <si>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</si>
  <si>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</si>
  <si>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</si>
  <si>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</si>
  <si>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</si>
  <si>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</si>
  <si>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</si>
  <si>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</si>
  <si>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</si>
  <si>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</si>
  <si>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</si>
  <si>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</si>
  <si>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</si>
  <si>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</si>
  <si>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</si>
  <si>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</si>
  <si>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</si>
  <si>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</si>
  <si>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</si>
  <si>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</si>
  <si>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</si>
  <si>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</si>
  <si>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</si>
  <si>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</si>
  <si>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</si>
  <si>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</si>
  <si>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</si>
  <si>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</si>
  <si>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</si>
  <si>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</si>
  <si>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</si>
  <si>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</si>
  <si>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</si>
  <si>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</si>
  <si>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</si>
  <si>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</si>
  <si>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</si>
  <si>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</si>
  <si>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</si>
  <si>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</si>
  <si>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</si>
  <si>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</si>
  <si>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</si>
  <si>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</si>
  <si>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</si>
  <si>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</si>
  <si>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</si>
  <si>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</si>
  <si>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</si>
  <si>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</si>
  <si>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</si>
  <si>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</si>
  <si>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</si>
  <si>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</si>
  <si>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</si>
  <si>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</si>
  <si>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</si>
  <si>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</si>
  <si>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</si>
  <si>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</si>
  <si>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</si>
  <si>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</si>
  <si>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</si>
  <si>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</si>
  <si>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</si>
  <si>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</si>
  <si>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</si>
  <si>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</si>
  <si>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</si>
  <si>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</si>
  <si>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</si>
  <si>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</si>
  <si>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</si>
  <si>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</si>
  <si>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</si>
  <si>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</si>
  <si>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</si>
  <si>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</si>
  <si>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</si>
  <si>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</si>
  <si>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</si>
  <si>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</si>
  <si>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</si>
  <si>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</si>
  <si>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</si>
  <si>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</si>
  <si>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</si>
  <si>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</si>
  <si>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</si>
  <si>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</si>
  <si>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</si>
  <si>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</si>
  <si>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</si>
  <si>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</si>
  <si>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</si>
  <si>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</si>
  <si>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</si>
  <si>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</si>
  <si>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</si>
  <si>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</si>
  <si>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</si>
  <si>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</si>
  <si>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</si>
  <si>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</si>
  <si>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</si>
  <si>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</si>
  <si>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</si>
  <si>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</si>
  <si>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</si>
  <si>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</si>
  <si>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</si>
  <si>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</si>
  <si>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</si>
  <si>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</si>
  <si>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</si>
  <si>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</si>
  <si>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</si>
  <si>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</si>
  <si>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</si>
  <si>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</si>
  <si>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</si>
  <si>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</si>
  <si>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</si>
  <si>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</si>
  <si>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</si>
  <si>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</si>
  <si>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</si>
  <si>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</si>
  <si>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</si>
  <si>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</si>
  <si>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</si>
  <si>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</si>
  <si>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</si>
  <si>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</si>
  <si>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</si>
  <si>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</si>
  <si>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</si>
  <si>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</si>
  <si>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</si>
  <si>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</si>
  <si>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</si>
  <si>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</si>
  <si>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</si>
  <si>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</si>
  <si>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</si>
  <si>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</si>
  <si>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</si>
  <si>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</si>
  <si>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</si>
  <si>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</si>
  <si>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</si>
  <si>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</si>
  <si>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</si>
  <si>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</si>
  <si>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</si>
  <si>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</si>
  <si>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</si>
  <si>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</si>
  <si>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</si>
  <si>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</si>
  <si>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</si>
  <si>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</si>
  <si>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</si>
  <si>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</si>
  <si>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</si>
  <si>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</si>
  <si>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</si>
  <si>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</si>
  <si>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</si>
  <si>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</si>
  <si>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</si>
  <si>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</si>
  <si>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</si>
  <si>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</si>
  <si>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</si>
  <si>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</si>
  <si>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</si>
  <si>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</si>
  <si>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</si>
  <si>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</si>
  <si>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</si>
  <si>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</si>
  <si>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</si>
  <si>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</si>
  <si>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</si>
  <si>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</si>
  <si>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</si>
  <si>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</si>
  <si>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</si>
  <si>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</si>
  <si>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</si>
  <si>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</si>
  <si>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</si>
  <si>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</si>
  <si>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</si>
  <si>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</si>
  <si>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</si>
  <si>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</si>
  <si>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</si>
  <si>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</si>
  <si>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</si>
  <si>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</si>
  <si>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</si>
  <si>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</si>
  <si>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</si>
  <si>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</si>
  <si>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</si>
  <si>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</si>
  <si>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</si>
  <si>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</si>
  <si>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</si>
  <si>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</si>
  <si>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</si>
  <si>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</si>
  <si>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</si>
  <si>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</si>
  <si>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</si>
  <si>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</si>
  <si>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</si>
  <si>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</si>
  <si>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</si>
  <si>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</si>
  <si>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</si>
  <si>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</si>
  <si>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</si>
  <si>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</si>
  <si>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</si>
  <si>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</si>
  <si>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</si>
  <si>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</si>
  <si>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</si>
  <si>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</si>
  <si>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</si>
  <si>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</si>
  <si>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</si>
  <si>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</si>
  <si>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</si>
  <si>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</si>
  <si>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</si>
  <si>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</si>
  <si>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</si>
  <si>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</si>
  <si>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</si>
  <si>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</si>
  <si>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</si>
  <si>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</si>
  <si>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</si>
  <si>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</si>
  <si>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</si>
  <si>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</si>
  <si>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</si>
  <si>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</si>
  <si>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</si>
  <si>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</si>
  <si>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</si>
  <si>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</si>
  <si>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</si>
  <si>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</si>
  <si>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</si>
  <si>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</si>
  <si>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</si>
  <si>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</si>
  <si>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</si>
  <si>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</si>
  <si>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</si>
  <si>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</si>
  <si>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</si>
  <si>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</si>
  <si>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</si>
  <si>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</si>
  <si>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</si>
  <si>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</si>
  <si>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</si>
  <si>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</si>
  <si>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</si>
  <si>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</si>
  <si>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</si>
  <si>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</si>
  <si>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</si>
  <si>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</si>
  <si>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</si>
  <si>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</si>
  <si>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</si>
  <si>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</si>
  <si>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</si>
  <si>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</si>
  <si>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</si>
  <si>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</si>
  <si>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</si>
  <si>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</si>
  <si>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</si>
  <si>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</si>
  <si>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</si>
  <si>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</si>
  <si>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</si>
  <si>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</si>
  <si>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</si>
  <si>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</si>
  <si>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</si>
  <si>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</si>
  <si>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</si>
  <si>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</si>
  <si>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</si>
  <si>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</si>
  <si>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</si>
  <si>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</si>
  <si>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</si>
  <si>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</si>
  <si>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</si>
  <si>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</si>
  <si>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</si>
  <si>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</si>
  <si>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</si>
  <si>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</si>
  <si>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</si>
  <si>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</si>
  <si>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</si>
  <si>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</si>
  <si>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</si>
  <si>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</si>
  <si>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</si>
  <si>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</si>
  <si>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</si>
  <si>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</si>
  <si>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</si>
  <si>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</si>
  <si>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</si>
  <si>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</si>
  <si>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</si>
  <si>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</si>
  <si>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</si>
  <si>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</si>
  <si>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</si>
  <si>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</si>
  <si>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</si>
  <si>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</si>
  <si>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</si>
  <si>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</si>
  <si>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</si>
  <si>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</si>
  <si>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</si>
  <si>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</si>
  <si>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</si>
  <si>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</si>
  <si>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</si>
  <si>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</si>
  <si>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</si>
  <si>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</si>
  <si>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</si>
  <si>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</si>
  <si>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</si>
  <si>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</si>
  <si>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</si>
  <si>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</si>
  <si>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</si>
  <si>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</si>
  <si>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</si>
  <si>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</si>
  <si>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</si>
  <si>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</si>
  <si>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</si>
  <si>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</si>
  <si>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</si>
  <si>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</si>
  <si>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</si>
  <si>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</si>
  <si>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</si>
  <si>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</si>
  <si>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</si>
  <si>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</si>
  <si>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</si>
  <si>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</si>
  <si>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</si>
  <si>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</si>
  <si>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</si>
  <si>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</si>
  <si>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</si>
  <si>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</si>
  <si>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</si>
  <si>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</si>
  <si>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</si>
  <si>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</si>
  <si>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</si>
  <si>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</si>
  <si>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</si>
  <si>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</si>
  <si>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</si>
  <si>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</si>
  <si>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</si>
  <si>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</si>
  <si>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</si>
  <si>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</si>
  <si>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</si>
  <si>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</si>
  <si>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</si>
  <si>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</si>
  <si>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</si>
  <si>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</si>
  <si>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</si>
  <si>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</si>
  <si>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</si>
  <si>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</si>
  <si>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</si>
  <si>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</si>
  <si>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</si>
  <si>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</si>
  <si>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</si>
  <si>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</si>
  <si>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</si>
  <si>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</si>
  <si>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</si>
  <si>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</si>
  <si>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</si>
  <si>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</si>
  <si>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</si>
  <si>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</si>
  <si>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</si>
  <si>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</si>
  <si>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</si>
  <si>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</si>
  <si>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</si>
  <si>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</si>
  <si>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</si>
  <si>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</si>
  <si>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</si>
  <si>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</si>
  <si>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</si>
  <si>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</si>
  <si>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</si>
  <si>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</si>
  <si>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</si>
  <si>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</si>
  <si>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</si>
  <si>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</si>
  <si>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</si>
  <si>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</si>
  <si>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</si>
  <si>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</si>
  <si>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</si>
  <si>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</si>
  <si>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</si>
  <si>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</si>
  <si>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</si>
  <si>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</si>
  <si>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</si>
  <si>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</si>
  <si>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</si>
  <si>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</si>
  <si>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</si>
  <si>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</si>
  <si>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</si>
  <si>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</si>
  <si>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</si>
  <si>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</si>
  <si>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</si>
  <si>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</si>
  <si>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</si>
  <si>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</si>
  <si>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</si>
  <si>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</si>
  <si>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</si>
  <si>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</si>
  <si>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</si>
  <si>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</si>
  <si>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</si>
  <si>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</si>
  <si>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</si>
  <si>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</si>
  <si>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</si>
  <si>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</si>
  <si>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</si>
  <si>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</si>
  <si>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</si>
  <si>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</si>
  <si>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</si>
  <si>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</si>
  <si>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</si>
  <si>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</si>
  <si>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</si>
  <si>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</si>
  <si>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</si>
  <si>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</si>
  <si>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</si>
  <si>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</si>
  <si>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</si>
  <si>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</si>
  <si>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</si>
  <si>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</si>
  <si>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</si>
  <si>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</si>
  <si>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</si>
  <si>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</si>
  <si>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</si>
  <si>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</si>
  <si>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</si>
  <si>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</si>
  <si>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</si>
  <si>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</si>
  <si>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</si>
  <si>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</si>
  <si>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</si>
  <si>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</si>
  <si>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</si>
  <si>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</si>
  <si>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</si>
  <si>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</si>
  <si>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</si>
  <si>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</si>
  <si>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</si>
  <si>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</si>
  <si>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</si>
  <si>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</si>
  <si>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</si>
  <si>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</si>
  <si>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</si>
  <si>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</si>
  <si>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</si>
  <si>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</si>
  <si>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</si>
  <si>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</si>
  <si>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</si>
  <si>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</si>
  <si>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</si>
  <si>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</si>
  <si>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</si>
  <si>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</si>
  <si>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</si>
  <si>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</si>
  <si>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</si>
  <si>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</si>
  <si>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</si>
  <si>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</si>
  <si>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</si>
  <si>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</si>
  <si>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</si>
  <si>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</si>
  <si>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</si>
  <si>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</si>
  <si>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</si>
  <si>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</si>
  <si>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</si>
  <si>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</si>
  <si>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</si>
  <si>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</si>
  <si>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</si>
  <si>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</si>
  <si>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</si>
  <si>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</si>
  <si>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</si>
  <si>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</si>
  <si>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</si>
  <si>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</si>
  <si>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</si>
  <si>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</si>
  <si>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</si>
  <si>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</si>
  <si>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</si>
  <si>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</si>
  <si>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</si>
  <si>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</si>
  <si>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</si>
  <si>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</si>
  <si>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</si>
  <si>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</si>
  <si>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</si>
  <si>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</si>
  <si>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</si>
  <si>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</si>
  <si>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</si>
  <si>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</si>
  <si>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</si>
  <si>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</si>
  <si>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</si>
  <si>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</si>
  <si>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</si>
  <si>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</si>
  <si>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</si>
  <si>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</si>
  <si>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</si>
  <si>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</si>
  <si>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</si>
  <si>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</si>
  <si>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</si>
  <si>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</si>
  <si>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</si>
  <si>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</si>
  <si>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</si>
  <si>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</si>
  <si>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</si>
  <si>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</si>
  <si>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</si>
  <si>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</si>
  <si>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</si>
  <si>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</si>
  <si>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</si>
  <si>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</si>
  <si>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</si>
  <si>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</si>
  <si>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</si>
  <si>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</si>
  <si>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</si>
  <si>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</si>
  <si>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</si>
  <si>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</si>
  <si>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</si>
  <si>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</si>
  <si>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</si>
  <si>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</si>
  <si>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</si>
  <si>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</si>
  <si>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</si>
  <si>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</si>
  <si>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</si>
  <si>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</si>
  <si>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</si>
  <si>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</si>
  <si>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</si>
  <si>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</si>
  <si>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</si>
  <si>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</si>
  <si>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</si>
  <si>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</si>
  <si>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</si>
  <si>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</si>
  <si>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</si>
  <si>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</si>
  <si>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</si>
  <si>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</si>
  <si>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</si>
  <si>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</si>
  <si>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</si>
  <si>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</si>
  <si>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</si>
  <si>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</si>
  <si>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</si>
  <si>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</si>
  <si>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</si>
  <si>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</si>
  <si>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</si>
  <si>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</si>
  <si>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</si>
  <si>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</si>
  <si>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</si>
  <si>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</si>
  <si>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</si>
  <si>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</si>
  <si>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</si>
  <si>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</si>
  <si>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</si>
  <si>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</si>
  <si>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</si>
  <si>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</si>
  <si>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</si>
  <si>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</si>
  <si>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</si>
  <si>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</si>
  <si>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</si>
  <si>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</si>
  <si>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</si>
  <si>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</si>
  <si>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</si>
  <si>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</si>
  <si>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</si>
  <si>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</si>
  <si>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</si>
  <si>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</si>
  <si>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</si>
  <si>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</si>
  <si>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</si>
  <si>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</si>
  <si>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</si>
  <si>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</si>
  <si>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</si>
  <si>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</si>
  <si>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</si>
  <si>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</si>
  <si>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</si>
  <si>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</si>
  <si>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</si>
  <si>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</si>
  <si>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</si>
  <si>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</si>
  <si>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</si>
  <si>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</si>
  <si>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</si>
  <si>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</si>
  <si>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</si>
  <si>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</si>
  <si>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</si>
  <si>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</si>
  <si>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</si>
  <si>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</si>
  <si>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</si>
  <si>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</si>
  <si>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</si>
  <si>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</si>
  <si>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</si>
  <si>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</si>
  <si>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</si>
  <si>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</si>
  <si>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</si>
  <si>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</si>
  <si>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</si>
  <si>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</si>
  <si>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</si>
  <si>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</si>
  <si>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</si>
  <si>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</si>
  <si>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</si>
  <si>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</si>
  <si>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</si>
  <si>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</si>
  <si>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</si>
  <si>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</si>
  <si>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</si>
  <si>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</si>
  <si>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</si>
  <si>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</si>
  <si>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</si>
  <si>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</si>
  <si>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</si>
  <si>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</si>
  <si>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</si>
  <si>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</si>
  <si>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</si>
  <si>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</si>
  <si>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</si>
  <si>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</si>
  <si>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</si>
  <si>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</si>
  <si>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</si>
  <si>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</si>
  <si>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</si>
  <si>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</si>
  <si>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</si>
  <si>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</si>
  <si>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</si>
  <si>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</si>
  <si>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</si>
  <si>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</si>
  <si>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</si>
  <si>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</si>
  <si>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</si>
  <si>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</si>
  <si>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</si>
  <si>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</si>
  <si>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</si>
  <si>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</si>
  <si>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</si>
  <si>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</si>
  <si>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</si>
  <si>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</si>
  <si>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</si>
  <si>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</si>
  <si>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</si>
  <si>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</si>
  <si>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</si>
  <si>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</si>
  <si>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</si>
  <si>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</si>
  <si>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</si>
  <si>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</si>
  <si>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</si>
  <si>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</si>
  <si>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</si>
  <si>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</si>
  <si>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</si>
  <si>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</si>
  <si>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</si>
  <si>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</si>
  <si>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</si>
  <si>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</si>
  <si>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</si>
  <si>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</si>
  <si>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</si>
  <si>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</si>
  <si>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</si>
  <si>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</si>
  <si>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</si>
  <si>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</si>
  <si>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</si>
  <si>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</si>
  <si>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</si>
  <si>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</si>
  <si>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</si>
  <si>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</si>
  <si>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</si>
  <si>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</si>
  <si>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</si>
  <si>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</si>
  <si>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</si>
  <si>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</si>
  <si>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</si>
  <si>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</si>
  <si>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</si>
  <si>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</si>
  <si>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</si>
  <si>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</si>
  <si>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</si>
  <si>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</si>
  <si>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</si>
  <si>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</si>
  <si>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</si>
  <si>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</si>
  <si>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</si>
  <si>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</si>
  <si>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</si>
  <si>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</si>
  <si>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</si>
  <si>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</si>
  <si>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</si>
  <si>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</si>
  <si>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</si>
  <si>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</si>
  <si>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</si>
  <si>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</si>
  <si>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</si>
  <si>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</si>
  <si>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</si>
  <si>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</si>
  <si>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</si>
  <si>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</si>
  <si>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</si>
  <si>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</si>
  <si>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</si>
  <si>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</si>
  <si>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</si>
  <si>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</si>
  <si>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</si>
  <si>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</si>
  <si>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</si>
  <si>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</si>
  <si>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</si>
  <si>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</si>
  <si>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</si>
  <si>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</si>
  <si>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</si>
  <si>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</si>
  <si>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</si>
  <si>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</si>
  <si>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</si>
  <si>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</si>
  <si>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</si>
  <si>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</si>
  <si>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</si>
  <si>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</si>
  <si>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</si>
  <si>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</si>
  <si>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</si>
  <si>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</si>
  <si>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</si>
  <si>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</si>
  <si>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</si>
  <si>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</si>
  <si>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</si>
  <si>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</si>
  <si>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</si>
  <si>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</si>
  <si>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</si>
  <si>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</si>
  <si>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</si>
  <si>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</si>
  <si>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</si>
  <si>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</si>
  <si>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</si>
  <si>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</si>
  <si>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</si>
  <si>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</si>
  <si>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</si>
  <si>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</si>
  <si>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</si>
  <si>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</si>
  <si>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</si>
  <si>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</si>
  <si>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</si>
  <si>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</si>
  <si>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</si>
  <si>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</si>
  <si>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</si>
  <si>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</si>
  <si>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</si>
  <si>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</si>
  <si>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</si>
  <si>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</si>
  <si>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</si>
  <si>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</si>
  <si>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</si>
  <si>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</si>
  <si>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</si>
  <si>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</si>
  <si>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</si>
  <si>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</si>
  <si>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</si>
  <si>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</si>
  <si>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</si>
  <si>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</si>
  <si>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</si>
  <si>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</si>
  <si>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</si>
  <si>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</si>
  <si>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</si>
  <si>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</si>
  <si>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</si>
  <si>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</si>
  <si>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</si>
  <si>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</si>
  <si>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</si>
  <si>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</si>
  <si>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</si>
  <si>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</si>
  <si>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</si>
  <si>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</si>
  <si>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</si>
  <si>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</si>
  <si>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</si>
  <si>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</si>
  <si>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</si>
  <si>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</si>
  <si>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</si>
  <si>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</si>
  <si>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</si>
  <si>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</si>
  <si>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</si>
  <si>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</si>
  <si>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</si>
  <si>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</si>
  <si>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</si>
  <si>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</si>
  <si>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</si>
  <si>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</si>
  <si>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</si>
  <si>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</si>
  <si>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</si>
  <si>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</si>
  <si>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</si>
  <si>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</si>
  <si>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</si>
  <si>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</si>
  <si>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</si>
  <si>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</si>
  <si>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</si>
  <si>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</si>
  <si>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</si>
  <si>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</si>
  <si>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</si>
  <si>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</si>
  <si>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</si>
  <si>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</si>
  <si>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</si>
  <si>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</si>
  <si>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</si>
  <si>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</si>
  <si>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</si>
  <si>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</si>
  <si>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</si>
  <si>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</si>
  <si>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</si>
  <si>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</si>
  <si>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</si>
  <si>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</si>
  <si>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</si>
  <si>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</si>
  <si>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</si>
  <si>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</si>
  <si>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</si>
  <si>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</si>
  <si>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</si>
  <si>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</si>
  <si>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</si>
  <si>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</si>
  <si>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</si>
  <si>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</si>
  <si>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</si>
  <si>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</si>
  <si>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</si>
  <si>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</si>
  <si>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</si>
  <si>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</si>
  <si>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</si>
  <si>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</si>
  <si>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</si>
  <si>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</si>
  <si>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</si>
  <si>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</si>
  <si>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</si>
  <si>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</si>
  <si>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</si>
  <si>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</si>
  <si>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</si>
  <si>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</si>
  <si>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</si>
  <si>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</si>
  <si>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</si>
  <si>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</si>
  <si>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</si>
  <si>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</si>
  <si>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</si>
  <si>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</si>
  <si>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</si>
  <si>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</si>
  <si>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</si>
  <si>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</si>
  <si>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</si>
  <si>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</si>
  <si>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</si>
  <si>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</si>
  <si>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</si>
  <si>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</si>
  <si>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</si>
  <si>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</si>
  <si>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</si>
  <si>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</si>
  <si>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</si>
  <si>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</si>
  <si>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</si>
  <si>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</si>
  <si>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</si>
  <si>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</si>
  <si>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</si>
  <si>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</si>
  <si>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</si>
  <si>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</si>
  <si>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</si>
  <si>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</si>
  <si>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</si>
  <si>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</si>
  <si>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</si>
  <si>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</si>
  <si>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</si>
  <si>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</si>
  <si>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</si>
  <si>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</si>
  <si>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</si>
  <si>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</si>
  <si>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</si>
  <si>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</si>
  <si>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</si>
  <si>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</si>
  <si>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</si>
  <si>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</si>
  <si>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</si>
  <si>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</si>
  <si>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</si>
  <si>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</si>
  <si>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</si>
  <si>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</si>
  <si>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</si>
  <si>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</si>
  <si>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</si>
  <si>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</si>
  <si>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</si>
  <si>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</si>
  <si>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</si>
  <si>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</si>
  <si>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</si>
  <si>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</si>
  <si>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</si>
  <si>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</si>
  <si>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</si>
  <si>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</si>
  <si>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</si>
  <si>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</si>
  <si>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</si>
  <si>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</si>
  <si>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</si>
  <si>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</si>
  <si>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</si>
  <si>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</si>
  <si>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</si>
  <si>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</si>
  <si>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</si>
  <si>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</si>
  <si>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</si>
  <si>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</si>
  <si>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</si>
  <si>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</si>
  <si>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</si>
  <si>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</si>
  <si>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</si>
  <si>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</si>
  <si>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</si>
  <si>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</si>
  <si>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</si>
  <si>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</si>
  <si>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</si>
  <si>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</si>
  <si>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</si>
  <si>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</si>
  <si>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</si>
  <si>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</si>
  <si>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</si>
  <si>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</si>
  <si>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</si>
  <si>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</si>
  <si>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</si>
  <si>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</si>
  <si>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</si>
  <si>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</si>
  <si>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</si>
  <si>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</si>
  <si>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</si>
  <si>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</si>
  <si>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</si>
  <si>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</si>
  <si>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</si>
  <si>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</si>
  <si>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</si>
  <si>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</si>
  <si>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</si>
  <si>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</si>
  <si>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</si>
  <si>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</si>
  <si>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</si>
  <si>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</si>
  <si>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</si>
  <si>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</si>
  <si>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</si>
  <si>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</si>
  <si>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</si>
  <si>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</si>
  <si>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</si>
  <si>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</si>
  <si>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</si>
  <si>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</si>
  <si>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</si>
  <si>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</si>
  <si>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</si>
  <si>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</si>
  <si>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</si>
  <si>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</si>
  <si>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</si>
  <si>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</si>
  <si>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</si>
  <si>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</si>
  <si>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</si>
  <si>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</si>
  <si>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</si>
  <si>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</si>
  <si>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</si>
  <si>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</si>
  <si>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</si>
  <si>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</si>
  <si>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</si>
  <si>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</si>
  <si>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</si>
  <si>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</si>
  <si>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</si>
  <si>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</si>
  <si>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</si>
  <si>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</si>
  <si>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</si>
  <si>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</si>
  <si>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</si>
  <si>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</si>
  <si>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</si>
  <si>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</si>
  <si>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</si>
  <si>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</si>
  <si>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</si>
  <si>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</si>
  <si>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</si>
  <si>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</si>
  <si>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</si>
  <si>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</si>
  <si>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</si>
  <si>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</si>
  <si>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</si>
  <si>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</si>
  <si>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</si>
  <si>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</si>
  <si>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</si>
  <si>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</si>
  <si>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</si>
  <si>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</si>
  <si>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</si>
  <si>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</si>
  <si>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</si>
  <si>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</si>
  <si>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</si>
  <si>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</si>
  <si>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</si>
  <si>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</si>
  <si>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</si>
  <si>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</si>
  <si>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</si>
  <si>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</si>
  <si>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</si>
  <si>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</si>
  <si>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</si>
  <si>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</si>
  <si>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</si>
  <si>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</si>
  <si>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</si>
  <si>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</si>
  <si>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</si>
  <si>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</si>
  <si>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</si>
  <si>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</si>
  <si>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</si>
  <si>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</si>
  <si>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</si>
  <si>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</si>
  <si>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</si>
  <si>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</si>
  <si>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</si>
  <si>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</si>
  <si>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</si>
  <si>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</si>
  <si>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</si>
  <si>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</si>
  <si>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</si>
  <si>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</si>
  <si>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</si>
  <si>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</si>
  <si>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</si>
  <si>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</si>
  <si>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</si>
  <si>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</si>
  <si>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</si>
  <si>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</si>
  <si>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</si>
  <si>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</si>
  <si>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</si>
  <si>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</si>
  <si>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</si>
  <si>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</si>
  <si>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</si>
  <si>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</si>
  <si>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</si>
  <si>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</si>
  <si>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</si>
  <si>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</si>
  <si>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</si>
  <si>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</si>
  <si>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</si>
  <si>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</si>
  <si>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</si>
  <si>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</si>
  <si>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</si>
  <si>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</si>
  <si>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</si>
  <si>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</si>
  <si>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</si>
  <si>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</si>
  <si>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</si>
  <si>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</si>
  <si>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</si>
  <si>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</si>
  <si>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</si>
  <si>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</si>
  <si>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</si>
  <si>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</si>
  <si>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</si>
  <si>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</si>
  <si>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</si>
  <si>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</si>
  <si>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</si>
  <si>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</si>
  <si>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</si>
  <si>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</si>
  <si>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</si>
  <si>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</si>
  <si>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</si>
  <si>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</si>
  <si>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</si>
  <si>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</si>
  <si>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</si>
  <si>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</si>
  <si>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</si>
  <si>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</si>
  <si>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</si>
  <si>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</si>
  <si>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</si>
  <si>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</si>
  <si>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</si>
  <si>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</si>
  <si>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</si>
  <si>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</si>
  <si>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</si>
  <si>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</si>
  <si>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</si>
  <si>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</si>
  <si>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</si>
  <si>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</si>
  <si>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</si>
  <si>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</si>
  <si>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</si>
  <si>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</si>
  <si>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</si>
  <si>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</si>
  <si>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</si>
  <si>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</si>
  <si>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</si>
  <si>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</si>
  <si>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</si>
  <si>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</si>
  <si>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</si>
  <si>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</si>
  <si>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</si>
  <si>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</si>
  <si>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</si>
  <si>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</si>
  <si>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</si>
  <si>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</si>
  <si>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</si>
  <si>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</si>
  <si>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</si>
  <si>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</si>
  <si>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</si>
  <si>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</si>
  <si>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</si>
  <si>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</si>
  <si>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</si>
  <si>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</si>
  <si>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</si>
  <si>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</si>
  <si>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</si>
  <si>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</si>
  <si>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</si>
  <si>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</si>
  <si>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</si>
  <si>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</si>
  <si>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</si>
  <si>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</si>
  <si>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</si>
  <si>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</si>
  <si>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</si>
  <si>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</si>
  <si>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</si>
  <si>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</si>
  <si>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</si>
  <si>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</si>
  <si>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</si>
  <si>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</si>
  <si>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</si>
  <si>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</si>
  <si>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</si>
  <si>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</si>
  <si>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</si>
  <si>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</si>
  <si>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</si>
  <si>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</si>
  <si>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</si>
  <si>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</si>
  <si>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</si>
  <si>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</si>
  <si>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</si>
  <si>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</si>
  <si>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</si>
  <si>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</si>
  <si>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</si>
  <si>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</si>
  <si>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</si>
  <si>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</si>
  <si>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</si>
  <si>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</si>
  <si>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</si>
  <si>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</si>
  <si>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</si>
  <si>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</si>
  <si>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</si>
  <si>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</si>
  <si>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</si>
  <si>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</si>
  <si>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</si>
  <si>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</si>
  <si>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</si>
  <si>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</si>
  <si>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</si>
  <si>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</si>
  <si>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</si>
  <si>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</si>
  <si>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</si>
  <si>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</si>
  <si>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</si>
  <si>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</si>
  <si>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</si>
  <si>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</si>
  <si>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</si>
  <si>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</si>
  <si>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</si>
  <si>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</si>
  <si>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</si>
  <si>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</si>
  <si>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</si>
  <si>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</si>
  <si>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</si>
  <si>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</si>
  <si>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</si>
  <si>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</si>
  <si>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</si>
  <si>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</si>
  <si>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</si>
  <si>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</si>
  <si>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</si>
  <si>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</si>
  <si>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</si>
  <si>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</si>
  <si>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</si>
  <si>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</si>
  <si>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</si>
  <si>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</si>
  <si>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</si>
  <si>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</si>
  <si>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</si>
  <si>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</si>
  <si>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</si>
  <si>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</si>
  <si>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</si>
  <si>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</si>
  <si>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</si>
  <si>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</si>
  <si>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</si>
  <si>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</si>
  <si>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</si>
  <si>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</si>
  <si>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</si>
  <si>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</si>
  <si>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</si>
  <si>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</si>
  <si>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</si>
  <si>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</si>
  <si>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</si>
  <si>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</si>
  <si>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</si>
  <si>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</si>
  <si>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</si>
  <si>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</si>
  <si>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</si>
  <si>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</si>
  <si>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</si>
  <si>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</si>
  <si>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</si>
  <si>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</si>
  <si>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</si>
  <si>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</si>
  <si>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</si>
  <si>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</si>
  <si>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</si>
  <si>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</si>
  <si>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</si>
  <si>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</si>
  <si>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</si>
  <si>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</si>
  <si>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</si>
  <si>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</si>
  <si>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</si>
  <si>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</si>
  <si>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</si>
  <si>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</si>
  <si>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</si>
  <si>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</si>
  <si>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</si>
  <si>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</si>
  <si>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</si>
  <si>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</si>
  <si>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</si>
  <si>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</si>
  <si>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</si>
  <si>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</si>
  <si>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</si>
  <si>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</si>
  <si>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</si>
  <si>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</si>
  <si>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</si>
  <si>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</si>
  <si>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</si>
  <si>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</si>
  <si>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</si>
  <si>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</si>
  <si>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</si>
  <si>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</si>
  <si>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</si>
  <si>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</si>
  <si>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</si>
  <si>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</si>
  <si>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</si>
  <si>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</si>
  <si>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</si>
  <si>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</si>
  <si>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</si>
  <si>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</si>
  <si>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</si>
  <si>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</si>
  <si>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</si>
  <si>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</si>
  <si>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</si>
  <si>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</si>
  <si>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</si>
  <si>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</si>
  <si>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</si>
  <si>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</si>
  <si>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</si>
  <si>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</si>
  <si>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</si>
  <si>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</si>
  <si>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</si>
  <si>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</si>
  <si>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</si>
  <si>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</si>
  <si>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</si>
  <si>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</si>
  <si>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</si>
  <si>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</si>
  <si>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</si>
  <si>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</si>
  <si>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</si>
  <si>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</si>
  <si>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</si>
  <si>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</si>
  <si>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</si>
  <si>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</si>
  <si>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</si>
  <si>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</si>
  <si>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</si>
  <si>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</si>
  <si>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</si>
  <si>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</si>
  <si>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</si>
  <si>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</si>
  <si>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</si>
  <si>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</si>
  <si>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</si>
  <si>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</si>
  <si>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</si>
  <si>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</si>
  <si>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</si>
  <si>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</si>
  <si>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</si>
  <si>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</si>
  <si>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</si>
  <si>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</si>
  <si>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</si>
  <si>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</si>
  <si>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</si>
  <si>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</si>
  <si>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</si>
  <si>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</si>
  <si>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</si>
  <si>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</si>
  <si>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</si>
  <si>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</si>
  <si>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</si>
  <si>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</si>
  <si>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</si>
  <si>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</si>
  <si>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</si>
  <si>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</si>
  <si>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</si>
  <si>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</si>
  <si>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</si>
  <si>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</si>
  <si>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</si>
  <si>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</si>
  <si>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</si>
  <si>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</si>
  <si>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</si>
  <si>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</si>
  <si>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</si>
  <si>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</si>
  <si>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</si>
  <si>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</si>
  <si>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</si>
  <si>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</si>
  <si>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</si>
  <si>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</si>
  <si>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</si>
  <si>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</si>
  <si>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</si>
  <si>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</si>
  <si>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</si>
  <si>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</si>
  <si>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</si>
  <si>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</si>
  <si>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</si>
  <si>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</si>
  <si>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</si>
  <si>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</si>
  <si>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</si>
  <si>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</si>
  <si>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</si>
  <si>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</si>
  <si>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</si>
  <si>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</si>
  <si>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</si>
  <si>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</si>
  <si>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</si>
  <si>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</si>
  <si>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</si>
  <si>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</si>
  <si>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</si>
  <si>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</si>
  <si>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</si>
  <si>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</si>
  <si>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</si>
  <si>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</si>
  <si>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</si>
  <si>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</si>
  <si>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</si>
  <si>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</si>
  <si>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</si>
  <si>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</si>
  <si>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</si>
  <si>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</si>
  <si>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</si>
  <si>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</si>
  <si>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</si>
  <si>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</si>
  <si>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</si>
  <si>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</si>
  <si>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</si>
  <si>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</si>
  <si>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</si>
  <si>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</si>
  <si>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</si>
  <si>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</si>
  <si>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</si>
  <si>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</si>
  <si>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</si>
  <si>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</si>
  <si>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</si>
  <si>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</si>
  <si>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</si>
  <si>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</si>
  <si>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</si>
  <si>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</si>
  <si>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</si>
  <si>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</si>
  <si>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</si>
  <si>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</si>
  <si>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</si>
  <si>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</si>
  <si>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</si>
  <si>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</si>
  <si>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</si>
  <si>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</si>
  <si>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</si>
  <si>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</si>
  <si>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</si>
  <si>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</si>
  <si>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</si>
  <si>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</si>
  <si>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</si>
  <si>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</si>
  <si>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</si>
  <si>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</si>
  <si>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</si>
  <si>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</si>
  <si>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</si>
  <si>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</si>
  <si>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</si>
  <si>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</si>
  <si>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</si>
  <si>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</si>
  <si>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</si>
  <si>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</si>
  <si>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</si>
  <si>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</si>
  <si>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</si>
  <si>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</si>
  <si>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</si>
  <si>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</si>
  <si>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</si>
  <si>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</si>
  <si>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</si>
  <si>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</si>
  <si>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</si>
  <si>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</si>
  <si>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</si>
  <si>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</si>
  <si>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</si>
  <si>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</si>
  <si>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</si>
  <si>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</si>
  <si>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</si>
  <si>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</si>
  <si>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</si>
  <si>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</si>
  <si>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</si>
  <si>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</si>
  <si>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</si>
  <si>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</si>
  <si>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</si>
  <si>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</si>
  <si>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</si>
  <si>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</si>
  <si>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</si>
  <si>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</si>
  <si>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</si>
  <si>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</si>
  <si>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</si>
  <si>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</si>
  <si>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</si>
  <si>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</si>
  <si>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</si>
  <si>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</si>
  <si>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</si>
  <si>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</si>
  <si>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</si>
  <si>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</si>
  <si>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</si>
  <si>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</si>
  <si>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</si>
  <si>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</si>
  <si>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</si>
  <si>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</si>
  <si>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</si>
  <si>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</si>
  <si>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</si>
  <si>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</si>
  <si>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</si>
  <si>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</si>
  <si>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</si>
  <si>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</si>
  <si>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</si>
  <si>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</si>
  <si>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</si>
  <si>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</si>
  <si>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</si>
  <si>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</si>
  <si>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</si>
  <si>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</si>
  <si>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</si>
  <si>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</si>
  <si>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</si>
  <si>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</si>
  <si>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</si>
  <si>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</si>
  <si>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</si>
  <si>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</si>
  <si>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</si>
  <si>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</si>
  <si>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</si>
  <si>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</si>
  <si>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</si>
  <si>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</si>
  <si>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</si>
  <si>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</si>
  <si>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</si>
  <si>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</si>
  <si>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</si>
  <si>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</si>
  <si>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</si>
  <si>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</si>
  <si>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</si>
  <si>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</si>
  <si>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</si>
  <si>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</si>
  <si>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</si>
  <si>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</si>
  <si>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</si>
  <si>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</si>
  <si>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</si>
  <si>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</si>
  <si>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</si>
  <si>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</si>
  <si>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</si>
  <si>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</si>
  <si>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</si>
  <si>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</si>
  <si>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</si>
  <si>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</si>
  <si>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</si>
  <si>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</si>
  <si>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</si>
  <si>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</si>
  <si>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</si>
  <si>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</si>
  <si>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</si>
  <si>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</si>
  <si>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</si>
  <si>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</si>
  <si>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</si>
  <si>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</si>
  <si>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</si>
  <si>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</si>
  <si>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</si>
  <si>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</si>
  <si>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</si>
  <si>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</si>
  <si>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</si>
  <si>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</si>
  <si>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</si>
  <si>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</si>
  <si>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</si>
  <si>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</si>
  <si>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</si>
  <si>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</si>
  <si>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</si>
  <si>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</si>
  <si>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</si>
  <si>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</si>
  <si>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</si>
  <si>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</si>
  <si>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</si>
  <si>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</si>
  <si>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</si>
  <si>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</si>
  <si>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</si>
  <si>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</si>
  <si>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</si>
  <si>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</si>
  <si>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</si>
  <si>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</si>
  <si>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</si>
  <si>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</si>
  <si>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</si>
  <si>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</si>
  <si>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</si>
  <si>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</si>
  <si>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</si>
  <si>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</si>
  <si>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</si>
  <si>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</si>
  <si>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</si>
  <si>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</si>
  <si>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</si>
  <si>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</si>
  <si>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</si>
  <si>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</si>
  <si>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</si>
  <si>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</si>
  <si>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</si>
  <si>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</si>
  <si>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</si>
  <si>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</si>
  <si>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</si>
  <si>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</si>
  <si>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</si>
  <si>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</si>
  <si>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</si>
  <si>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</si>
  <si>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</si>
  <si>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</si>
  <si>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</si>
  <si>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</si>
  <si>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</si>
  <si>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</si>
  <si>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</si>
  <si>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</si>
  <si>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</si>
  <si>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</si>
  <si>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</si>
  <si>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</si>
  <si>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</si>
  <si>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</si>
  <si>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</si>
  <si>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</si>
  <si>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</si>
  <si>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</si>
  <si>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</si>
  <si>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</si>
  <si>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</si>
  <si>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</si>
  <si>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</si>
  <si>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</si>
  <si>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</si>
  <si>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</si>
  <si>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</si>
  <si>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</si>
  <si>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</si>
  <si>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</si>
  <si>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</si>
  <si>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</si>
  <si>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</si>
  <si>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</si>
  <si>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</si>
  <si>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</si>
  <si>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</si>
  <si>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</si>
  <si>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</si>
  <si>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</si>
  <si>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</si>
  <si>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</si>
  <si>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</si>
  <si>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</si>
  <si>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</si>
  <si>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</si>
  <si>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</si>
  <si>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</si>
  <si>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</si>
  <si>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</si>
  <si>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</si>
  <si>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</si>
  <si>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</si>
  <si>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</si>
  <si>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</si>
  <si>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</si>
  <si>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</si>
  <si>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</si>
  <si>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</si>
  <si>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</si>
  <si>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</si>
  <si>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</si>
  <si>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</si>
  <si>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</si>
  <si>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</si>
  <si>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</si>
  <si>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</si>
  <si>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</si>
  <si>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</si>
  <si>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</si>
  <si>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</si>
  <si>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</si>
  <si>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</si>
  <si>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</si>
  <si>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</si>
  <si>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</si>
  <si>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</si>
  <si>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</si>
  <si>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</si>
  <si>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</si>
  <si>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</si>
  <si>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</si>
  <si>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</si>
  <si>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</si>
  <si>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</si>
  <si>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</si>
  <si>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</si>
  <si>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</si>
  <si>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</si>
  <si>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</si>
  <si>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</si>
  <si>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</si>
  <si>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</si>
  <si>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</si>
  <si>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</si>
  <si>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</si>
  <si>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</si>
  <si>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</si>
  <si>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</si>
  <si>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</si>
  <si>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</si>
  <si>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</si>
  <si>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</si>
  <si>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</si>
  <si>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</si>
  <si>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</si>
  <si>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</si>
  <si>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</si>
  <si>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</si>
  <si>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</si>
  <si>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</si>
  <si>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</si>
  <si>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</si>
  <si>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</si>
  <si>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</si>
  <si>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</si>
  <si>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</si>
  <si>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</si>
  <si>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</si>
  <si>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</si>
  <si>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</si>
  <si>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</si>
  <si>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</si>
  <si>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</si>
  <si>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</si>
  <si>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</si>
  <si>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</si>
  <si>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</si>
  <si>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</si>
  <si>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</si>
  <si>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</si>
  <si>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</si>
  <si>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</si>
  <si>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</si>
  <si>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</si>
  <si>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</si>
  <si>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</si>
  <si>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</si>
  <si>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</si>
  <si>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</si>
  <si>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</si>
  <si>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</si>
  <si>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</si>
  <si>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</si>
  <si>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</si>
  <si>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</si>
  <si>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</si>
  <si>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</si>
  <si>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</si>
  <si>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</si>
  <si>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</si>
  <si>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</si>
  <si>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</si>
  <si>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</si>
  <si>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</si>
  <si>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</si>
  <si>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</si>
  <si>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</si>
  <si>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</si>
  <si>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</si>
  <si>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</si>
  <si>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</si>
  <si>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</si>
  <si>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</si>
  <si>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</si>
  <si>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</si>
  <si>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</si>
  <si>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</si>
  <si>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</si>
  <si>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</si>
  <si>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</si>
  <si>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</si>
  <si>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</si>
  <si>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</si>
  <si>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</si>
  <si>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</si>
  <si>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</si>
  <si>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</si>
  <si>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</si>
  <si>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</si>
  <si>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</si>
  <si>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</si>
  <si>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</si>
  <si>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</si>
  <si>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</si>
  <si>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</si>
  <si>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</si>
  <si>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</si>
  <si>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</si>
  <si>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</si>
  <si>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</si>
  <si>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</si>
  <si>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</si>
  <si>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</si>
  <si>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</si>
  <si>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</si>
  <si>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</si>
  <si>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</si>
  <si>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</si>
  <si>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</si>
  <si>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</si>
  <si>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</si>
  <si>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</si>
  <si>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</si>
  <si>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</si>
  <si>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</si>
  <si>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</si>
  <si>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</si>
  <si>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</si>
  <si>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</si>
  <si>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</si>
  <si>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</si>
  <si>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</si>
  <si>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</si>
  <si>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</si>
  <si>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</si>
  <si>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</si>
  <si>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</si>
  <si>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</si>
  <si>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</si>
  <si>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</si>
  <si>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</si>
  <si>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</si>
  <si>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</si>
  <si>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</si>
  <si>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</si>
  <si>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</si>
  <si>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</si>
  <si>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</si>
  <si>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</si>
  <si>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</si>
  <si>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</si>
  <si>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</si>
  <si>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</si>
  <si>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</si>
  <si>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</si>
  <si>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</si>
  <si>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</si>
  <si>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</si>
  <si>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</si>
  <si>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</si>
  <si>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</si>
  <si>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</si>
  <si>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</si>
  <si>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</si>
  <si>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</si>
  <si>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</si>
  <si>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</si>
  <si>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</si>
  <si>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</si>
  <si>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</si>
  <si>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</si>
  <si>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</si>
  <si>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</si>
  <si>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</si>
  <si>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</si>
  <si>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</si>
  <si>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</si>
  <si>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</si>
  <si>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</si>
  <si>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</si>
  <si>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</si>
  <si>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</si>
  <si>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</si>
  <si>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</si>
  <si>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</si>
  <si>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</si>
  <si>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</si>
  <si>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</si>
  <si>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</si>
  <si>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</si>
  <si>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</si>
  <si>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</si>
  <si>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</si>
  <si>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</si>
  <si>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</si>
  <si>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</si>
  <si>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</si>
  <si>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</si>
  <si>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</si>
  <si>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</si>
  <si>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</si>
  <si>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</si>
  <si>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</si>
  <si>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</si>
  <si>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</si>
  <si>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</si>
  <si>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</si>
  <si>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</si>
  <si>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</si>
  <si>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</si>
  <si>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</si>
  <si>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</si>
  <si>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</si>
  <si>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</si>
  <si>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</si>
  <si>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</si>
  <si>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</si>
  <si>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</si>
  <si>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</si>
  <si>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</si>
  <si>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</si>
  <si>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</si>
  <si>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</si>
  <si>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</si>
  <si>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</si>
  <si>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</si>
  <si>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</si>
  <si>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</si>
  <si>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</si>
  <si>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</si>
  <si>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</si>
  <si>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</si>
  <si>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</si>
  <si>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</si>
  <si>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</si>
  <si>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</si>
  <si>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</si>
  <si>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</si>
  <si>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</si>
  <si>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</si>
  <si>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</si>
  <si>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</si>
  <si>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</si>
  <si>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</si>
  <si>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</si>
  <si>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</si>
  <si>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</si>
  <si>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</si>
  <si>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</si>
  <si>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</si>
  <si>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</si>
  <si>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</si>
  <si>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</si>
  <si>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</si>
  <si>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</si>
  <si>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</si>
  <si>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</si>
  <si>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</si>
  <si>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</si>
  <si>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</si>
  <si>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</si>
  <si>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</si>
  <si>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</si>
  <si>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</si>
  <si>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</si>
  <si>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</si>
  <si>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</si>
  <si>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</si>
  <si>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</si>
  <si>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</si>
  <si>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</si>
  <si>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</si>
  <si>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</si>
  <si>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</si>
  <si>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</si>
  <si>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</si>
  <si>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</si>
  <si>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</si>
  <si>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</si>
  <si>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</si>
  <si>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</si>
  <si>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</si>
  <si>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</si>
  <si>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</si>
  <si>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</si>
  <si>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</si>
  <si>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</si>
  <si>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</si>
  <si>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</si>
  <si>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</si>
  <si>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</si>
  <si>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</si>
  <si>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</si>
  <si>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</si>
  <si>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</si>
  <si>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</si>
  <si>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</si>
  <si>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</si>
  <si>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</si>
  <si>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</si>
  <si>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</si>
  <si>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</si>
  <si>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</si>
  <si>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</si>
  <si>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</si>
  <si>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</si>
  <si>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</si>
  <si>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</si>
  <si>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</si>
  <si>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</si>
  <si>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</si>
  <si>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</si>
  <si>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</si>
  <si>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</si>
  <si>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</si>
  <si>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</si>
  <si>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</si>
  <si>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</si>
  <si>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</si>
  <si>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</si>
  <si>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</si>
  <si>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</si>
  <si>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</si>
  <si>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</si>
  <si>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</si>
  <si>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</si>
  <si>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</si>
  <si>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</si>
  <si>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</si>
  <si>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</si>
  <si>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</si>
  <si>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1997</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</si>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</sst>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32200.000000000004</v>
      </c>
      <c r="F24" s="3384" t="str">
        <f t="shared" si="0"/>
        <v>NA</v>
      </c>
      <c r="G24" s="3360">
        <v>708.69272727272732</v>
      </c>
      <c r="H24" s="3339">
        <f t="shared" si="1"/>
        <v>2598.5400000000004</v>
      </c>
      <c r="I24" s="2599" t="s">
        <v>205</v>
      </c>
      <c r="J24" s="2600"/>
      <c r="M24" s="125"/>
    </row>
    <row r="25" spans="2:13" ht="18" customHeight="1" x14ac:dyDescent="0.2">
      <c r="B25" s="165"/>
      <c r="C25" s="1566"/>
      <c r="D25" s="1451" t="s">
        <v>458</v>
      </c>
      <c r="E25" s="3379">
        <v>20100</v>
      </c>
      <c r="F25" s="3384" t="str">
        <f t="shared" si="0"/>
        <v>NA</v>
      </c>
      <c r="G25" s="3360">
        <v>381.7264090909091</v>
      </c>
      <c r="H25" s="3339">
        <f t="shared" si="1"/>
        <v>1399.6634999999999</v>
      </c>
      <c r="I25" s="2599" t="s">
        <v>205</v>
      </c>
      <c r="J25" s="2600"/>
      <c r="M25" s="125"/>
    </row>
    <row r="26" spans="2:13" ht="18" customHeight="1" x14ac:dyDescent="0.2">
      <c r="B26" s="165"/>
      <c r="C26" s="1566"/>
      <c r="D26" s="1451" t="s">
        <v>459</v>
      </c>
      <c r="E26" s="3383">
        <v>11062.455619793327</v>
      </c>
      <c r="F26" s="3384">
        <f t="shared" si="0"/>
        <v>25.26136363636363</v>
      </c>
      <c r="G26" s="3360">
        <v>279.45271412273365</v>
      </c>
      <c r="H26" s="3339">
        <f t="shared" si="1"/>
        <v>1024.6599517833567</v>
      </c>
      <c r="I26" s="3360">
        <v>1024.6599517833567</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39547.967881040524</v>
      </c>
      <c r="F28" s="3384">
        <f>IF(I28="NA","NA",I28/(44/12)*1000/E28)</f>
        <v>0.90237260336336933</v>
      </c>
      <c r="G28" s="3360">
        <v>693.47872403908059</v>
      </c>
      <c r="H28" s="3339">
        <f>IF(G28="NA","NA",IF(G28="NO","NO",G28*44/12))</f>
        <v>2542.755321476629</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119806.55468683943</v>
      </c>
      <c r="F31" s="3324">
        <f t="shared" ref="F31" si="3">IF(I31="NA","NA",I31/(44/12)*1000/E31)</f>
        <v>2.6304046358817188</v>
      </c>
      <c r="G31" s="3388">
        <f>SUM(G11:G29)</f>
        <v>2323.7045959825364</v>
      </c>
      <c r="H31" s="3336">
        <f t="shared" ref="H31" si="4">IF(G31="NA","NA",IF(G31="NO","NO",G31*44/12))</f>
        <v>8520.2501852693003</v>
      </c>
      <c r="I31" s="3388">
        <f>SUM(I11:I29)</f>
        <v>1155.5122951433568</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8661.3015051593102</v>
      </c>
      <c r="F35" s="3384">
        <f>IF(I35="NA","NA",I35/(44/12)*1000/E35)</f>
        <v>24.611067779177159</v>
      </c>
      <c r="G35" s="3364">
        <v>213.16387839936488</v>
      </c>
      <c r="H35" s="3361">
        <f t="shared" si="5"/>
        <v>781.60088746433792</v>
      </c>
      <c r="I35" s="3360">
        <v>781.60088746433792</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100524.704</v>
      </c>
      <c r="F41" s="3384">
        <f t="shared" ref="F41" si="8">IF(I41="NA","NA",I41/(44/12)*1000/E41)</f>
        <v>28.616630090771256</v>
      </c>
      <c r="G41" s="3360">
        <v>2906.3038344710512</v>
      </c>
      <c r="H41" s="3361">
        <f t="shared" si="5"/>
        <v>10656.447393060522</v>
      </c>
      <c r="I41" s="3360">
        <v>10547.820320958337</v>
      </c>
      <c r="J41" s="3381" t="s">
        <v>460</v>
      </c>
      <c r="M41" s="125"/>
    </row>
    <row r="42" spans="2:13" ht="18" customHeight="1" x14ac:dyDescent="0.2">
      <c r="B42" s="1433"/>
      <c r="C42" s="1567"/>
      <c r="D42" s="1451" t="s">
        <v>467</v>
      </c>
      <c r="E42" s="3379">
        <v>4173.8003399791069</v>
      </c>
      <c r="F42" s="3384">
        <f>IF(I42="NA","NA",I42/(44/12)*1000/E42)</f>
        <v>22.309090909090912</v>
      </c>
      <c r="G42" s="3360">
        <v>93.113691220988443</v>
      </c>
      <c r="H42" s="3361">
        <f t="shared" si="5"/>
        <v>341.41686781029097</v>
      </c>
      <c r="I42" s="3360">
        <v>341.41686781029097</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113359.80584513841</v>
      </c>
      <c r="F45" s="3308">
        <f>IF(I45="NA","NA",I45/(44/12)*1000/E45)</f>
        <v>28.078345893789589</v>
      </c>
      <c r="G45" s="3388">
        <f>SUM(G33:G43)</f>
        <v>3212.5814040914047</v>
      </c>
      <c r="H45" s="3336">
        <f t="shared" ref="H45" si="9">IF(G45="NA","NA",IF(G45="NO","NO",G45*44/12))</f>
        <v>11779.46514833515</v>
      </c>
      <c r="I45" s="3388">
        <f>SUM(I33:I43)</f>
        <v>11670.838076232965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20304.438038837874</v>
      </c>
      <c r="F47" s="3384">
        <f t="shared" ref="F47" si="10">IF(I47="NA","NA",I47/(44/12)*1000/E47)</f>
        <v>14.021432274344994</v>
      </c>
      <c r="G47" s="3360">
        <v>284.69730283019953</v>
      </c>
      <c r="H47" s="3339">
        <f t="shared" ref="H47" si="11">IF(G47="NA","NA",IF(G47="NO","NO",G47*44/12))</f>
        <v>1043.8901103773983</v>
      </c>
      <c r="I47" s="3360">
        <v>1043.8901103773983</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20304.438038837874</v>
      </c>
      <c r="F50" s="3308">
        <f>IF(I50="NA","NA",I50/(44/12)*1000/E50)</f>
        <v>14.021432274344994</v>
      </c>
      <c r="G50" s="3388">
        <f>SUM(G47:G48)</f>
        <v>284.69730283019953</v>
      </c>
      <c r="H50" s="3362">
        <f t="shared" ref="H50" si="13">IF(G50="NA","NA",IF(G50="NO","NO",G50*44/12))</f>
        <v>1043.8901103773983</v>
      </c>
      <c r="I50" s="3388">
        <f>SUM(I47:I48)</f>
        <v>1043.8901103773983</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253470.79857081571</v>
      </c>
      <c r="F55" s="3319">
        <f t="shared" si="14"/>
        <v>14.923978935598193</v>
      </c>
      <c r="G55" s="3388">
        <f>SUM(G31,G45,G50,G54)</f>
        <v>5820.9833029041401</v>
      </c>
      <c r="H55" s="3363">
        <f t="shared" si="15"/>
        <v>21343.605443981847</v>
      </c>
      <c r="I55" s="3388">
        <f>SUM(I31,I45,I50,I54)</f>
        <v>13870.240481753721</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322.13131999999996</v>
      </c>
      <c r="D10" s="3105"/>
      <c r="E10" s="3105"/>
      <c r="F10" s="3057">
        <f>SUM(F11,F18)</f>
        <v>973.656088470236</v>
      </c>
      <c r="G10" s="3057">
        <f>SUM(G11,G18)</f>
        <v>1333.0836919676028</v>
      </c>
      <c r="H10" s="3057">
        <f>H11</f>
        <v>-2.7056983865025299</v>
      </c>
      <c r="I10" s="3106" t="s">
        <v>199</v>
      </c>
      <c r="L10" s="3676"/>
    </row>
    <row r="11" spans="2:12" ht="18" customHeight="1" x14ac:dyDescent="0.2">
      <c r="B11" s="1251" t="s">
        <v>486</v>
      </c>
      <c r="C11" s="3014">
        <v>72.804295999999994</v>
      </c>
      <c r="D11" s="3057">
        <f>IFERROR(SUM(F11,-H11)/$C$11,"NA")</f>
        <v>10.578738741061228</v>
      </c>
      <c r="E11" s="3057">
        <f>IFERROR(SUM(G11)/$C$11,"NA")</f>
        <v>17.393097734989631</v>
      </c>
      <c r="F11" s="3057">
        <f>SUM(F12:F16)</f>
        <v>767.47192822438637</v>
      </c>
      <c r="G11" s="3057">
        <f>SUM(G12:G16)</f>
        <v>1266.2922358551145</v>
      </c>
      <c r="H11" s="3057">
        <f>H12</f>
        <v>-2.7056983865025299</v>
      </c>
      <c r="I11" s="3106" t="s">
        <v>199</v>
      </c>
    </row>
    <row r="12" spans="2:12" ht="18" customHeight="1" x14ac:dyDescent="0.2">
      <c r="B12" s="160" t="s">
        <v>487</v>
      </c>
      <c r="C12" s="3027"/>
      <c r="D12" s="3057">
        <f>IFERROR(SUM(F12,-H12)/$C$11,"NA")</f>
        <v>9.7661813541681628</v>
      </c>
      <c r="E12" s="3057">
        <f>IFERROR(SUM(G12)/$C$11,"NA")</f>
        <v>17.288136100872482</v>
      </c>
      <c r="F12" s="3104">
        <v>708.31425971203714</v>
      </c>
      <c r="G12" s="3104">
        <v>1258.6505779762058</v>
      </c>
      <c r="H12" s="3104">
        <v>-2.7056983865025299</v>
      </c>
      <c r="I12" s="3015" t="s">
        <v>199</v>
      </c>
    </row>
    <row r="13" spans="2:12" ht="18" customHeight="1" x14ac:dyDescent="0.2">
      <c r="B13" s="160" t="s">
        <v>488</v>
      </c>
      <c r="C13" s="3027"/>
      <c r="D13" s="3057">
        <f>IFERROR(SUM(F13)/$C$11,"NA")</f>
        <v>0.36040226738848979</v>
      </c>
      <c r="E13" s="3057" t="s">
        <v>205</v>
      </c>
      <c r="F13" s="3104">
        <v>26.238833354022756</v>
      </c>
      <c r="G13" s="3104" t="s">
        <v>221</v>
      </c>
      <c r="H13" s="3104" t="s">
        <v>199</v>
      </c>
      <c r="I13" s="3015" t="s">
        <v>199</v>
      </c>
    </row>
    <row r="14" spans="2:12" ht="18" customHeight="1" x14ac:dyDescent="0.2">
      <c r="B14" s="160" t="s">
        <v>489</v>
      </c>
      <c r="C14" s="3442">
        <v>114</v>
      </c>
      <c r="D14" s="3057">
        <f>IFERROR(SUM(F14)/$C$11,"NA")</f>
        <v>0.45182152051241903</v>
      </c>
      <c r="E14" s="3057" t="s">
        <v>205</v>
      </c>
      <c r="F14" s="3104">
        <v>32.894547718556225</v>
      </c>
      <c r="G14" s="3104" t="s">
        <v>205</v>
      </c>
      <c r="H14" s="3104" t="s">
        <v>199</v>
      </c>
      <c r="I14" s="3015" t="s">
        <v>199</v>
      </c>
    </row>
    <row r="15" spans="2:12" ht="18" customHeight="1" x14ac:dyDescent="0.2">
      <c r="B15" s="160" t="s">
        <v>490</v>
      </c>
      <c r="C15" s="3014">
        <v>2.7056983865025299E-3</v>
      </c>
      <c r="D15" s="3057">
        <f>IFERROR(SUM(F15)/$C15,"NA")</f>
        <v>8.9764032426282281</v>
      </c>
      <c r="E15" s="3057">
        <f>IFERROR(SUM(G15)/$C15,"NA")</f>
        <v>2824.2829714610771</v>
      </c>
      <c r="F15" s="3104">
        <v>2.4287439770175275E-2</v>
      </c>
      <c r="G15" s="3104">
        <v>7.6416578789088065</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249.32702399999999</v>
      </c>
      <c r="D18" s="3057">
        <f>IFERROR(SUM(F18)/$C$18,"NA")</f>
        <v>0.8269627453053372</v>
      </c>
      <c r="E18" s="3057">
        <f>IFERROR(SUM(G18)/$C$18,"NA")</f>
        <v>0.26788695040329119</v>
      </c>
      <c r="F18" s="3057">
        <f>SUM(F19:F21)</f>
        <v>206.18416024584968</v>
      </c>
      <c r="G18" s="3109">
        <f t="shared" ref="G18" si="1">SUM(G19:G21)</f>
        <v>66.791456112488191</v>
      </c>
      <c r="H18" s="3057" t="s">
        <v>199</v>
      </c>
      <c r="I18" s="3106" t="s">
        <v>199</v>
      </c>
    </row>
    <row r="19" spans="2:9" ht="18" customHeight="1" x14ac:dyDescent="0.2">
      <c r="B19" s="160" t="s">
        <v>493</v>
      </c>
      <c r="C19" s="3027"/>
      <c r="D19" s="3057">
        <f>IFERROR(SUM(F19)/$C$18,"NA")</f>
        <v>0.8269627453053372</v>
      </c>
      <c r="E19" s="3057">
        <f>IFERROR(SUM(G19)/$C$18,"NA")</f>
        <v>0.26788695040329119</v>
      </c>
      <c r="F19" s="3104">
        <v>206.18416024584968</v>
      </c>
      <c r="G19" s="3104">
        <v>66.791456112488191</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1" workbookViewId="0">
      <selection activeCell="H34" sqref="H34"/>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466.09257603839899</v>
      </c>
      <c r="J10" s="3123">
        <f>IF(SUM(J11:J16)=0,"NO",SUM(J11:J16))</f>
        <v>3.2384042393280743</v>
      </c>
      <c r="K10" s="4433">
        <f>IF(SUM(K11:K16)=0,"NO",SUM(K11:K16))</f>
        <v>1.4056337786448528E-2</v>
      </c>
      <c r="L10" s="3124" t="s">
        <v>199</v>
      </c>
    </row>
    <row r="11" spans="2:12" ht="18" customHeight="1" x14ac:dyDescent="0.2">
      <c r="B11" s="1251" t="s">
        <v>520</v>
      </c>
      <c r="C11" s="2190" t="s">
        <v>521</v>
      </c>
      <c r="D11" s="2190" t="s">
        <v>522</v>
      </c>
      <c r="E11" s="699">
        <v>99</v>
      </c>
      <c r="F11" s="1938">
        <f>I11*1000000/$E11</f>
        <v>2457.1765943785908</v>
      </c>
      <c r="G11" s="1938">
        <f>J11*1000000/$E11</f>
        <v>0.25595589524776985</v>
      </c>
      <c r="H11" s="1938">
        <f>K11*1000000/$E11</f>
        <v>0.55484632776290765</v>
      </c>
      <c r="I11" s="3119">
        <v>0.24326048284348048</v>
      </c>
      <c r="J11" s="4434">
        <v>2.5339633629529212E-5</v>
      </c>
      <c r="K11" s="4440">
        <v>5.4929786448527858E-5</v>
      </c>
      <c r="L11" s="3072" t="s">
        <v>199</v>
      </c>
    </row>
    <row r="12" spans="2:12" ht="18" customHeight="1" x14ac:dyDescent="0.2">
      <c r="B12" s="1251" t="s">
        <v>523</v>
      </c>
      <c r="C12" s="2190" t="s">
        <v>524</v>
      </c>
      <c r="D12" s="2190" t="s">
        <v>525</v>
      </c>
      <c r="E12" s="699">
        <v>1148.8</v>
      </c>
      <c r="F12" s="1938" t="s">
        <v>205</v>
      </c>
      <c r="G12" s="1938">
        <f>J12*1000000/$E12</f>
        <v>264.18871866295268</v>
      </c>
      <c r="H12" s="3075"/>
      <c r="I12" s="3125" t="s">
        <v>205</v>
      </c>
      <c r="J12" s="699">
        <v>0.30349999999999999</v>
      </c>
      <c r="K12" s="3027"/>
      <c r="L12" s="3072" t="s">
        <v>199</v>
      </c>
    </row>
    <row r="13" spans="2:12" ht="18" customHeight="1" x14ac:dyDescent="0.2">
      <c r="B13" s="1251" t="s">
        <v>526</v>
      </c>
      <c r="C13" s="2190" t="s">
        <v>527</v>
      </c>
      <c r="D13" s="2190" t="s">
        <v>525</v>
      </c>
      <c r="E13" s="699">
        <v>798.8</v>
      </c>
      <c r="F13" s="1938" t="s">
        <v>205</v>
      </c>
      <c r="G13" s="1938">
        <f>J13*1000000/$E13</f>
        <v>317.10065097646469</v>
      </c>
      <c r="H13" s="3075"/>
      <c r="I13" s="3125" t="s">
        <v>205</v>
      </c>
      <c r="J13" s="699">
        <v>0.25329999999999997</v>
      </c>
      <c r="K13" s="3027"/>
      <c r="L13" s="3072" t="s">
        <v>199</v>
      </c>
    </row>
    <row r="14" spans="2:12" ht="18" customHeight="1" x14ac:dyDescent="0.2">
      <c r="B14" s="1251" t="s">
        <v>528</v>
      </c>
      <c r="C14" s="2190" t="s">
        <v>529</v>
      </c>
      <c r="D14" s="2190" t="s">
        <v>525</v>
      </c>
      <c r="E14" s="699">
        <v>1648</v>
      </c>
      <c r="F14" s="1938">
        <f>I14*1000000/$E14</f>
        <v>282675.55555555556</v>
      </c>
      <c r="G14" s="1938">
        <f>J14*1000000/$E14</f>
        <v>1598.1907429881339</v>
      </c>
      <c r="H14" s="1938">
        <f>K14*1000000/$E14</f>
        <v>8.4960000000000004</v>
      </c>
      <c r="I14" s="3125">
        <v>465.84931555555551</v>
      </c>
      <c r="J14" s="699">
        <v>2.6338183444444447</v>
      </c>
      <c r="K14" s="4439">
        <v>1.4001408E-2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4.7760555250000003E-2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1827</v>
      </c>
      <c r="F18" s="1938" t="s">
        <v>205</v>
      </c>
      <c r="G18" s="1938">
        <f>J18*1000000/$E18</f>
        <v>26.141519020251781</v>
      </c>
      <c r="H18" s="3126"/>
      <c r="I18" s="3128" t="s">
        <v>205</v>
      </c>
      <c r="J18" s="2215">
        <v>4.7760555250000003E-2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18.79922000121238</v>
      </c>
      <c r="J21" s="4437">
        <f>IF(SUM(J22:J27)=0,"NO",SUM(J22:J27))</f>
        <v>148.59469688650688</v>
      </c>
      <c r="K21" s="4438">
        <f>IF(SUM(K22:K27)=0,"NO",SUM(K22:K27))</f>
        <v>2.6137308332577333E-4</v>
      </c>
      <c r="L21" s="3047" t="str">
        <f>IF(SUM(L22:L27)=0,"NO",SUM(L22:L27))</f>
        <v>NO</v>
      </c>
    </row>
    <row r="22" spans="2:12" ht="18" customHeight="1" x14ac:dyDescent="0.2">
      <c r="B22" s="1468" t="s">
        <v>535</v>
      </c>
      <c r="C22" s="2190" t="s">
        <v>521</v>
      </c>
      <c r="D22" s="2190" t="s">
        <v>522</v>
      </c>
      <c r="E22" s="699">
        <v>193.5</v>
      </c>
      <c r="F22" s="1938">
        <f>I22*1000000/$E22</f>
        <v>45952.699229614729</v>
      </c>
      <c r="G22" s="1938">
        <f>J22*1000000/$E22</f>
        <v>3107.0728553812501</v>
      </c>
      <c r="H22" s="1938">
        <f>K22*1000000/$E22</f>
        <v>1.3507652885052885</v>
      </c>
      <c r="I22" s="3119">
        <v>8.8918473009304506</v>
      </c>
      <c r="J22" s="700">
        <v>0.60121859751627182</v>
      </c>
      <c r="K22" s="4129">
        <v>2.6137308332577333E-4</v>
      </c>
      <c r="L22" s="3133" t="s">
        <v>199</v>
      </c>
    </row>
    <row r="23" spans="2:12" ht="18" customHeight="1" x14ac:dyDescent="0.2">
      <c r="B23" s="1251" t="s">
        <v>536</v>
      </c>
      <c r="C23" s="2190" t="s">
        <v>537</v>
      </c>
      <c r="D23" s="2190" t="s">
        <v>525</v>
      </c>
      <c r="E23" s="699">
        <v>2303.0235651310777</v>
      </c>
      <c r="F23" s="1938">
        <f>I23*1000000/$E23</f>
        <v>212.93518851321474</v>
      </c>
      <c r="G23" s="1938">
        <f>J23*1000000/$E23</f>
        <v>3229.8405873524157</v>
      </c>
      <c r="H23" s="3075"/>
      <c r="I23" s="3125">
        <v>0.49039475699156193</v>
      </c>
      <c r="J23" s="699">
        <v>7.4383989842894147</v>
      </c>
      <c r="K23" s="3027"/>
      <c r="L23" s="3133" t="s">
        <v>199</v>
      </c>
    </row>
    <row r="24" spans="2:12" ht="18" customHeight="1" x14ac:dyDescent="0.2">
      <c r="B24" s="1251" t="s">
        <v>538</v>
      </c>
      <c r="C24" s="2190" t="s">
        <v>537</v>
      </c>
      <c r="D24" s="2190" t="s">
        <v>525</v>
      </c>
      <c r="E24" s="699">
        <v>2303.0235651310777</v>
      </c>
      <c r="F24" s="1938">
        <f t="shared" ref="F24:F26" si="0">I24*1000000/$E24</f>
        <v>999.31919471178401</v>
      </c>
      <c r="G24" s="1938">
        <f t="shared" ref="G24:G26" si="1">J24*1000000/$E24</f>
        <v>4899.9556942903109</v>
      </c>
      <c r="H24" s="1885"/>
      <c r="I24" s="699">
        <v>2.3014556545090503</v>
      </c>
      <c r="J24" s="699">
        <v>11.284713432048797</v>
      </c>
      <c r="K24" s="1939"/>
      <c r="L24" s="3072" t="str">
        <f>IF(Table1.C!E21="NO","NO",-Table1.C!E21)</f>
        <v>NO</v>
      </c>
    </row>
    <row r="25" spans="2:12" ht="18" customHeight="1" x14ac:dyDescent="0.2">
      <c r="B25" s="1251" t="s">
        <v>539</v>
      </c>
      <c r="C25" s="2190" t="s">
        <v>540</v>
      </c>
      <c r="D25" s="2190" t="s">
        <v>541</v>
      </c>
      <c r="E25" s="699">
        <v>14093</v>
      </c>
      <c r="F25" s="1938">
        <f t="shared" si="0"/>
        <v>20</v>
      </c>
      <c r="G25" s="1938">
        <f t="shared" si="1"/>
        <v>676.18878673302856</v>
      </c>
      <c r="H25" s="3075"/>
      <c r="I25" s="3125">
        <v>0.28186</v>
      </c>
      <c r="J25" s="699">
        <v>9.5295285714285711</v>
      </c>
      <c r="K25" s="3027"/>
      <c r="L25" s="3072" t="s">
        <v>199</v>
      </c>
    </row>
    <row r="26" spans="2:12" ht="18" customHeight="1" x14ac:dyDescent="0.2">
      <c r="B26" s="1251" t="s">
        <v>542</v>
      </c>
      <c r="C26" s="2190" t="s">
        <v>543</v>
      </c>
      <c r="D26" s="2190" t="s">
        <v>525</v>
      </c>
      <c r="E26" s="699">
        <v>314.24515328724414</v>
      </c>
      <c r="F26" s="1938">
        <f t="shared" si="0"/>
        <v>20515.466006961593</v>
      </c>
      <c r="G26" s="1938">
        <f t="shared" si="1"/>
        <v>358935.79291612917</v>
      </c>
      <c r="H26" s="3075"/>
      <c r="I26" s="3125">
        <v>6.4468857601168921</v>
      </c>
      <c r="J26" s="699">
        <v>112.79383326520752</v>
      </c>
      <c r="K26" s="3027"/>
      <c r="L26" s="3072" t="s">
        <v>199</v>
      </c>
    </row>
    <row r="27" spans="2:12" ht="18" customHeight="1" x14ac:dyDescent="0.2">
      <c r="B27" s="2436" t="s">
        <v>544</v>
      </c>
      <c r="C27" s="607"/>
      <c r="D27" s="607"/>
      <c r="E27" s="615"/>
      <c r="F27" s="615"/>
      <c r="G27" s="615"/>
      <c r="H27" s="3126"/>
      <c r="I27" s="1938">
        <f>IF(SUM(I29:I30)=0,"NO",SUM(I29:I30))</f>
        <v>0.38677652866442247</v>
      </c>
      <c r="J27" s="1938">
        <f>IF(SUM(J29:J30)=0,"NO",SUM(J29:J30))</f>
        <v>6.9470040360162901</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0.38677652866442247</v>
      </c>
      <c r="J29" s="3128">
        <v>6.8001549849162899</v>
      </c>
      <c r="K29" s="3110"/>
      <c r="L29" s="3080" t="s">
        <v>199</v>
      </c>
    </row>
    <row r="30" spans="2:12" ht="18" customHeight="1" thickBot="1" x14ac:dyDescent="0.25">
      <c r="B30" s="2437" t="s">
        <v>547</v>
      </c>
      <c r="C30" s="2190" t="s">
        <v>533</v>
      </c>
      <c r="D30" s="2190" t="s">
        <v>522</v>
      </c>
      <c r="E30" s="699">
        <v>6330</v>
      </c>
      <c r="F30" s="1938" t="s">
        <v>205</v>
      </c>
      <c r="G30" s="1938">
        <f t="shared" ref="G30" si="2">J30*1000000/$E30</f>
        <v>23.198902227488148</v>
      </c>
      <c r="H30" s="3126"/>
      <c r="I30" s="3128" t="s">
        <v>205</v>
      </c>
      <c r="J30" s="3128">
        <v>0.14684905109999999</v>
      </c>
      <c r="K30" s="3110"/>
      <c r="L30" s="3080" t="s">
        <v>199</v>
      </c>
    </row>
    <row r="31" spans="2:12" ht="18" customHeight="1" x14ac:dyDescent="0.2">
      <c r="B31" s="1254" t="s">
        <v>548</v>
      </c>
      <c r="C31" s="2192"/>
      <c r="D31" s="2192"/>
      <c r="E31" s="3183"/>
      <c r="F31" s="3183"/>
      <c r="G31" s="3183"/>
      <c r="H31" s="3183"/>
      <c r="I31" s="4437">
        <f>IF(SUM(I32,I36)=0,"NO",SUM(I32,I36))</f>
        <v>4869.6358953684121</v>
      </c>
      <c r="J31" s="3046">
        <f>IF(SUM(J32,J36)=0,"NO",SUM(J32,J36))</f>
        <v>152.31295536734058</v>
      </c>
      <c r="K31" s="3046">
        <f>IF(SUM(K32,K36)=0,"NO",SUM(K32,K36))</f>
        <v>7.3037501093684343E-2</v>
      </c>
      <c r="L31" s="3047" t="str">
        <f>IF(SUM(L32,L36)=0,"NO",SUM(L32,L36))</f>
        <v>NO</v>
      </c>
    </row>
    <row r="32" spans="2:12" ht="18" customHeight="1" x14ac:dyDescent="0.2">
      <c r="B32" s="1467" t="s">
        <v>549</v>
      </c>
      <c r="C32" s="2195"/>
      <c r="D32" s="2195"/>
      <c r="E32" s="3007"/>
      <c r="F32" s="3007"/>
      <c r="G32" s="3007"/>
      <c r="H32" s="3007"/>
      <c r="I32" s="3134">
        <f>IF(SUM(I33:I35)=0,"NO",SUM(I33:I35))</f>
        <v>2571.9320505811052</v>
      </c>
      <c r="J32" s="1938">
        <f>IF(SUM(J33:J35)=0,"NO",SUM(J33:J35))</f>
        <v>136.12351749108549</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3451.8235651310779</v>
      </c>
      <c r="F35" s="1938">
        <f t="shared" ref="F35" si="3">SUM(I35,L35)*1000000/$E35</f>
        <v>745093.7170027229</v>
      </c>
      <c r="G35" s="1938">
        <f t="shared" ref="G35" si="4">J35*1000000/$E35</f>
        <v>39435.247753144191</v>
      </c>
      <c r="H35" s="1938" t="s">
        <v>205</v>
      </c>
      <c r="I35" s="699">
        <v>2571.9320505811052</v>
      </c>
      <c r="J35" s="699">
        <v>136.12351749108549</v>
      </c>
      <c r="K35" s="699" t="s">
        <v>199</v>
      </c>
      <c r="L35" s="3072" t="s">
        <v>199</v>
      </c>
    </row>
    <row r="36" spans="2:12" ht="18" customHeight="1" x14ac:dyDescent="0.2">
      <c r="B36" s="1467" t="s">
        <v>554</v>
      </c>
      <c r="C36" s="2195"/>
      <c r="D36" s="2195"/>
      <c r="E36" s="3007"/>
      <c r="F36" s="3007"/>
      <c r="G36" s="3007"/>
      <c r="H36" s="3007"/>
      <c r="I36" s="3134">
        <f>IF(SUM(I37:I39)=0,"NO",SUM(I37:I39))</f>
        <v>2297.7038447873065</v>
      </c>
      <c r="J36" s="3134">
        <f>IF(SUM(J37:J39)=0,"NO",SUM(J37:J39))</f>
        <v>16.189437876255084</v>
      </c>
      <c r="K36" s="1938">
        <f>IF(SUM(K37:K39)=0,"NO",SUM(K37:K39))</f>
        <v>7.3037501093684343E-2</v>
      </c>
      <c r="L36" s="3044" t="str">
        <f>IF(SUM(L37:L39)=0,"NO",SUM(L37:L39))</f>
        <v>NO</v>
      </c>
    </row>
    <row r="37" spans="2:12" ht="18" customHeight="1" x14ac:dyDescent="0.2">
      <c r="B37" s="1469" t="s">
        <v>555</v>
      </c>
      <c r="C37" s="277" t="s">
        <v>556</v>
      </c>
      <c r="D37" s="277" t="s">
        <v>525</v>
      </c>
      <c r="E37" s="699">
        <v>14.215998378179188</v>
      </c>
      <c r="F37" s="1938">
        <f t="shared" ref="F37:F38" si="5">SUM(I37,L37)*1000000/$E37</f>
        <v>82846709.640129358</v>
      </c>
      <c r="G37" s="1938">
        <f t="shared" ref="G37:H38" si="6">J37*1000000/$E37</f>
        <v>999874.08186362998</v>
      </c>
      <c r="H37" s="1938">
        <f t="shared" si="6"/>
        <v>2313.9943037415437</v>
      </c>
      <c r="I37" s="700">
        <v>1177.7486898815609</v>
      </c>
      <c r="J37" s="700">
        <v>14.214208326156768</v>
      </c>
      <c r="K37" s="700">
        <v>3.2895739269105669E-2</v>
      </c>
      <c r="L37" s="3133" t="s">
        <v>199</v>
      </c>
    </row>
    <row r="38" spans="2:12" ht="18" customHeight="1" x14ac:dyDescent="0.2">
      <c r="B38" s="1469" t="s">
        <v>557</v>
      </c>
      <c r="C38" s="277" t="s">
        <v>556</v>
      </c>
      <c r="D38" s="277" t="s">
        <v>525</v>
      </c>
      <c r="E38" s="699">
        <v>24.216367666269512</v>
      </c>
      <c r="F38" s="1938">
        <f t="shared" si="5"/>
        <v>46247858.900230862</v>
      </c>
      <c r="G38" s="1938">
        <f t="shared" si="6"/>
        <v>81565.888712929212</v>
      </c>
      <c r="H38" s="1938">
        <f t="shared" si="6"/>
        <v>1657.6293512627544</v>
      </c>
      <c r="I38" s="699">
        <v>1119.9551549057453</v>
      </c>
      <c r="J38" s="699">
        <v>1.9752295500983164</v>
      </c>
      <c r="K38" s="699">
        <v>4.0141761824578674E-2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3" workbookViewId="0">
      <selection activeCell="F20" sqref="F20"/>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45.078417607450753</v>
      </c>
      <c r="M9" s="3323">
        <f>100*C10/SUM(C10,'Table1.A(a)s3'!C16)</f>
        <v>54.921582392549247</v>
      </c>
    </row>
    <row r="10" spans="1:13" ht="18" customHeight="1" thickTop="1" thickBot="1" x14ac:dyDescent="0.25">
      <c r="B10" s="223" t="s">
        <v>603</v>
      </c>
      <c r="C10" s="3303">
        <f>IF(SUM(C11:C13)=0,"NO",SUM(C11:C13))</f>
        <v>94770</v>
      </c>
      <c r="D10" s="3304"/>
      <c r="E10" s="3305"/>
      <c r="F10" s="3305"/>
      <c r="G10" s="3303">
        <f>IF(SUM(G11:G13)=0,"NO",SUM(G11:G13))</f>
        <v>6595.9919999999984</v>
      </c>
      <c r="H10" s="3303">
        <f>IF(SUM(H11:H13)=0,"NO",SUM(H11:H13))</f>
        <v>1.1718295E-2</v>
      </c>
      <c r="I10" s="1154">
        <f>IF(SUM(I11:I13)=0,"NO",SUM(I11:I13))</f>
        <v>3.4517334097368416E-2</v>
      </c>
      <c r="J10" s="4"/>
      <c r="K10" s="68" t="s">
        <v>604</v>
      </c>
      <c r="L10" s="3324">
        <f>100-M10</f>
        <v>49.255364974451275</v>
      </c>
      <c r="M10" s="3325">
        <f>100*C14/SUM(C14,'Table1.A(a)s3'!C88)</f>
        <v>50.744635025548725</v>
      </c>
    </row>
    <row r="11" spans="1:13" ht="18" customHeight="1" x14ac:dyDescent="0.2">
      <c r="B11" s="1257" t="s">
        <v>293</v>
      </c>
      <c r="C11" s="3306">
        <v>94770</v>
      </c>
      <c r="D11" s="116">
        <f>IF(G11="NO","NA",G11*1000/$C11)</f>
        <v>69.59999999999998</v>
      </c>
      <c r="E11" s="116">
        <f t="shared" ref="E11:F13" si="0">IF(H11="NO","NA",H11*1000000/$C11)</f>
        <v>0.12364983644613274</v>
      </c>
      <c r="F11" s="116">
        <f t="shared" si="0"/>
        <v>0.36422215993846596</v>
      </c>
      <c r="G11" s="3041">
        <v>6595.9919999999984</v>
      </c>
      <c r="H11" s="3041">
        <v>1.1718295E-2</v>
      </c>
      <c r="I11" s="3042">
        <v>3.4517334097368416E-2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34920</v>
      </c>
      <c r="D14" s="3313"/>
      <c r="E14" s="3314"/>
      <c r="F14" s="3315"/>
      <c r="G14" s="3387">
        <f>IF(SUM(G15:G18,G20:G22)=0,"NO",SUM(G15:G18,G20:G22))</f>
        <v>2545.951</v>
      </c>
      <c r="H14" s="3387">
        <f>IF(SUM(H15:H18,H20:H22)=0,"NO",SUM(H15:H18,H20:H22))</f>
        <v>0.24443999999999999</v>
      </c>
      <c r="I14" s="4428">
        <f>IF(SUM(I15:I18,I20:I22)=0,"NO",SUM(I15:I18,I20:I22))</f>
        <v>6.9839999999999999E-2</v>
      </c>
      <c r="J14" s="4"/>
      <c r="K14" s="1045"/>
      <c r="L14" s="1045"/>
      <c r="M14" s="1045"/>
    </row>
    <row r="15" spans="1:13" ht="18" customHeight="1" x14ac:dyDescent="0.2">
      <c r="B15" s="1259" t="s">
        <v>306</v>
      </c>
      <c r="C15" s="143">
        <v>28390</v>
      </c>
      <c r="D15" s="116">
        <f>IF(G15="NO","NA",G15*1000/$C15)</f>
        <v>73.599999999999994</v>
      </c>
      <c r="E15" s="116">
        <f t="shared" ref="E15:F17" si="1">IF(H15="NO","NA",H15*1000000/$C15)</f>
        <v>7.0000000000000009</v>
      </c>
      <c r="F15" s="116">
        <f t="shared" si="1"/>
        <v>2.0000000000000004</v>
      </c>
      <c r="G15" s="3043">
        <v>2089.5039999999999</v>
      </c>
      <c r="H15" s="3043">
        <v>0.19873000000000002</v>
      </c>
      <c r="I15" s="135">
        <v>5.6780000000000004E-2</v>
      </c>
      <c r="J15" s="4"/>
      <c r="K15" s="1045"/>
      <c r="L15" s="1045"/>
      <c r="M15" s="1045"/>
    </row>
    <row r="16" spans="1:13" ht="18" customHeight="1" x14ac:dyDescent="0.2">
      <c r="B16" s="1259" t="s">
        <v>307</v>
      </c>
      <c r="C16" s="3316">
        <v>6530</v>
      </c>
      <c r="D16" s="116">
        <f>IF(G16="NO","NA",G16*1000/$C16)</f>
        <v>69.900000000000006</v>
      </c>
      <c r="E16" s="116">
        <f t="shared" si="1"/>
        <v>6.9999999999999973</v>
      </c>
      <c r="F16" s="116">
        <f t="shared" si="1"/>
        <v>2</v>
      </c>
      <c r="G16" s="3043">
        <v>456.44700000000006</v>
      </c>
      <c r="H16" s="3043">
        <v>4.5709999999999987E-2</v>
      </c>
      <c r="I16" s="135">
        <v>1.306E-2</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21073.538601312313</v>
      </c>
      <c r="D10" s="2923">
        <f t="shared" ref="D10:N10" si="0">IF(SUM(D11,D16,D27,D35,D39,D45,D52,D57)=0,"NO",SUM(D11,D16,D27,D35,D39,D45,D52,D57))</f>
        <v>3.933880206206898</v>
      </c>
      <c r="E10" s="2923">
        <f t="shared" si="0"/>
        <v>5.3797144649726709</v>
      </c>
      <c r="F10" s="2923">
        <f t="shared" si="0"/>
        <v>426.82299941723301</v>
      </c>
      <c r="G10" s="2923">
        <f t="shared" si="0"/>
        <v>1104.5946842688734</v>
      </c>
      <c r="H10" s="2923" t="str">
        <f t="shared" si="0"/>
        <v>NO</v>
      </c>
      <c r="I10" s="2923">
        <f t="shared" si="0"/>
        <v>1.1700572754966308E-2</v>
      </c>
      <c r="J10" s="2923" t="str">
        <f t="shared" si="0"/>
        <v>NO</v>
      </c>
      <c r="K10" s="2923">
        <f t="shared" si="0"/>
        <v>43.721525637951594</v>
      </c>
      <c r="L10" s="2924">
        <f t="shared" si="0"/>
        <v>11.645795811283044</v>
      </c>
      <c r="M10" s="2925">
        <f t="shared" si="0"/>
        <v>227.55644350992225</v>
      </c>
      <c r="N10" s="2926">
        <f t="shared" si="0"/>
        <v>1186.9258310473886</v>
      </c>
      <c r="O10" s="3002">
        <f t="shared" ref="O10:O58" si="1">IF(SUM(C10:J10)=0,"NO",SUM(C10,F10:H10)+28*SUM(D10)+265*SUM(E10)+23500*SUM(I10)+16100*SUM(J10))</f>
        <v>24415.692723731678</v>
      </c>
    </row>
    <row r="11" spans="1:15" ht="18" customHeight="1" x14ac:dyDescent="0.2">
      <c r="B11" s="1262" t="s">
        <v>621</v>
      </c>
      <c r="C11" s="2163">
        <f>IF(SUM(C12:C15)=0,"NO",SUM(C12:C15))</f>
        <v>5977.0239216720511</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5977.0239216720511</v>
      </c>
    </row>
    <row r="12" spans="1:15" ht="18" customHeight="1" x14ac:dyDescent="0.2">
      <c r="B12" s="1263" t="s">
        <v>622</v>
      </c>
      <c r="C12" s="2930">
        <f>'Table2(I).A-H'!H11</f>
        <v>3184.5890560000007</v>
      </c>
      <c r="D12" s="2162"/>
      <c r="E12" s="2162"/>
      <c r="F12" s="615"/>
      <c r="G12" s="615"/>
      <c r="H12" s="2161"/>
      <c r="I12" s="615"/>
      <c r="J12" s="2161"/>
      <c r="K12" s="2161"/>
      <c r="L12" s="2161"/>
      <c r="M12" s="2161"/>
      <c r="N12" s="2929" t="s">
        <v>199</v>
      </c>
      <c r="O12" s="2943">
        <f t="shared" si="1"/>
        <v>3184.5890560000007</v>
      </c>
    </row>
    <row r="13" spans="1:15" ht="18" customHeight="1" x14ac:dyDescent="0.2">
      <c r="B13" s="1263" t="s">
        <v>623</v>
      </c>
      <c r="C13" s="1884">
        <f>'Table2(I).A-H'!H12</f>
        <v>1112.1326126379163</v>
      </c>
      <c r="D13" s="2135"/>
      <c r="E13" s="2135"/>
      <c r="F13" s="615"/>
      <c r="G13" s="615"/>
      <c r="H13" s="2161"/>
      <c r="I13" s="615"/>
      <c r="J13" s="2161"/>
      <c r="K13" s="615"/>
      <c r="L13" s="615"/>
      <c r="M13" s="615"/>
      <c r="N13" s="1842"/>
      <c r="O13" s="1887">
        <f t="shared" si="1"/>
        <v>1112.1326126379163</v>
      </c>
    </row>
    <row r="14" spans="1:15" ht="18" customHeight="1" x14ac:dyDescent="0.2">
      <c r="B14" s="1263" t="s">
        <v>624</v>
      </c>
      <c r="C14" s="1884">
        <f>'Table2(I).A-H'!H13</f>
        <v>104.12136476796742</v>
      </c>
      <c r="D14" s="2135"/>
      <c r="E14" s="2135"/>
      <c r="F14" s="615"/>
      <c r="G14" s="615"/>
      <c r="H14" s="2161"/>
      <c r="I14" s="615"/>
      <c r="J14" s="2161"/>
      <c r="K14" s="615"/>
      <c r="L14" s="615"/>
      <c r="M14" s="615"/>
      <c r="N14" s="1842"/>
      <c r="O14" s="1887">
        <f t="shared" si="1"/>
        <v>104.12136476796742</v>
      </c>
    </row>
    <row r="15" spans="1:15" ht="18" customHeight="1" thickBot="1" x14ac:dyDescent="0.25">
      <c r="B15" s="1263" t="s">
        <v>625</v>
      </c>
      <c r="C15" s="1884">
        <f>'Table2(I).A-H'!H14</f>
        <v>1576.1808882661664</v>
      </c>
      <c r="D15" s="1885"/>
      <c r="E15" s="1885"/>
      <c r="F15" s="3003"/>
      <c r="G15" s="3003"/>
      <c r="H15" s="3003"/>
      <c r="I15" s="3003"/>
      <c r="J15" s="3003"/>
      <c r="K15" s="2622" t="s">
        <v>199</v>
      </c>
      <c r="L15" s="2622" t="s">
        <v>199</v>
      </c>
      <c r="M15" s="2622" t="s">
        <v>199</v>
      </c>
      <c r="N15" s="2623" t="s">
        <v>199</v>
      </c>
      <c r="O15" s="1887">
        <f t="shared" si="1"/>
        <v>1576.1808882661664</v>
      </c>
    </row>
    <row r="16" spans="1:15" ht="18" customHeight="1" x14ac:dyDescent="0.2">
      <c r="B16" s="1264" t="s">
        <v>626</v>
      </c>
      <c r="C16" s="2163">
        <f>IF(SUM(C17:C26)=0,"NO",SUM(C17:C26))</f>
        <v>1420.3346702602551</v>
      </c>
      <c r="D16" s="2163">
        <f t="shared" ref="D16:N16" si="3">IF(SUM(D17:D26)=0,"NO",SUM(D17:D26))</f>
        <v>0.56978379999999995</v>
      </c>
      <c r="E16" s="2163">
        <f t="shared" si="3"/>
        <v>5.2946687564516139</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5.9733937669999992</v>
      </c>
      <c r="N16" s="2928" t="str">
        <f t="shared" si="3"/>
        <v>NO</v>
      </c>
      <c r="O16" s="2950">
        <f t="shared" si="1"/>
        <v>2839.3758371199328</v>
      </c>
    </row>
    <row r="17" spans="2:15" ht="18" customHeight="1" x14ac:dyDescent="0.2">
      <c r="B17" s="1265" t="s">
        <v>627</v>
      </c>
      <c r="C17" s="2930">
        <f>'Table2(I).A-H'!H23</f>
        <v>572.12524874279961</v>
      </c>
      <c r="D17" s="2165" t="str">
        <f>'Table2(I).A-H'!I23</f>
        <v>NO</v>
      </c>
      <c r="E17" s="2165" t="str">
        <f>'Table2(I).A-H'!J23</f>
        <v>NO</v>
      </c>
      <c r="F17" s="2161"/>
      <c r="G17" s="2161"/>
      <c r="H17" s="2161"/>
      <c r="I17" s="2161"/>
      <c r="J17" s="2161"/>
      <c r="K17" s="700" t="s">
        <v>199</v>
      </c>
      <c r="L17" s="700" t="s">
        <v>199</v>
      </c>
      <c r="M17" s="700" t="s">
        <v>199</v>
      </c>
      <c r="N17" s="700" t="s">
        <v>199</v>
      </c>
      <c r="O17" s="2943">
        <f t="shared" si="1"/>
        <v>572.12524874279961</v>
      </c>
    </row>
    <row r="18" spans="2:15" ht="18" customHeight="1" x14ac:dyDescent="0.2">
      <c r="B18" s="1263" t="s">
        <v>628</v>
      </c>
      <c r="C18" s="1935"/>
      <c r="D18" s="2162"/>
      <c r="E18" s="2165">
        <f>'Table2(I).A-H'!J24</f>
        <v>5.2946687564516139</v>
      </c>
      <c r="F18" s="615"/>
      <c r="G18" s="615"/>
      <c r="H18" s="2161"/>
      <c r="I18" s="615"/>
      <c r="J18" s="2161"/>
      <c r="K18" s="700" t="s">
        <v>199</v>
      </c>
      <c r="L18" s="615"/>
      <c r="M18" s="615"/>
      <c r="N18" s="1842"/>
      <c r="O18" s="2943">
        <f t="shared" si="1"/>
        <v>1403.0872204596776</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699.90673298636432</v>
      </c>
      <c r="D22" s="1939"/>
      <c r="E22" s="615"/>
      <c r="F22" s="615"/>
      <c r="G22" s="615"/>
      <c r="H22" s="2161"/>
      <c r="I22" s="615"/>
      <c r="J22" s="2161"/>
      <c r="K22" s="1939"/>
      <c r="L22" s="1939"/>
      <c r="M22" s="1939"/>
      <c r="N22" s="2931"/>
      <c r="O22" s="1887">
        <f t="shared" si="1"/>
        <v>699.90673298636432</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46.86107299999999</v>
      </c>
      <c r="D24" s="1884">
        <f>'Table2(I).A-H'!I35</f>
        <v>0.56978379999999995</v>
      </c>
      <c r="E24" s="615"/>
      <c r="F24" s="615"/>
      <c r="G24" s="615"/>
      <c r="H24" s="2161"/>
      <c r="I24" s="615"/>
      <c r="J24" s="2161"/>
      <c r="K24" s="700" t="s">
        <v>199</v>
      </c>
      <c r="L24" s="700" t="s">
        <v>199</v>
      </c>
      <c r="M24" s="699">
        <v>5.9733937669999992</v>
      </c>
      <c r="N24" s="700" t="s">
        <v>199</v>
      </c>
      <c r="O24" s="1887">
        <f t="shared" si="1"/>
        <v>62.81501939999999</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101.44161553109122</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101.44161553109122</v>
      </c>
    </row>
    <row r="27" spans="2:15" ht="18" customHeight="1" x14ac:dyDescent="0.2">
      <c r="B27" s="1262" t="s">
        <v>637</v>
      </c>
      <c r="C27" s="2163">
        <f>IF(SUM(C28:C34)=0,"NO",SUM(C28:C34))</f>
        <v>13255.058139770597</v>
      </c>
      <c r="D27" s="2163">
        <f t="shared" ref="D27:N27" si="4">IF(SUM(D28:D34)=0,"NO",SUM(D28:D34))</f>
        <v>3.3640964062068983</v>
      </c>
      <c r="E27" s="2163">
        <f t="shared" si="4"/>
        <v>8.5045708521057403E-2</v>
      </c>
      <c r="F27" s="2164" t="str">
        <f t="shared" si="4"/>
        <v>NO</v>
      </c>
      <c r="G27" s="2164">
        <f t="shared" si="4"/>
        <v>1104.5946842688734</v>
      </c>
      <c r="H27" s="2164" t="str">
        <f t="shared" si="4"/>
        <v>NO</v>
      </c>
      <c r="I27" s="2164">
        <f t="shared" si="4"/>
        <v>2.5000000000000001E-4</v>
      </c>
      <c r="J27" s="2164" t="str">
        <f t="shared" si="4"/>
        <v>NO</v>
      </c>
      <c r="K27" s="2163">
        <f t="shared" si="4"/>
        <v>43.721525637951594</v>
      </c>
      <c r="L27" s="2163">
        <f t="shared" si="4"/>
        <v>11.645795811283044</v>
      </c>
      <c r="M27" s="2927">
        <f t="shared" si="4"/>
        <v>0.10586983206691467</v>
      </c>
      <c r="N27" s="2928">
        <f t="shared" si="4"/>
        <v>1186.9258310473886</v>
      </c>
      <c r="O27" s="2950">
        <f t="shared" si="1"/>
        <v>14482.259636171344</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2339.35665735353</v>
      </c>
      <c r="D30" s="1885"/>
      <c r="E30" s="615"/>
      <c r="F30" s="615"/>
      <c r="G30" s="2166">
        <f>SUM('Table2(II)'!X41:Y41)</f>
        <v>1104.5946842688734</v>
      </c>
      <c r="H30" s="2162"/>
      <c r="I30" s="2168" t="s">
        <v>199</v>
      </c>
      <c r="J30" s="2161"/>
      <c r="K30" s="699" t="s">
        <v>205</v>
      </c>
      <c r="L30" s="699" t="s">
        <v>205</v>
      </c>
      <c r="M30" s="699" t="s">
        <v>205</v>
      </c>
      <c r="N30" s="2921">
        <v>35.628299999999989</v>
      </c>
      <c r="O30" s="1887">
        <f t="shared" si="1"/>
        <v>3443.9513416224036</v>
      </c>
    </row>
    <row r="31" spans="2:15" ht="18" customHeight="1" x14ac:dyDescent="0.2">
      <c r="B31" s="1266" t="s">
        <v>641</v>
      </c>
      <c r="C31" s="1884" t="str">
        <f>'Table2(I).A-H'!H64</f>
        <v>NA</v>
      </c>
      <c r="D31" s="2169"/>
      <c r="E31" s="2135"/>
      <c r="F31" s="2165" t="s">
        <v>199</v>
      </c>
      <c r="G31" s="2165" t="s">
        <v>199</v>
      </c>
      <c r="H31" s="2165" t="s">
        <v>199</v>
      </c>
      <c r="I31" s="3004">
        <f>IFERROR('Table2(II).B-Hs1'!G28/1000,'Table2(II).B-Hs1'!G28)</f>
        <v>2.5000000000000001E-4</v>
      </c>
      <c r="J31" s="2161"/>
      <c r="K31" s="699" t="s">
        <v>205</v>
      </c>
      <c r="L31" s="699" t="s">
        <v>205</v>
      </c>
      <c r="M31" s="699" t="s">
        <v>205</v>
      </c>
      <c r="N31" s="2921" t="s">
        <v>205</v>
      </c>
      <c r="O31" s="2171">
        <f t="shared" si="1"/>
        <v>5.875</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10915.701482417067</v>
      </c>
      <c r="D34" s="1888">
        <f>'Table2(I).A-H'!I67</f>
        <v>3.3640964062068983</v>
      </c>
      <c r="E34" s="1888">
        <f>'Table2(I).A-H'!J67</f>
        <v>8.5045708521057403E-2</v>
      </c>
      <c r="F34" s="2172" t="s">
        <v>199</v>
      </c>
      <c r="G34" s="2172" t="s">
        <v>199</v>
      </c>
      <c r="H34" s="2172" t="s">
        <v>199</v>
      </c>
      <c r="I34" s="2172" t="s">
        <v>199</v>
      </c>
      <c r="J34" s="2172" t="s">
        <v>199</v>
      </c>
      <c r="K34" s="2622">
        <v>43.721525637951594</v>
      </c>
      <c r="L34" s="2622">
        <v>11.645795811283044</v>
      </c>
      <c r="M34" s="2622">
        <v>0.10586983206691467</v>
      </c>
      <c r="N34" s="2623">
        <v>1151.2975310473885</v>
      </c>
      <c r="O34" s="1890">
        <f t="shared" si="1"/>
        <v>11032.43329454894</v>
      </c>
    </row>
    <row r="35" spans="2:15" ht="18" customHeight="1" x14ac:dyDescent="0.2">
      <c r="B35" s="2489" t="s">
        <v>645</v>
      </c>
      <c r="C35" s="2930">
        <f>IF(SUM(C36:C38)=0,"NO",SUM(C36:C38))</f>
        <v>278.53303650000004</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164.99153641085533</v>
      </c>
      <c r="N35" s="2077" t="str">
        <f t="shared" ref="N35" si="7">IF(SUM(N36:N38)=0,"NO",SUM(N36:N38))</f>
        <v>NO</v>
      </c>
      <c r="O35" s="2943">
        <f t="shared" si="1"/>
        <v>278.53303650000004</v>
      </c>
    </row>
    <row r="36" spans="2:15" ht="18" customHeight="1" x14ac:dyDescent="0.2">
      <c r="B36" s="1269" t="s">
        <v>646</v>
      </c>
      <c r="C36" s="1884">
        <f>'Table2(I).A-H'!H73</f>
        <v>278.53303650000004</v>
      </c>
      <c r="D36" s="2166" t="str">
        <f>'Table2(I).A-H'!I73</f>
        <v>NO</v>
      </c>
      <c r="E36" s="2166" t="str">
        <f>'Table2(I).A-H'!J73</f>
        <v>NO</v>
      </c>
      <c r="F36" s="615"/>
      <c r="G36" s="615"/>
      <c r="H36" s="2161"/>
      <c r="I36" s="615"/>
      <c r="J36" s="2161"/>
      <c r="K36" s="2173" t="s">
        <v>205</v>
      </c>
      <c r="L36" s="2173" t="s">
        <v>205</v>
      </c>
      <c r="M36" s="699" t="s">
        <v>205</v>
      </c>
      <c r="N36" s="2167" t="s">
        <v>205</v>
      </c>
      <c r="O36" s="1887">
        <f t="shared" si="1"/>
        <v>278.53303650000004</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164.99153641085533</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426.82299941723301</v>
      </c>
      <c r="G45" s="2163" t="str">
        <f t="shared" ref="G45:J45" si="9">IF(SUM(G46:G51)=0,"NO",SUM(G46:G51))</f>
        <v>NO</v>
      </c>
      <c r="H45" s="2930" t="str">
        <f t="shared" si="9"/>
        <v>NO</v>
      </c>
      <c r="I45" s="2930" t="str">
        <f t="shared" si="9"/>
        <v>NO</v>
      </c>
      <c r="J45" s="2165" t="str">
        <f t="shared" si="9"/>
        <v>NO</v>
      </c>
      <c r="K45" s="1955"/>
      <c r="L45" s="1955"/>
      <c r="M45" s="1955"/>
      <c r="N45" s="2178"/>
      <c r="O45" s="2950">
        <f t="shared" si="1"/>
        <v>426.82299941723301</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401.49536855166815</v>
      </c>
      <c r="G46" s="1884" t="s">
        <v>199</v>
      </c>
      <c r="H46" s="1884" t="s">
        <v>199</v>
      </c>
      <c r="I46" s="1884" t="s">
        <v>199</v>
      </c>
      <c r="J46" s="2165" t="str">
        <f t="shared" ref="J46" si="10">IF(SUM(J47:J52)=0,"NO",SUM(J47:J52))</f>
        <v>NO</v>
      </c>
      <c r="K46" s="615"/>
      <c r="L46" s="615"/>
      <c r="M46" s="615"/>
      <c r="N46" s="1842"/>
      <c r="O46" s="1887">
        <f t="shared" si="1"/>
        <v>401.49536855166815</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9.8879355142101026</v>
      </c>
      <c r="G47" s="1884" t="s">
        <v>199</v>
      </c>
      <c r="H47" s="1884" t="s">
        <v>199</v>
      </c>
      <c r="I47" s="1884" t="s">
        <v>199</v>
      </c>
      <c r="J47" s="2165" t="str">
        <f t="shared" ref="J47" si="11">IF(SUM(J48:J53)=0,"NO",SUM(J48:J53))</f>
        <v>NO</v>
      </c>
      <c r="K47" s="615"/>
      <c r="L47" s="615"/>
      <c r="M47" s="615"/>
      <c r="N47" s="1842"/>
      <c r="O47" s="1887">
        <f t="shared" si="1"/>
        <v>9.8879355142101026</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1.4993537148210452</v>
      </c>
      <c r="G48" s="1884" t="s">
        <v>199</v>
      </c>
      <c r="H48" s="1884" t="s">
        <v>199</v>
      </c>
      <c r="I48" s="1884" t="s">
        <v>199</v>
      </c>
      <c r="J48" s="2165" t="str">
        <f t="shared" ref="J48" si="12">IF(SUM(J49:J54)=0,"NO",SUM(J49:J54))</f>
        <v>NO</v>
      </c>
      <c r="K48" s="615"/>
      <c r="L48" s="615"/>
      <c r="M48" s="615"/>
      <c r="N48" s="1842"/>
      <c r="O48" s="1887">
        <f t="shared" si="1"/>
        <v>1.4993537148210452</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1.0159500524764017E-2</v>
      </c>
      <c r="G49" s="1884" t="s">
        <v>199</v>
      </c>
      <c r="H49" s="1884" t="s">
        <v>199</v>
      </c>
      <c r="I49" s="1884" t="s">
        <v>199</v>
      </c>
      <c r="J49" s="2165" t="str">
        <f t="shared" ref="J49" si="13">IF(SUM(J50:J55)=0,"NO",SUM(J50:J55))</f>
        <v>NO</v>
      </c>
      <c r="K49" s="615"/>
      <c r="L49" s="615"/>
      <c r="M49" s="615"/>
      <c r="N49" s="1842"/>
      <c r="O49" s="1887">
        <f t="shared" si="1"/>
        <v>1.0159500524764017E-2</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13.930182136008968</v>
      </c>
      <c r="G50" s="1884" t="s">
        <v>199</v>
      </c>
      <c r="H50" s="1884" t="s">
        <v>199</v>
      </c>
      <c r="I50" s="1884" t="s">
        <v>199</v>
      </c>
      <c r="J50" s="2165" t="str">
        <f t="shared" ref="J50" si="14">IF(SUM(J51:J56)=0,"NO",SUM(J51:J56))</f>
        <v>NO</v>
      </c>
      <c r="K50" s="615"/>
      <c r="L50" s="615"/>
      <c r="M50" s="615"/>
      <c r="N50" s="1842"/>
      <c r="O50" s="1887">
        <f t="shared" si="1"/>
        <v>13.930182136008968</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1.1450572754966307E-2</v>
      </c>
      <c r="J52" s="2165" t="str">
        <f t="shared" si="16"/>
        <v>NO</v>
      </c>
      <c r="K52" s="2165" t="str">
        <f t="shared" si="16"/>
        <v>NO</v>
      </c>
      <c r="L52" s="2165" t="str">
        <f t="shared" si="16"/>
        <v>NO</v>
      </c>
      <c r="M52" s="2165" t="str">
        <f t="shared" si="16"/>
        <v>NO</v>
      </c>
      <c r="N52" s="2077" t="str">
        <f t="shared" si="16"/>
        <v>NO</v>
      </c>
      <c r="O52" s="2943">
        <f t="shared" si="1"/>
        <v>269.08845974170822</v>
      </c>
    </row>
    <row r="53" spans="2:15" ht="18" customHeight="1" x14ac:dyDescent="0.2">
      <c r="B53" s="1269" t="s">
        <v>663</v>
      </c>
      <c r="C53" s="2161"/>
      <c r="D53" s="2161"/>
      <c r="E53" s="2161"/>
      <c r="F53" s="2930" t="s">
        <v>199</v>
      </c>
      <c r="G53" s="2930" t="s">
        <v>199</v>
      </c>
      <c r="H53" s="2930" t="s">
        <v>199</v>
      </c>
      <c r="I53" s="2930">
        <f>SUM('Table2(II).B-Hs2'!J163:M163)/1000</f>
        <v>1.081813208660347E-2</v>
      </c>
      <c r="J53" s="2930" t="s">
        <v>199</v>
      </c>
      <c r="K53" s="2161"/>
      <c r="L53" s="2161"/>
      <c r="M53" s="2161"/>
      <c r="N53" s="2174"/>
      <c r="O53" s="2943">
        <f t="shared" si="1"/>
        <v>254.22610403518155</v>
      </c>
    </row>
    <row r="54" spans="2:15" ht="18" customHeight="1" x14ac:dyDescent="0.2">
      <c r="B54" s="1269" t="s">
        <v>664</v>
      </c>
      <c r="C54" s="2161"/>
      <c r="D54" s="2161"/>
      <c r="E54" s="2161"/>
      <c r="F54" s="2161"/>
      <c r="G54" s="2930" t="s">
        <v>199</v>
      </c>
      <c r="H54" s="3007"/>
      <c r="I54" s="2930">
        <f>SUM('Table2(II).B-Hs2'!J165:M165)/1000</f>
        <v>6.324406683628379E-4</v>
      </c>
      <c r="J54" s="2161"/>
      <c r="K54" s="2161"/>
      <c r="L54" s="2161"/>
      <c r="M54" s="2161"/>
      <c r="N54" s="2174"/>
      <c r="O54" s="2943">
        <f t="shared" si="1"/>
        <v>14.86235570652669</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142.58883310941064</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56.485643499999995</v>
      </c>
      <c r="N57" s="2100" t="str">
        <f>N58</f>
        <v>NA</v>
      </c>
      <c r="O57" s="2950">
        <f t="shared" si="1"/>
        <v>142.58883310941064</v>
      </c>
    </row>
    <row r="58" spans="2:15" ht="18" customHeight="1" thickBot="1" x14ac:dyDescent="0.25">
      <c r="B58" s="2613" t="s">
        <v>668</v>
      </c>
      <c r="C58" s="2517">
        <f>'Table2(I).A-H'!H98</f>
        <v>142.58883310941064</v>
      </c>
      <c r="D58" s="2517" t="str">
        <f>'Table2(I).A-H'!I98</f>
        <v>NO</v>
      </c>
      <c r="E58" s="2517" t="str">
        <f>'Table2(I).A-H'!J98</f>
        <v>NO</v>
      </c>
      <c r="F58" s="2517" t="s">
        <v>199</v>
      </c>
      <c r="G58" s="2517" t="s">
        <v>199</v>
      </c>
      <c r="H58" s="2517" t="s">
        <v>199</v>
      </c>
      <c r="I58" s="2517" t="s">
        <v>199</v>
      </c>
      <c r="J58" s="2517" t="s">
        <v>199</v>
      </c>
      <c r="K58" s="2922" t="s">
        <v>205</v>
      </c>
      <c r="L58" s="2922" t="s">
        <v>205</v>
      </c>
      <c r="M58" s="2922">
        <v>56.485643499999995</v>
      </c>
      <c r="N58" s="2932" t="s">
        <v>205</v>
      </c>
      <c r="O58" s="2935">
        <f t="shared" si="1"/>
        <v>142.58883310941064</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2.0105457352160915E-2</v>
      </c>
      <c r="D10" s="4431">
        <f t="shared" ref="D10:X10" si="0">IF(SUM(D11,D16,D20,D26,D33,D37)=0,"NO",SUM(D11,D16,D20,D26,D33,D37))</f>
        <v>3.1424492005699225</v>
      </c>
      <c r="E10" s="4431" t="str">
        <f t="shared" si="0"/>
        <v>NO</v>
      </c>
      <c r="F10" s="4431">
        <f t="shared" si="0"/>
        <v>4.6651440054862083E-2</v>
      </c>
      <c r="G10" s="4431">
        <f t="shared" si="0"/>
        <v>56.872675614585617</v>
      </c>
      <c r="H10" s="4431">
        <f t="shared" si="0"/>
        <v>6.3674840356908999E-2</v>
      </c>
      <c r="I10" s="4431">
        <f t="shared" si="0"/>
        <v>162.62298487470693</v>
      </c>
      <c r="J10" s="4431" t="str">
        <f t="shared" si="0"/>
        <v>NO</v>
      </c>
      <c r="K10" s="4431">
        <f t="shared" si="0"/>
        <v>5.4437334074882937</v>
      </c>
      <c r="L10" s="2073" t="str">
        <f t="shared" si="0"/>
        <v>NO</v>
      </c>
      <c r="M10" s="2073" t="str">
        <f t="shared" si="0"/>
        <v>NO</v>
      </c>
      <c r="N10" s="2073" t="str">
        <f t="shared" si="0"/>
        <v>NO</v>
      </c>
      <c r="O10" s="4431">
        <f t="shared" si="0"/>
        <v>1.9313770656210396</v>
      </c>
      <c r="P10" s="2073" t="str">
        <f t="shared" si="0"/>
        <v>NO</v>
      </c>
      <c r="Q10" s="2073" t="str">
        <f t="shared" si="0"/>
        <v>NO</v>
      </c>
      <c r="R10" s="2073">
        <f t="shared" si="0"/>
        <v>2.0687082637072408E-4</v>
      </c>
      <c r="S10" s="2073" t="str">
        <f t="shared" si="0"/>
        <v>NO</v>
      </c>
      <c r="T10" s="2073" t="str">
        <f t="shared" si="0"/>
        <v>NO</v>
      </c>
      <c r="U10" s="2073" t="str">
        <f t="shared" si="0"/>
        <v>NO</v>
      </c>
      <c r="V10" s="2074" t="str">
        <f t="shared" si="0"/>
        <v>NO</v>
      </c>
      <c r="W10" s="2075"/>
      <c r="X10" s="2073">
        <f t="shared" si="0"/>
        <v>136.85023682504996</v>
      </c>
      <c r="Y10" s="4431">
        <f t="shared" ref="Y10" si="1">IF(SUM(Y11,Y16,Y20,Y26,Y33,Y37)=0,"NO",SUM(Y11,Y16,Y20,Y26,Y33,Y37))</f>
        <v>17.772758028719998</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11.700572754966307</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136.85023682504996</v>
      </c>
      <c r="Y16" s="4432">
        <f t="shared" ref="Y16" si="35">IF(SUM(Y17:Y19)=0,"NO",SUM(Y17:Y19))</f>
        <v>17.772758028719998</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f t="shared" ref="AJ16" si="44">IF(SUM(AJ17:AJ19)=0,"NO",SUM(AJ17:AJ19))</f>
        <v>0.25</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136.85023682504996</v>
      </c>
      <c r="Y17" s="4432">
        <f>'Table2(II).B-Hs1'!G26</f>
        <v>17.772758028719998</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f>'Table2(II).B-Hs1'!G28</f>
        <v>0.25</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2.0105457352160915E-2</v>
      </c>
      <c r="D26" s="4430">
        <f t="shared" ref="D26:AK26" si="58">IF(SUM(D27:D32)=0,"NO",SUM(D27:D32))</f>
        <v>3.1424492005699225</v>
      </c>
      <c r="E26" s="2097" t="str">
        <f t="shared" si="58"/>
        <v>NO</v>
      </c>
      <c r="F26" s="2097">
        <f t="shared" si="58"/>
        <v>4.6651440054862083E-2</v>
      </c>
      <c r="G26" s="4430">
        <f t="shared" si="58"/>
        <v>56.872675614585617</v>
      </c>
      <c r="H26" s="4430">
        <f t="shared" si="58"/>
        <v>6.3674840356908999E-2</v>
      </c>
      <c r="I26" s="4430">
        <f t="shared" si="58"/>
        <v>162.62298487470693</v>
      </c>
      <c r="J26" s="4430" t="str">
        <f t="shared" si="58"/>
        <v>NO</v>
      </c>
      <c r="K26" s="4430">
        <f t="shared" si="58"/>
        <v>5.4437334074882937</v>
      </c>
      <c r="L26" s="2097" t="str">
        <f t="shared" si="58"/>
        <v>NO</v>
      </c>
      <c r="M26" s="2097" t="str">
        <f t="shared" si="58"/>
        <v>NO</v>
      </c>
      <c r="N26" s="2097" t="str">
        <f t="shared" si="58"/>
        <v>NO</v>
      </c>
      <c r="O26" s="4430">
        <f t="shared" si="58"/>
        <v>1.9313770656210396</v>
      </c>
      <c r="P26" s="2097" t="str">
        <f t="shared" si="58"/>
        <v>NO</v>
      </c>
      <c r="Q26" s="2097" t="str">
        <f t="shared" si="58"/>
        <v>NO</v>
      </c>
      <c r="R26" s="2097">
        <f t="shared" si="58"/>
        <v>2.0687082637072408E-4</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1.8912401675934089E-2</v>
      </c>
      <c r="D27" s="4431">
        <f>IF(SUM('Table2(II).B-Hs2'!J14:M14,'Table2(II).B-Hs2'!J27:M27,'Table2(II).B-Hs2'!J40:M40,'Table2(II).B-Hs2'!J53:M53,'Table2(II).B-Hs2'!J66:M66,'Table2(II).B-Hs2'!J79:M79)=0,"NO",SUM('Table2(II).B-Hs2'!J14:M14,'Table2(II).B-Hs2'!J27:M27,'Table2(II).B-Hs2'!J40:M40,'Table2(II).B-Hs2'!J53:M53,'Table2(II).B-Hs2'!J66:M66,'Table2(II).B-Hs2'!J79:M79))</f>
        <v>2.9559766030892467</v>
      </c>
      <c r="E27" s="2073" t="s">
        <v>199</v>
      </c>
      <c r="F27" s="2073">
        <f>IF(SUM('Table2(II).B-Hs2'!J15:M15,'Table2(II).B-Hs2'!J28:M28,'Table2(II).B-Hs2'!J41:M41,'Table2(II).B-Hs2'!J54:M54,'Table2(II).B-Hs2'!J67:M67,'Table2(II).B-Hs2'!J80:M80)=0,"NO",SUM('Table2(II).B-Hs2'!J15:M15,'Table2(II).B-Hs2'!J28:M28,'Table2(II).B-Hs2'!J41:M41,'Table2(II).B-Hs2'!J54:M54,'Table2(II).B-Hs2'!J67:M67,'Table2(II).B-Hs2'!J80:M80))</f>
        <v>4.3883148621012821E-2</v>
      </c>
      <c r="G27" s="4431">
        <f>IF(SUM('Table2(II).B-Hs2'!J16:M16,'Table2(II).B-Hs2'!J29:M29,'Table2(II).B-Hs2'!J42:M42,'Table2(II).B-Hs2'!J55:M55,'Table2(II).B-Hs2'!J68:M68,'Table2(II).B-Hs2'!J81:M81)=0,"NO",SUM('Table2(II).B-Hs2'!J16:M16,'Table2(II).B-Hs2'!J29:M29,'Table2(II).B-Hs2'!J42:M42,'Table2(II).B-Hs2'!J55:M55,'Table2(II).B-Hs2'!J68:M68,'Table2(II).B-Hs2'!J81:M81))</f>
        <v>53.497857162276411</v>
      </c>
      <c r="H27" s="4431">
        <f>IF(SUM('Table2(II).B-Hs2'!J17:M17,'Table2(II).B-Hs2'!J30:M30,'Table2(II).B-Hs2'!J43:M43,'Table2(II).B-Hs2'!J56:M56,'Table2(II).B-Hs2'!J69:M69,'Table2(II).B-Hs2'!J82:M82)=0,"NO",SUM('Table2(II).B-Hs2'!J17:M17,'Table2(II).B-Hs2'!J30:M30,'Table2(II).B-Hs2'!J43:M43,'Table2(II).B-Hs2'!J56:M56,'Table2(II).B-Hs2'!J69:M69,'Table2(II).B-Hs2'!J82:M82))</f>
        <v>5.9896382180602836E-2</v>
      </c>
      <c r="I27" s="4431">
        <f>IF(SUM('Table2(II).B-Hs2'!J18:M18,'Table2(II).B-Hs2'!J31:M31,'Table2(II).B-Hs2'!J44:M44,'Table2(II).B-Hs2'!J57:M57,'Table2(II).B-Hs2'!J70:M70,'Table2(II).B-Hs2'!J83:M83)=0,"NO",SUM('Table2(II).B-Hs2'!J18:M18,'Table2(II).B-Hs2'!J31:M31,'Table2(II).B-Hs2'!J44:M44,'Table2(II).B-Hs2'!J57:M57,'Table2(II).B-Hs2'!J70:M70,'Table2(II).B-Hs2'!J83:M83))</f>
        <v>152.97295444807423</v>
      </c>
      <c r="J27" s="4431" t="s">
        <v>199</v>
      </c>
      <c r="K27" s="4431">
        <f>IF(SUM('Table2(II).B-Hs2'!J19:M19,'Table2(II).B-Hs2'!J32:M32,'Table2(II).B-Hs2'!J45:M45,'Table2(II).B-Hs2'!J58:M58,'Table2(II).B-Hs2'!J71:M71,'Table2(II).B-Hs2'!J84:M84)=0,"NO",SUM('Table2(II).B-Hs2'!J19:M19,'Table2(II).B-Hs2'!J32:M32,'Table2(II).B-Hs2'!J45:M45,'Table2(II).B-Hs2'!J58:M58,'Table2(II).B-Hs2'!J71:M71,'Table2(II).B-Hs2'!J84:M84))</f>
        <v>5.1207028527532898</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f>IF(SUM('Table2(II).B-Hs2'!J21:M21,'Table2(II).B-Hs2'!J34:M34,'Table2(II).B-Hs2'!J47:M47,'Table2(II).B-Hs2'!J60:M60,'Table2(II).B-Hs2'!J73:M73,'Table2(II).B-Hs2'!J86:M86)=0,"NO",SUM('Table2(II).B-Hs2'!J21:M21,'Table2(II).B-Hs2'!J34:M34,'Table2(II).B-Hs2'!J47:M47,'Table2(II).B-Hs2'!J60:M60,'Table2(II).B-Hs2'!J73:M73,'Table2(II).B-Hs2'!J86:M86))</f>
        <v>1.8167693583347473</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1.9459513379013228E-4</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4.6577027492263539E-4</v>
      </c>
      <c r="D28" s="4431">
        <f>IF(SUM('Table2(II).B-Hs2'!J93:M93,'Table2(II).B-Hs2'!J106:M106)=0,"NO",SUM('Table2(II).B-Hs2'!J93:M93,'Table2(II).B-Hs2'!J106:M106))</f>
        <v>7.2799111327977631E-2</v>
      </c>
      <c r="E28" s="2073" t="s">
        <v>199</v>
      </c>
      <c r="F28" s="2073">
        <f>IF(SUM('Table2(II).B-Hs2'!J94:M94,'Table2(II).B-Hs2'!J107:M107)=0,"NO",SUM('Table2(II).B-Hs2'!J94:M94,'Table2(II).B-Hs2'!J107:M107))</f>
        <v>1.0807440825291428E-3</v>
      </c>
      <c r="G28" s="4431">
        <f>IF(SUM('Table2(II).B-Hs2'!J95:M95,'Table2(II).B-Hs2'!J108:M108)=0,"NO",SUM('Table2(II).B-Hs2'!J95:M95,'Table2(II).B-Hs2'!J108:M108))</f>
        <v>1.3175329112194669</v>
      </c>
      <c r="H28" s="4431">
        <f>IF(SUM('Table2(II).B-Hs2'!J96:M96,'Table2(II).B-Hs2'!J109:M109)=0,"NO",SUM('Table2(II).B-Hs2'!J96:M96,'Table2(II).B-Hs2'!J109:M109))</f>
        <v>1.4751143124582952E-3</v>
      </c>
      <c r="I28" s="4431">
        <f>IF(SUM('Table2(II).B-Hs2'!J97:M97,'Table2(II).B-Hs2'!J110:M110)=0,"NO",SUM('Table2(II).B-Hs2'!J97:M97,'Table2(II).B-Hs2'!J110:M110))</f>
        <v>3.7673827084411409</v>
      </c>
      <c r="J28" s="4431" t="s">
        <v>199</v>
      </c>
      <c r="K28" s="4431">
        <f>IF(SUM('Table2(II).B-Hs2'!J98:M98,'Table2(II).B-Hs2'!J111:M111)=0,"NO",SUM('Table2(II).B-Hs2'!J98:M98,'Table2(II).B-Hs2'!J111:M111))</f>
        <v>0.12611149109417505</v>
      </c>
      <c r="L28" s="2073" t="s">
        <v>199</v>
      </c>
      <c r="M28" s="2073" t="str">
        <f>IF(SUM('Table2(II).B-Hs2'!J99:M99,'Table2(II).B-Hs2'!J112:M112)=0,"NO",SUM('Table2(II).B-Hs2'!J99:M99,'Table2(II).B-Hs2'!J112:M112))</f>
        <v>NO</v>
      </c>
      <c r="N28" s="2073" t="s">
        <v>199</v>
      </c>
      <c r="O28" s="4431">
        <f>IF(SUM('Table2(II).B-Hs2'!J100:M100,'Table2(II).B-Hs2'!J113:M113)=0,"NO",SUM('Table2(II).B-Hs2'!J100:M100,'Table2(II).B-Hs2'!J113:M113))</f>
        <v>4.4742977544696277E-2</v>
      </c>
      <c r="P28" s="2073" t="s">
        <v>199</v>
      </c>
      <c r="Q28" s="2073" t="s">
        <v>199</v>
      </c>
      <c r="R28" s="2073">
        <f>IF(SUM('Table2(II).B-Hs2'!J101:M101,'Table2(II).B-Hs2'!J114:M114)=0,"NO",SUM('Table2(II).B-Hs2'!J101:M101,'Table2(II).B-Hs2'!J114:M114))</f>
        <v>4.7924441600334486E-6</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7.0626916099407946E-5</v>
      </c>
      <c r="D29" s="4431">
        <f>IF(SUM('Table2(II).B-Hs2'!J119:M119)=0,"NO",SUM('Table2(II).B-Hs2'!J119:M119))</f>
        <v>1.1038868310620618E-2</v>
      </c>
      <c r="E29" s="2073" t="s">
        <v>199</v>
      </c>
      <c r="F29" s="2073">
        <f>IF(SUM('Table2(II).B-Hs2'!J120:M120)=0,"NO",SUM('Table2(II).B-Hs2'!J120:M120))</f>
        <v>1.6387825877122741E-4</v>
      </c>
      <c r="G29" s="4431">
        <f>IF(SUM('Table2(II).B-Hs2'!J121:M121)=0,"NO",SUM('Table2(II).B-Hs2'!J121:M121))</f>
        <v>0.19978365170332554</v>
      </c>
      <c r="H29" s="4431">
        <f>IF(SUM('Table2(II).B-Hs2'!J122:M122)=0,"NO",SUM('Table2(II).B-Hs2'!J122:M122))</f>
        <v>2.2367845350442905E-4</v>
      </c>
      <c r="I29" s="4431">
        <f>IF(SUM('Table2(II).B-Hs2'!J123:M123)=0,"NO",SUM('Table2(II).B-Hs2'!J123:M123))</f>
        <v>0.57126578656748417</v>
      </c>
      <c r="J29" s="4431" t="s">
        <v>199</v>
      </c>
      <c r="K29" s="4431">
        <f>IF(SUM('Table2(II).B-Hs2'!J124:M124)=0,"NO",SUM('Table2(II).B-Hs2'!J124:M124))</f>
        <v>1.9122872755585284E-2</v>
      </c>
      <c r="L29" s="2073" t="s">
        <v>199</v>
      </c>
      <c r="M29" s="2073" t="str">
        <f>IF(SUM('Table2(II).B-Hs2'!J125:M125)=0,"NO",SUM('Table2(II).B-Hs2'!J125:M125))</f>
        <v>NO</v>
      </c>
      <c r="N29" s="2073" t="s">
        <v>199</v>
      </c>
      <c r="O29" s="4431">
        <f>IF(SUM('Table2(II).B-Hs2'!J126:M126)=0,"NO",SUM('Table2(II).B-Hs2'!J126:M126))</f>
        <v>6.7845860743514473E-3</v>
      </c>
      <c r="P29" s="2073" t="s">
        <v>199</v>
      </c>
      <c r="Q29" s="2073" t="s">
        <v>199</v>
      </c>
      <c r="R29" s="2073">
        <f>IF(SUM('Table2(II).B-Hs2'!J127:M127)=0,"NO",SUM('Table2(II).B-Hs2'!J127:M127))</f>
        <v>7.2670062866936029E-7</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4.7856231927236722E-7</v>
      </c>
      <c r="D30" s="4431">
        <f>IF(SUM('Table2(II).B-Hs2'!J133:M133)=0,"NO",SUM('Table2(II).B-Hs2'!J133:M133))</f>
        <v>7.4798486365131367E-5</v>
      </c>
      <c r="E30" s="2073" t="s">
        <v>199</v>
      </c>
      <c r="F30" s="2073">
        <f>IF(SUM('Table2(II).B-Hs2'!J134:M134)=0,"NO",SUM('Table2(II).B-Hs2'!J134:M134))</f>
        <v>1.1104259385400687E-6</v>
      </c>
      <c r="G30" s="4431">
        <f>IF(SUM('Table2(II).B-Hs2'!J135:M135)=0,"NO",SUM('Table2(II).B-Hs2'!J135:M135))</f>
        <v>1.3537180014666927E-3</v>
      </c>
      <c r="H30" s="4431">
        <f>IF(SUM('Table2(II).B-Hs2'!J136:M136)=0,"NO",SUM('Table2(II).B-Hs2'!J136:M136))</f>
        <v>1.5156272621286558E-6</v>
      </c>
      <c r="I30" s="4431">
        <f>IF(SUM('Table2(II).B-Hs2'!J137:M137)=0,"NO",SUM('Table2(II).B-Hs2'!J137:M137))</f>
        <v>3.8708511547622306E-3</v>
      </c>
      <c r="J30" s="4431" t="s">
        <v>199</v>
      </c>
      <c r="K30" s="4431">
        <f>IF(SUM('Table2(II).B-Hs2'!J138:M138)=0,"NO",SUM('Table2(II).B-Hs2'!J138:M138))</f>
        <v>1.2957505215408909E-4</v>
      </c>
      <c r="L30" s="2073" t="s">
        <v>199</v>
      </c>
      <c r="M30" s="2073" t="str">
        <f>IF(SUM('Table2(II).B-Hs2'!J139:M139)=0,"NO",SUM('Table2(II).B-Hs2'!J139:M139))</f>
        <v>NO</v>
      </c>
      <c r="N30" s="2073" t="s">
        <v>199</v>
      </c>
      <c r="O30" s="4431">
        <f>IF(SUM('Table2(II).B-Hs2'!J140:M140)=0,"NO",SUM('Table2(II).B-Hs2'!J140:M140))</f>
        <v>4.5971811121905296E-5</v>
      </c>
      <c r="P30" s="2073" t="s">
        <v>199</v>
      </c>
      <c r="Q30" s="2073" t="s">
        <v>199</v>
      </c>
      <c r="R30" s="2073">
        <f>IF(SUM('Table2(II).B-Hs2'!J141:M141)=0,"NO",SUM('Table2(II).B-Hs2'!J141:M141))</f>
        <v>4.9240651791054451E-9</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6.5617992288550999E-4</v>
      </c>
      <c r="D31" s="4431">
        <f>IF(SUM('Table2(II).B-Hs2'!J148:M148)=0,"NO",SUM('Table2(II).B-Hs2'!J148:M148))</f>
        <v>0.10255981935571244</v>
      </c>
      <c r="E31" s="2073" t="s">
        <v>199</v>
      </c>
      <c r="F31" s="2073">
        <f>IF(SUM('Table2(II).B-Hs2'!J149:M149)=0,"NO",SUM('Table2(II).B-Hs2'!J149:M149))</f>
        <v>1.5225586666103507E-3</v>
      </c>
      <c r="G31" s="4431">
        <f>IF(SUM('Table2(II).B-Hs2'!J150:M150)=0,"NO",SUM('Table2(II).B-Hs2'!J150:M150))</f>
        <v>1.8561481713849415</v>
      </c>
      <c r="H31" s="4431">
        <f>IF(SUM('Table2(II).B-Hs2'!J151:M151)=0,"NO",SUM('Table2(II).B-Hs2'!J151:M151))</f>
        <v>2.0781497830813086E-3</v>
      </c>
      <c r="I31" s="4431">
        <f>IF(SUM('Table2(II).B-Hs2'!J152:M152)=0,"NO",SUM('Table2(II).B-Hs2'!J152:M152))</f>
        <v>5.3075110804692827</v>
      </c>
      <c r="J31" s="4431" t="s">
        <v>199</v>
      </c>
      <c r="K31" s="4431">
        <f>IF(SUM('Table2(II).B-Hs2'!J153:M153)=0,"NO",SUM('Table2(II).B-Hs2'!J153:M153))</f>
        <v>0.17766661583308979</v>
      </c>
      <c r="L31" s="2073" t="s">
        <v>199</v>
      </c>
      <c r="M31" s="2073" t="str">
        <f>IF(SUM('Table2(II).B-Hs2'!J154:M154)=0,"NO",SUM('Table2(II).B-Hs2'!J154:M154))</f>
        <v>NO</v>
      </c>
      <c r="N31" s="2073" t="s">
        <v>199</v>
      </c>
      <c r="O31" s="4431">
        <f>IF(SUM('Table2(II).B-Hs2'!J155:M155)=0,"NO",SUM('Table2(II).B-Hs2'!J155:M155))</f>
        <v>6.3034171856122687E-2</v>
      </c>
      <c r="P31" s="2073" t="s">
        <v>199</v>
      </c>
      <c r="Q31" s="2073" t="s">
        <v>199</v>
      </c>
      <c r="R31" s="2073">
        <f>IF(SUM('Table2(II).B-Hs2'!J156:M156)=0,"NO",SUM('Table2(II).B-Hs2'!J156:M156))</f>
        <v>6.7516237267099057E-6</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11.450572754966307</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10.81813208660347</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0.63244066836283785</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0.24930767116679536</v>
      </c>
      <c r="D39" s="4183">
        <f t="shared" ref="D39:AK39" si="72">IF(SUM(D40:D45)=0,"NO",SUM(D40:D45))</f>
        <v>2.1274381087858374</v>
      </c>
      <c r="E39" s="4183" t="str">
        <f t="shared" si="72"/>
        <v>NO</v>
      </c>
      <c r="F39" s="4183">
        <f t="shared" si="72"/>
        <v>7.6974876090522448E-2</v>
      </c>
      <c r="G39" s="4183">
        <f t="shared" si="72"/>
        <v>180.2863816982364</v>
      </c>
      <c r="H39" s="4183">
        <f t="shared" si="72"/>
        <v>7.1315821199738089E-2</v>
      </c>
      <c r="I39" s="4183">
        <f t="shared" si="72"/>
        <v>211.40988033711901</v>
      </c>
      <c r="J39" s="4183" t="str">
        <f t="shared" si="72"/>
        <v>NO</v>
      </c>
      <c r="K39" s="4183">
        <f t="shared" si="72"/>
        <v>26.12992035594381</v>
      </c>
      <c r="L39" s="4183" t="str">
        <f t="shared" si="72"/>
        <v>NO</v>
      </c>
      <c r="M39" s="4183" t="str">
        <f t="shared" si="72"/>
        <v>NO</v>
      </c>
      <c r="N39" s="4183" t="str">
        <f t="shared" si="72"/>
        <v>NO</v>
      </c>
      <c r="O39" s="4183">
        <f t="shared" si="72"/>
        <v>6.4701131698304826</v>
      </c>
      <c r="P39" s="4183" t="str">
        <f t="shared" si="72"/>
        <v>NO</v>
      </c>
      <c r="Q39" s="4183" t="str">
        <f t="shared" si="72"/>
        <v>NO</v>
      </c>
      <c r="R39" s="4183">
        <f t="shared" si="72"/>
        <v>1.667378860548036E-3</v>
      </c>
      <c r="S39" s="4183" t="str">
        <f t="shared" si="72"/>
        <v>NO</v>
      </c>
      <c r="T39" s="4183" t="str">
        <f t="shared" si="72"/>
        <v>NO</v>
      </c>
      <c r="U39" s="4183" t="str">
        <f t="shared" si="72"/>
        <v>NO</v>
      </c>
      <c r="V39" s="4183" t="str">
        <f t="shared" si="72"/>
        <v>NO</v>
      </c>
      <c r="W39" s="4183">
        <f t="shared" si="72"/>
        <v>426.82299941723312</v>
      </c>
      <c r="X39" s="4183">
        <f t="shared" si="72"/>
        <v>907.31707015008135</v>
      </c>
      <c r="Y39" s="4183">
        <f t="shared" si="72"/>
        <v>197.27761411879197</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1104.5946842688734</v>
      </c>
      <c r="AI39" s="4184" t="str">
        <f t="shared" si="72"/>
        <v>NO</v>
      </c>
      <c r="AJ39" s="4184">
        <f t="shared" si="72"/>
        <v>274.96345974170822</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907.31707015008135</v>
      </c>
      <c r="Y41" s="4186">
        <f>IF(SUM(Y16)=0,"NO",Y16*11100/1000)</f>
        <v>197.27761411879197</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1104.5946842688734</v>
      </c>
      <c r="AI41" s="4187" t="str">
        <f>IF(SUM(AI16)=0,"NO",AI16*1/1000)</f>
        <v>NO</v>
      </c>
      <c r="AJ41" s="4187">
        <f>IF(SUM(AJ16)=0,"NO",AJ16*23500/1000)</f>
        <v>5.875</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0.24930767116679536</v>
      </c>
      <c r="D43" s="4186">
        <f>IF(SUM(D26)=0,"NO",D26*677/1000)</f>
        <v>2.1274381087858374</v>
      </c>
      <c r="E43" s="4186" t="str">
        <f>IF(SUM(E26)=0,"NO",E26*116/1000)</f>
        <v>NO</v>
      </c>
      <c r="F43" s="4186">
        <f>IF(SUM(F26)=0,"NO",F26*1650/1000)</f>
        <v>7.6974876090522448E-2</v>
      </c>
      <c r="G43" s="4186">
        <f>IF(SUM(G26)=0,"NO",G26*3170/1000)</f>
        <v>180.2863816982364</v>
      </c>
      <c r="H43" s="4186">
        <f>IF(SUM(H26)=0,"NO",H26*1120/1000)</f>
        <v>7.1315821199738089E-2</v>
      </c>
      <c r="I43" s="4186">
        <f>IF(SUM(I26)=0,"NO",I26*1300/1000)</f>
        <v>211.40988033711901</v>
      </c>
      <c r="J43" s="4186" t="str">
        <f>IF(SUM(J26)=0,"NO",J26*328/1000)</f>
        <v>NO</v>
      </c>
      <c r="K43" s="4186">
        <f>IF(SUM(K26)=0,"NO",K26*4800/1000)</f>
        <v>26.12992035594381</v>
      </c>
      <c r="L43" s="4186" t="str">
        <f>IF(SUM(L26)=0,"NO",L26*16/1000)</f>
        <v>NO</v>
      </c>
      <c r="M43" s="4186" t="str">
        <f>IF(SUM(M26)=0,"NO",M26*138/1000)</f>
        <v>NO</v>
      </c>
      <c r="N43" s="4186" t="str">
        <f>IF(SUM(N26)=0,"NO",N26*4/1000)</f>
        <v>NO</v>
      </c>
      <c r="O43" s="4186">
        <f>IF(SUM(O26)=0,"NO",O26*3350/1000)</f>
        <v>6.4701131698304826</v>
      </c>
      <c r="P43" s="4186" t="str">
        <f>IF(SUM(P26)=0,"NO",P26*1210/1000)</f>
        <v>NO</v>
      </c>
      <c r="Q43" s="4186" t="str">
        <f>IF(SUM(Q26)=0,"NO",Q26*1330/1000)</f>
        <v>NO</v>
      </c>
      <c r="R43" s="4186">
        <f>IF(SUM(R26)=0,"NO",R26*8060/1000)</f>
        <v>1.667378860548036E-3</v>
      </c>
      <c r="S43" s="4186" t="str">
        <f>IF(SUM(S26)=0,"NO",S26*716/1000)</f>
        <v>NO</v>
      </c>
      <c r="T43" s="4186" t="str">
        <f>IF(SUM(T26)=0,"NO",T26*858/1000)</f>
        <v>NO</v>
      </c>
      <c r="U43" s="4186" t="str">
        <f>IF(SUM(U26)=0,"NO",U26*804/1000)</f>
        <v>NO</v>
      </c>
      <c r="V43" s="4186" t="str">
        <f>IF(SUM(V26)=0,"NO",V26*1/1000)</f>
        <v>NO</v>
      </c>
      <c r="W43" s="4186">
        <f t="shared" si="73"/>
        <v>426.82299941723312</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269.08845974170822</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topLeftCell="A57" workbookViewId="0">
      <selection activeCell="E65" sqref="E65"/>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5977.0239216720511</v>
      </c>
      <c r="I10" s="615"/>
      <c r="J10" s="615"/>
      <c r="K10" s="3161" t="str">
        <f>IF(SUM(K11:K14)=0,"NO",SUM(K11:K14))</f>
        <v>NO</v>
      </c>
      <c r="L10" s="3161" t="str">
        <f>IF(SUM(L11:L14)=0,"NO",SUM(L11:L14))</f>
        <v>NO</v>
      </c>
      <c r="M10" s="615"/>
      <c r="N10" s="1842"/>
    </row>
    <row r="11" spans="2:14" ht="18" customHeight="1" x14ac:dyDescent="0.2">
      <c r="B11" s="286" t="s">
        <v>748</v>
      </c>
      <c r="C11" s="2126" t="s">
        <v>749</v>
      </c>
      <c r="D11" s="699">
        <v>5683.5729999999994</v>
      </c>
      <c r="E11" s="1938">
        <f>IF(SUM($D11)=0,"NA",H11/$D11)</f>
        <v>0.5603146218056847</v>
      </c>
      <c r="F11" s="615"/>
      <c r="G11" s="615"/>
      <c r="H11" s="3149">
        <v>3184.5890560000007</v>
      </c>
      <c r="I11" s="615"/>
      <c r="J11" s="615"/>
      <c r="K11" s="3149" t="s">
        <v>199</v>
      </c>
      <c r="L11" s="699" t="s">
        <v>199</v>
      </c>
      <c r="M11" s="615"/>
      <c r="N11" s="1842"/>
    </row>
    <row r="12" spans="2:14" ht="18" customHeight="1" x14ac:dyDescent="0.2">
      <c r="B12" s="286" t="s">
        <v>750</v>
      </c>
      <c r="C12" s="2127" t="s">
        <v>751</v>
      </c>
      <c r="D12" s="699">
        <v>1370</v>
      </c>
      <c r="E12" s="1938">
        <f>IF(SUM($D12)=0,"NA",H12/$D12)</f>
        <v>0.81177562966271266</v>
      </c>
      <c r="F12" s="615"/>
      <c r="G12" s="615"/>
      <c r="H12" s="3149">
        <v>1112.1326126379163</v>
      </c>
      <c r="I12" s="615"/>
      <c r="J12" s="615"/>
      <c r="K12" s="3149" t="s">
        <v>199</v>
      </c>
      <c r="L12" s="699" t="s">
        <v>199</v>
      </c>
      <c r="M12" s="615"/>
      <c r="N12" s="1842"/>
    </row>
    <row r="13" spans="2:14" ht="18" customHeight="1" x14ac:dyDescent="0.2">
      <c r="B13" s="286" t="s">
        <v>752</v>
      </c>
      <c r="C13" s="2127" t="s">
        <v>753</v>
      </c>
      <c r="D13" s="699">
        <v>263.1061501847617</v>
      </c>
      <c r="E13" s="1938">
        <f>IF(SUM($D13)=0,"NA",H13/$D13)</f>
        <v>0.39573900000000006</v>
      </c>
      <c r="F13" s="615"/>
      <c r="G13" s="615"/>
      <c r="H13" s="3149">
        <v>104.12136476796742</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1576.1808882661664</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31.170221431266668</v>
      </c>
      <c r="I15" s="615"/>
      <c r="J15" s="615"/>
      <c r="K15" s="3149" t="s">
        <v>199</v>
      </c>
      <c r="L15" s="699" t="s">
        <v>199</v>
      </c>
      <c r="M15" s="615"/>
      <c r="N15" s="1842"/>
    </row>
    <row r="16" spans="2:14" ht="18" customHeight="1" x14ac:dyDescent="0.2">
      <c r="B16" s="160" t="s">
        <v>756</v>
      </c>
      <c r="C16" s="474" t="s">
        <v>757</v>
      </c>
      <c r="D16" s="2917">
        <v>468.70549999999997</v>
      </c>
      <c r="E16" s="1938">
        <f>IF(SUM($D16)=0,"NA",H16/$D16)</f>
        <v>0.41492000000000007</v>
      </c>
      <c r="F16" s="615"/>
      <c r="G16" s="615"/>
      <c r="H16" s="3149">
        <v>194.47528606000003</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1350.5353807748997</v>
      </c>
      <c r="I18" s="615"/>
      <c r="J18" s="615"/>
      <c r="K18" s="3150" t="str">
        <f>K19</f>
        <v>NO</v>
      </c>
      <c r="L18" s="3162" t="str">
        <f>L19</f>
        <v>NO</v>
      </c>
      <c r="M18" s="615"/>
      <c r="N18" s="1842"/>
    </row>
    <row r="19" spans="2:14" ht="18" customHeight="1" x14ac:dyDescent="0.2">
      <c r="B19" s="3151" t="s">
        <v>761</v>
      </c>
      <c r="C19" s="474" t="s">
        <v>753</v>
      </c>
      <c r="D19" s="2917">
        <v>2583.6505256452383</v>
      </c>
      <c r="E19" s="1938">
        <f>IF(SUM($D19)=0,"NA",H19/$D19)</f>
        <v>0.41402025146135213</v>
      </c>
      <c r="F19" s="615"/>
      <c r="G19" s="615"/>
      <c r="H19" s="3149">
        <v>1069.6836403158961</v>
      </c>
      <c r="I19" s="615"/>
      <c r="J19" s="615"/>
      <c r="K19" s="3149" t="s">
        <v>199</v>
      </c>
      <c r="L19" s="3149" t="s">
        <v>199</v>
      </c>
      <c r="M19" s="615"/>
      <c r="N19" s="1842"/>
    </row>
    <row r="20" spans="2:14" ht="18" customHeight="1" x14ac:dyDescent="0.2">
      <c r="B20" s="3152" t="s">
        <v>762</v>
      </c>
      <c r="C20" s="474" t="s">
        <v>753</v>
      </c>
      <c r="D20" s="2917">
        <v>457.87748520029885</v>
      </c>
      <c r="E20" s="1938">
        <f>IF(SUM($D20)=0,"NA",H20/$D20)</f>
        <v>0.51433223936962058</v>
      </c>
      <c r="F20" s="615"/>
      <c r="G20" s="615"/>
      <c r="H20" s="3149">
        <v>235.50115232000002</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1420.3346702602551</v>
      </c>
      <c r="I22" s="3046">
        <f>IF(SUM(I23:I26,I30,I33:I35,I47)=0,"IE",SUM(I23:I26,I30,I33:I35,I47))</f>
        <v>0.56978379999999995</v>
      </c>
      <c r="J22" s="3046">
        <f>IF(SUM(J23:J26,J30,J33:J35,J47)=0,"IE",SUM(J23:J26,J30,J33:J35,J47))</f>
        <v>5.2946687564516139</v>
      </c>
      <c r="K22" s="3046">
        <f>IF(SUM(K23:K26,K30,K33:K35,K47)=0,"NO",SUM(K23:K26,K30,K33:K35,K47))</f>
        <v>-140.32522857361135</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486.95140178600002</v>
      </c>
      <c r="E23" s="1938">
        <f>IF(SUM($D23)=0,"NA",(H23-K23)/$D23)</f>
        <v>1.4630833276243669</v>
      </c>
      <c r="F23" s="1938" t="str">
        <f>IFERROR(IF(SUM($D23)=0,"NA",I23/$D23),"NA")</f>
        <v>NA</v>
      </c>
      <c r="G23" s="1938" t="str">
        <f>IFERROR(IF(SUM($D23)=0,"NA",J23/$D23),"NA")</f>
        <v>NA</v>
      </c>
      <c r="H23" s="699">
        <v>572.12524874279961</v>
      </c>
      <c r="I23" s="699" t="s">
        <v>199</v>
      </c>
      <c r="J23" s="699" t="s">
        <v>199</v>
      </c>
      <c r="K23" s="3149">
        <v>-140.32522857361135</v>
      </c>
      <c r="L23" s="699" t="s">
        <v>199</v>
      </c>
      <c r="M23" s="699" t="s">
        <v>199</v>
      </c>
      <c r="N23" s="2921" t="s">
        <v>199</v>
      </c>
    </row>
    <row r="24" spans="2:14" ht="18" customHeight="1" x14ac:dyDescent="0.2">
      <c r="B24" s="286" t="s">
        <v>766</v>
      </c>
      <c r="C24" s="474" t="s">
        <v>349</v>
      </c>
      <c r="D24" s="699">
        <v>501.495</v>
      </c>
      <c r="E24" s="2135"/>
      <c r="F24" s="2135"/>
      <c r="G24" s="1938">
        <f>IF(SUM($D24)=0,"NA",J24/$D24)</f>
        <v>1.0557769781257269E-2</v>
      </c>
      <c r="H24" s="2135"/>
      <c r="I24" s="2135"/>
      <c r="J24" s="699">
        <v>5.2946687564516139</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699.90673298636432</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46.86107299999999</v>
      </c>
      <c r="I35" s="3165">
        <f>I46</f>
        <v>0.56978379999999995</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46.86107299999999</v>
      </c>
      <c r="I42" s="3167">
        <f>IF(SUM(I44:I45)=0,"NO",SUM(I44:I45))</f>
        <v>0.56978379999999995</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46.86107299999999</v>
      </c>
      <c r="I45" s="3167">
        <f>I46</f>
        <v>0.56978379999999995</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46.86107299999999</v>
      </c>
      <c r="I46" s="699">
        <v>0.56978379999999995</v>
      </c>
      <c r="J46" s="615"/>
      <c r="K46" s="699" t="s">
        <v>199</v>
      </c>
      <c r="L46" s="699" t="s">
        <v>199</v>
      </c>
      <c r="M46" s="699" t="s">
        <v>199</v>
      </c>
      <c r="N46" s="1842"/>
    </row>
    <row r="47" spans="2:16" ht="18" customHeight="1" x14ac:dyDescent="0.2">
      <c r="B47" s="286" t="s">
        <v>787</v>
      </c>
      <c r="C47" s="2131"/>
      <c r="D47" s="615"/>
      <c r="E47" s="615"/>
      <c r="F47" s="615"/>
      <c r="G47" s="615"/>
      <c r="H47" s="3167">
        <f>H50</f>
        <v>101.44161553109122</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101.44161553109122</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101.44161553109122</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13255.058139770597</v>
      </c>
      <c r="I52" s="3161">
        <f>IF(SUM(I53,I62:I67)=0,"IE",SUM(I53,I62:I67))</f>
        <v>3.3640964062068983</v>
      </c>
      <c r="J52" s="1934">
        <f>J67</f>
        <v>8.5045708521057403E-2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1394.9999999999998</v>
      </c>
      <c r="E63" s="4121">
        <f>IF(SUM($D63)=0,"NA",H63/$D63)</f>
        <v>1.6769581773143587</v>
      </c>
      <c r="F63" s="1917"/>
      <c r="G63" s="2134"/>
      <c r="H63" s="699">
        <v>2339.35665735353</v>
      </c>
      <c r="I63" s="1885"/>
      <c r="J63" s="2135"/>
      <c r="K63" s="3149" t="s">
        <v>199</v>
      </c>
      <c r="L63" s="699" t="s">
        <v>199</v>
      </c>
      <c r="M63" s="3097"/>
      <c r="N63" s="2136"/>
    </row>
    <row r="64" spans="2:14" s="83" customFormat="1" ht="18" customHeight="1" x14ac:dyDescent="0.2">
      <c r="B64" s="1282" t="s">
        <v>715</v>
      </c>
      <c r="C64" s="2620" t="s">
        <v>804</v>
      </c>
      <c r="D64" s="277">
        <v>0.25</v>
      </c>
      <c r="E64" s="276" t="s">
        <v>205</v>
      </c>
      <c r="F64" s="1917"/>
      <c r="G64" s="2134"/>
      <c r="H64" s="699" t="str">
        <f>IF(D64="NO","NO","NA")</f>
        <v>NA</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10915.701482417067</v>
      </c>
      <c r="I67" s="3168">
        <f t="shared" ref="I67:N67" si="8">IF(SUM(I69:I70)=0,I70,SUM(I69:I70))</f>
        <v>3.3640964062068983</v>
      </c>
      <c r="J67" s="3168">
        <f t="shared" si="8"/>
        <v>8.5045708521057403E-2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10915.701482417067</v>
      </c>
      <c r="I70" s="3074">
        <f t="shared" si="9"/>
        <v>3.3640964062068983</v>
      </c>
      <c r="J70" s="3074">
        <f t="shared" si="9"/>
        <v>8.5045708521057403E-2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10915.701482417067</v>
      </c>
      <c r="I71" s="3101">
        <v>3.3640964062068983</v>
      </c>
      <c r="J71" s="3101">
        <v>8.5045708521057403E-2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278.53303650000004</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518.04123711340208</v>
      </c>
      <c r="E73" s="4121">
        <f t="shared" ref="E73:G74" si="11">IF(SUM($D73)=0,"NA",H73/$D73)</f>
        <v>0.53766576200000005</v>
      </c>
      <c r="F73" s="276" t="s">
        <v>205</v>
      </c>
      <c r="G73" s="276" t="s">
        <v>205</v>
      </c>
      <c r="H73" s="3100">
        <v>278.53303650000004</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316.58454545454498</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142.58883310941064</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142.58883310941064</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154.87299485376997</v>
      </c>
      <c r="H22" s="2628" t="str">
        <f>H23</f>
        <v>NO</v>
      </c>
    </row>
    <row r="23" spans="2:8" ht="18" customHeight="1" x14ac:dyDescent="0.2">
      <c r="B23" s="169" t="s">
        <v>857</v>
      </c>
      <c r="C23" s="2523"/>
      <c r="D23" s="76"/>
      <c r="E23" s="76"/>
      <c r="F23" s="1829"/>
      <c r="G23" s="3157">
        <f>IF(SUM(G24,G27)=0,"NO",SUM(G24,G27))</f>
        <v>154.62299485376997</v>
      </c>
      <c r="H23" s="2628" t="str">
        <f>H24</f>
        <v>NO</v>
      </c>
    </row>
    <row r="24" spans="2:8" ht="18" customHeight="1" x14ac:dyDescent="0.2">
      <c r="B24" s="171" t="s">
        <v>858</v>
      </c>
      <c r="C24" s="2523"/>
      <c r="D24" s="76"/>
      <c r="E24" s="76"/>
      <c r="F24" s="1829"/>
      <c r="G24" s="3157">
        <f>IF(SUM(G25:G26)=0,"NO",SUM(G25:G26))</f>
        <v>154.62299485376997</v>
      </c>
      <c r="H24" s="2628" t="str">
        <f>H25</f>
        <v>NO</v>
      </c>
    </row>
    <row r="25" spans="2:8" ht="18" customHeight="1" x14ac:dyDescent="0.25">
      <c r="B25" s="2626" t="s">
        <v>859</v>
      </c>
      <c r="C25" s="2638" t="s">
        <v>859</v>
      </c>
      <c r="D25" s="73" t="s">
        <v>860</v>
      </c>
      <c r="E25" s="699">
        <v>1394999.9999999998</v>
      </c>
      <c r="F25" s="4135">
        <f>IF(SUM(E25)=0,"NA",G25*1000/E25)</f>
        <v>9.8100528189999994E-2</v>
      </c>
      <c r="G25" s="699">
        <v>136.85023682504996</v>
      </c>
      <c r="H25" s="2627" t="s">
        <v>199</v>
      </c>
    </row>
    <row r="26" spans="2:8" ht="18" customHeight="1" x14ac:dyDescent="0.25">
      <c r="B26" s="2626" t="s">
        <v>861</v>
      </c>
      <c r="C26" s="2638" t="s">
        <v>861</v>
      </c>
      <c r="D26" s="73" t="s">
        <v>860</v>
      </c>
      <c r="E26" s="699">
        <v>1394999.9999999998</v>
      </c>
      <c r="F26" s="4135">
        <f>IF(SUM(E26)=0,"NA",G26*1000/E26)</f>
        <v>1.2740328336000003E-2</v>
      </c>
      <c r="G26" s="699">
        <v>17.772758028719998</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v>0.25</v>
      </c>
      <c r="F28" s="2625">
        <f>IF(SUM(E28)=0,"NA",G28*1000/E28)</f>
        <v>1000</v>
      </c>
      <c r="G28" s="699">
        <v>0.25</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14.377056059134119</v>
      </c>
      <c r="K10" s="3191">
        <f>IF(SUM(K11,K90,K117,K130,K146,K159)=0,"NO",SUM(K11,K90,K117,K130,K146,K159))</f>
        <v>202.04046513421343</v>
      </c>
      <c r="L10" s="3192">
        <f>IF(SUM(L11,L90,L117,L130,L146,L159)=0,"NO",SUM(L11,L90,L117,L130,L146,L159))</f>
        <v>24.990010938416688</v>
      </c>
      <c r="M10" s="3462">
        <f>IF(SUM(M11,M90,M117,M130,M146,M159)=0,"NO",SUM(M11,M90,M117,M130,M146,M159))</f>
        <v>-11.263673360202169</v>
      </c>
    </row>
    <row r="11" spans="1:13" ht="18" customHeight="1" x14ac:dyDescent="0.2">
      <c r="B11" s="147" t="s">
        <v>888</v>
      </c>
      <c r="C11" s="2524"/>
      <c r="D11" s="150"/>
      <c r="E11" s="150"/>
      <c r="F11" s="150"/>
      <c r="G11" s="150"/>
      <c r="H11" s="150"/>
      <c r="I11" s="150"/>
      <c r="J11" s="3081">
        <f>IF(SUM(J12,J25,J38,J51,J64,J77)=0,"NO",SUM(J12,J25,J38,J51,J64,J77))</f>
        <v>9.2154628152966538</v>
      </c>
      <c r="K11" s="3081">
        <f t="shared" ref="K11:M11" si="0">IF(SUM(K12,K25,K38,K51,K64,K77)=0,"NO",SUM(K12,K25,K38,K51,K64,K77))</f>
        <v>195.45037750838054</v>
      </c>
      <c r="L11" s="3081">
        <f t="shared" si="0"/>
        <v>23.084979988664241</v>
      </c>
      <c r="M11" s="3193">
        <f t="shared" si="0"/>
        <v>-11.263673360202169</v>
      </c>
    </row>
    <row r="12" spans="1:13" ht="18" customHeight="1" x14ac:dyDescent="0.2">
      <c r="B12" s="104" t="s">
        <v>889</v>
      </c>
      <c r="C12" s="2524"/>
      <c r="D12" s="150"/>
      <c r="E12" s="150"/>
      <c r="F12" s="150"/>
      <c r="G12" s="150"/>
      <c r="H12" s="150"/>
      <c r="I12" s="150"/>
      <c r="J12" s="3081">
        <f>IF(SUM(J13:J24)=0,"NO",SUM(J13:J24))</f>
        <v>4.304359792797209</v>
      </c>
      <c r="K12" s="3081">
        <f>IF(SUM(K13:K24)=0,"NO",SUM(K13:K24))</f>
        <v>67.382603551676112</v>
      </c>
      <c r="L12" s="3081">
        <f>IF(SUM(L13:L24)=0,"NO",SUM(L13:L24))</f>
        <v>4.8546277132792415E-14</v>
      </c>
      <c r="M12" s="3193" t="str">
        <f>IF(SUM(M13:M24)=0,"NO",SUM(M13:M24))</f>
        <v>NO</v>
      </c>
    </row>
    <row r="13" spans="1:13" ht="18" customHeight="1" x14ac:dyDescent="0.2">
      <c r="B13" s="2634" t="s">
        <v>671</v>
      </c>
      <c r="C13" s="2636" t="s">
        <v>671</v>
      </c>
      <c r="D13" s="3160">
        <v>2.148746011159422E-2</v>
      </c>
      <c r="E13" s="3160">
        <v>4.951314602135197E-2</v>
      </c>
      <c r="F13" s="3160" t="s">
        <v>199</v>
      </c>
      <c r="G13" s="3668">
        <f>IF(SUM(D13)=0,"NA",J13/D13)</f>
        <v>1.7499999999999998E-2</v>
      </c>
      <c r="H13" s="3081">
        <f>IF(SUM(E13)=0,"NA",K13/E13)</f>
        <v>0.11888904313222996</v>
      </c>
      <c r="I13" s="3081" t="str">
        <f>IF(SUM(F13)=0,"NA",L13/F13)</f>
        <v>NA</v>
      </c>
      <c r="J13" s="3194">
        <v>3.7603055195289882E-4</v>
      </c>
      <c r="K13" s="3194">
        <v>5.8865705529449145E-3</v>
      </c>
      <c r="L13" s="3194">
        <v>3.4694469519536142E-18</v>
      </c>
      <c r="M13" s="3460" t="s">
        <v>199</v>
      </c>
    </row>
    <row r="14" spans="1:13" ht="18" customHeight="1" x14ac:dyDescent="0.2">
      <c r="B14" s="2634" t="s">
        <v>672</v>
      </c>
      <c r="C14" s="2636" t="s">
        <v>672</v>
      </c>
      <c r="D14" s="3160">
        <v>3.3584539096644828</v>
      </c>
      <c r="E14" s="3160">
        <v>7.7388215252798727</v>
      </c>
      <c r="F14" s="3160" t="s">
        <v>199</v>
      </c>
      <c r="G14" s="3668">
        <f t="shared" ref="G14:G24" si="1">IF(SUM(D14)=0,"NA",J14/D14)</f>
        <v>1.7500000000000002E-2</v>
      </c>
      <c r="H14" s="3081">
        <f t="shared" ref="H14:H24" si="2">IF(SUM(E14)=0,"NA",K14/E14)</f>
        <v>0.11888904313222991</v>
      </c>
      <c r="I14" s="3081" t="str">
        <f t="shared" ref="I14:I24" si="3">IF(SUM(F14)=0,"NA",L14/F14)</f>
        <v>NA</v>
      </c>
      <c r="J14" s="3194">
        <v>5.8772943419128448E-2</v>
      </c>
      <c r="K14" s="3194">
        <v>0.92006108611162807</v>
      </c>
      <c r="L14" s="3194">
        <v>7.7715611723760958E-16</v>
      </c>
      <c r="M14" s="3460" t="s">
        <v>199</v>
      </c>
    </row>
    <row r="15" spans="1:13" ht="18" customHeight="1" x14ac:dyDescent="0.2">
      <c r="B15" s="2634" t="s">
        <v>674</v>
      </c>
      <c r="C15" s="2636" t="s">
        <v>674</v>
      </c>
      <c r="D15" s="3160">
        <v>4.9858152429421786E-2</v>
      </c>
      <c r="E15" s="3160">
        <v>0.1148871932174412</v>
      </c>
      <c r="F15" s="3160" t="s">
        <v>199</v>
      </c>
      <c r="G15" s="3668">
        <f t="shared" ref="G15" si="4">IF(SUM(D15)=0,"NA",J15/D15)</f>
        <v>1.7500000000000002E-2</v>
      </c>
      <c r="H15" s="3081">
        <f t="shared" ref="H15" si="5">IF(SUM(E15)=0,"NA",K15/E15)</f>
        <v>0.11888904313222992</v>
      </c>
      <c r="I15" s="3081" t="str">
        <f t="shared" ref="I15" si="6">IF(SUM(F15)=0,"NA",L15/F15)</f>
        <v>NA</v>
      </c>
      <c r="J15" s="3194">
        <v>8.7251766751488132E-4</v>
      </c>
      <c r="K15" s="3194">
        <v>1.3658828469769201E-2</v>
      </c>
      <c r="L15" s="3194">
        <v>8.6736173798840355E-18</v>
      </c>
      <c r="M15" s="3460" t="s">
        <v>199</v>
      </c>
    </row>
    <row r="16" spans="1:13" ht="18" customHeight="1" x14ac:dyDescent="0.2">
      <c r="B16" s="2634" t="s">
        <v>675</v>
      </c>
      <c r="C16" s="2636" t="s">
        <v>675</v>
      </c>
      <c r="D16" s="3160">
        <v>60.781972143334556</v>
      </c>
      <c r="E16" s="3160">
        <v>140.05874340517335</v>
      </c>
      <c r="F16" s="3160" t="s">
        <v>199</v>
      </c>
      <c r="G16" s="3668">
        <f t="shared" si="1"/>
        <v>1.7499999999999998E-2</v>
      </c>
      <c r="H16" s="3081">
        <f t="shared" si="2"/>
        <v>0.11888904313222994</v>
      </c>
      <c r="I16" s="3081" t="str">
        <f t="shared" si="3"/>
        <v>NA</v>
      </c>
      <c r="J16" s="3194">
        <v>1.0636845125083547</v>
      </c>
      <c r="K16" s="3194">
        <v>16.651449985743579</v>
      </c>
      <c r="L16" s="3194">
        <v>1.0658141036401503E-14</v>
      </c>
      <c r="M16" s="3460" t="s">
        <v>199</v>
      </c>
    </row>
    <row r="17" spans="2:13" ht="18" customHeight="1" x14ac:dyDescent="0.2">
      <c r="B17" s="2634" t="s">
        <v>676</v>
      </c>
      <c r="C17" s="2636" t="s">
        <v>676</v>
      </c>
      <c r="D17" s="3160">
        <v>6.8051701998918121E-2</v>
      </c>
      <c r="E17" s="3160">
        <v>0.15681024376891667</v>
      </c>
      <c r="F17" s="3160" t="s">
        <v>199</v>
      </c>
      <c r="G17" s="3668">
        <f t="shared" si="1"/>
        <v>1.7500000000000002E-2</v>
      </c>
      <c r="H17" s="3081">
        <f t="shared" si="2"/>
        <v>0.11888904313222994</v>
      </c>
      <c r="I17" s="3081" t="str">
        <f t="shared" si="3"/>
        <v>NA</v>
      </c>
      <c r="J17" s="3194">
        <v>1.1909047849810671E-3</v>
      </c>
      <c r="K17" s="3194">
        <v>1.8643019835018225E-2</v>
      </c>
      <c r="L17" s="3194">
        <v>1.7347234759768071E-17</v>
      </c>
      <c r="M17" s="3460" t="s">
        <v>199</v>
      </c>
    </row>
    <row r="18" spans="2:13" ht="18" customHeight="1" x14ac:dyDescent="0.2">
      <c r="B18" s="2634" t="s">
        <v>677</v>
      </c>
      <c r="C18" s="2636" t="s">
        <v>677</v>
      </c>
      <c r="D18" s="3160">
        <v>173.80131371883888</v>
      </c>
      <c r="E18" s="3160">
        <v>400.48706455633345</v>
      </c>
      <c r="F18" s="3160" t="s">
        <v>199</v>
      </c>
      <c r="G18" s="3668">
        <f t="shared" si="1"/>
        <v>1.7499999999999998E-2</v>
      </c>
      <c r="H18" s="3081">
        <f t="shared" si="2"/>
        <v>0.11888904313222995</v>
      </c>
      <c r="I18" s="3081" t="str">
        <f t="shared" si="3"/>
        <v>NA</v>
      </c>
      <c r="J18" s="3194">
        <v>3.0415229900796801</v>
      </c>
      <c r="K18" s="3194">
        <v>47.613523891938087</v>
      </c>
      <c r="L18" s="3194">
        <v>3.5527136788005009E-14</v>
      </c>
      <c r="M18" s="3460" t="s">
        <v>199</v>
      </c>
    </row>
    <row r="19" spans="2:13" ht="18" customHeight="1" x14ac:dyDescent="0.2">
      <c r="B19" s="2634" t="s">
        <v>679</v>
      </c>
      <c r="C19" s="2636" t="s">
        <v>679</v>
      </c>
      <c r="D19" s="3160">
        <v>5.8179230844000447</v>
      </c>
      <c r="E19" s="3160">
        <v>13.406129608750748</v>
      </c>
      <c r="F19" s="3160" t="s">
        <v>199</v>
      </c>
      <c r="G19" s="3668">
        <f t="shared" si="1"/>
        <v>1.7500000000000002E-2</v>
      </c>
      <c r="H19" s="3081">
        <f t="shared" si="2"/>
        <v>0.11888904313222995</v>
      </c>
      <c r="I19" s="3081" t="str">
        <f t="shared" si="3"/>
        <v>NA</v>
      </c>
      <c r="J19" s="3194">
        <v>0.10181365397700079</v>
      </c>
      <c r="K19" s="3194">
        <v>1.5938419212910326</v>
      </c>
      <c r="L19" s="3194">
        <v>1.3322676295501878E-15</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v>2.0641354698414536</v>
      </c>
      <c r="E21" s="3160">
        <v>4.7563481395814531</v>
      </c>
      <c r="F21" s="3160" t="s">
        <v>199</v>
      </c>
      <c r="G21" s="3668">
        <f t="shared" si="1"/>
        <v>1.7500000000000002E-2</v>
      </c>
      <c r="H21" s="3081">
        <f t="shared" si="2"/>
        <v>0.11888904313222996</v>
      </c>
      <c r="I21" s="3081" t="str">
        <f t="shared" si="3"/>
        <v>NA</v>
      </c>
      <c r="J21" s="3194">
        <v>3.612237072222544E-2</v>
      </c>
      <c r="K21" s="3194">
        <v>0.56547767911860114</v>
      </c>
      <c r="L21" s="3194">
        <v>2.2204460492503131E-16</v>
      </c>
      <c r="M21" s="3460" t="s">
        <v>199</v>
      </c>
    </row>
    <row r="22" spans="2:13" ht="18" customHeight="1" x14ac:dyDescent="0.2">
      <c r="B22" s="2634" t="s">
        <v>686</v>
      </c>
      <c r="C22" s="2636" t="s">
        <v>686</v>
      </c>
      <c r="D22" s="3160">
        <v>2.2109064976906474E-4</v>
      </c>
      <c r="E22" s="3160">
        <v>0.17855199073275715</v>
      </c>
      <c r="F22" s="3160" t="s">
        <v>199</v>
      </c>
      <c r="G22" s="3668">
        <f t="shared" si="1"/>
        <v>1.7500000000000002E-2</v>
      </c>
      <c r="H22" s="3081">
        <f t="shared" si="2"/>
        <v>3.392211713789108E-4</v>
      </c>
      <c r="I22" s="3081" t="str">
        <f t="shared" si="3"/>
        <v>NA</v>
      </c>
      <c r="J22" s="3194">
        <v>3.8690863709586332E-6</v>
      </c>
      <c r="K22" s="3194">
        <v>6.0568615448402304E-5</v>
      </c>
      <c r="L22" s="3194">
        <v>4.0657581468206416E-20</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f>IF(SUM(J26:J37)=0,"NO",SUM(J26:J37))</f>
        <v>0.18199785972448657</v>
      </c>
      <c r="K25" s="3081">
        <f>IF(SUM(K26:K37)=0,"NO",SUM(K26:K37))</f>
        <v>3.2759277003521374</v>
      </c>
      <c r="L25" s="3081">
        <f>IF(SUM(L26:L37)=0,"NO",SUM(L26:L37))</f>
        <v>-3.5236570605778894E-18</v>
      </c>
      <c r="M25" s="3193" t="str">
        <f>IF(SUM(M26:M37)=0,"NO",SUM(M26:M37))</f>
        <v>NO</v>
      </c>
    </row>
    <row r="26" spans="2:13" ht="18" customHeight="1" x14ac:dyDescent="0.2">
      <c r="B26" s="2634" t="s">
        <v>671</v>
      </c>
      <c r="C26" s="2636" t="s">
        <v>671</v>
      </c>
      <c r="D26" s="3461">
        <v>2.6499006798086063E-3</v>
      </c>
      <c r="E26" s="3461">
        <v>1.9031525005918083E-2</v>
      </c>
      <c r="F26" s="3461" t="s">
        <v>199</v>
      </c>
      <c r="G26" s="3668">
        <f>IF(SUM(D26)=0,"NA",J26/D26)</f>
        <v>6.0000000000000001E-3</v>
      </c>
      <c r="H26" s="3081">
        <f>IF(SUM(E26)=0,"NA",K26/E26)</f>
        <v>1.5037487682166959E-2</v>
      </c>
      <c r="I26" s="3081" t="str">
        <f>IF(SUM(F26)=0,"NA",L26/F26)</f>
        <v>NA</v>
      </c>
      <c r="J26" s="3194">
        <v>1.5899404078851639E-5</v>
      </c>
      <c r="K26" s="3194">
        <v>2.8618632284934563E-4</v>
      </c>
      <c r="L26" s="3194">
        <v>-5.4210108624275222E-20</v>
      </c>
      <c r="M26" s="3460" t="s">
        <v>199</v>
      </c>
    </row>
    <row r="27" spans="2:13" ht="18" customHeight="1" x14ac:dyDescent="0.2">
      <c r="B27" s="2634" t="s">
        <v>672</v>
      </c>
      <c r="C27" s="2636" t="s">
        <v>672</v>
      </c>
      <c r="D27" s="3461">
        <v>0.41417502357683261</v>
      </c>
      <c r="E27" s="3461">
        <v>2.9745953794006041</v>
      </c>
      <c r="F27" s="3461" t="s">
        <v>199</v>
      </c>
      <c r="G27" s="3668">
        <f t="shared" ref="G27:G37" si="7">IF(SUM(D27)=0,"NA",J27/D27)</f>
        <v>5.9999999999999993E-3</v>
      </c>
      <c r="H27" s="3081">
        <f t="shared" ref="H27:H37" si="8">IF(SUM(E27)=0,"NA",K27/E27)</f>
        <v>1.5037487682166959E-2</v>
      </c>
      <c r="I27" s="3081" t="str">
        <f t="shared" ref="I27:I37" si="9">IF(SUM(F27)=0,"NA",L27/F27)</f>
        <v>NA</v>
      </c>
      <c r="J27" s="3194">
        <v>2.4850501414609952E-3</v>
      </c>
      <c r="K27" s="3194">
        <v>4.4730441377167335E-2</v>
      </c>
      <c r="L27" s="3194" t="s">
        <v>199</v>
      </c>
      <c r="M27" s="3460" t="s">
        <v>199</v>
      </c>
    </row>
    <row r="28" spans="2:13" ht="18" customHeight="1" x14ac:dyDescent="0.2">
      <c r="B28" s="2634" t="s">
        <v>674</v>
      </c>
      <c r="C28" s="2636" t="s">
        <v>674</v>
      </c>
      <c r="D28" s="3461">
        <v>6.148663049544742E-3</v>
      </c>
      <c r="E28" s="3461">
        <v>4.4159554911630559E-2</v>
      </c>
      <c r="F28" s="3461" t="s">
        <v>199</v>
      </c>
      <c r="G28" s="3668">
        <f t="shared" si="7"/>
        <v>6.0000000000000001E-3</v>
      </c>
      <c r="H28" s="3081">
        <f t="shared" si="8"/>
        <v>1.5037487682166957E-2</v>
      </c>
      <c r="I28" s="3081" t="str">
        <f t="shared" si="9"/>
        <v>NA</v>
      </c>
      <c r="J28" s="3194">
        <v>3.6891978297268454E-5</v>
      </c>
      <c r="K28" s="3194">
        <v>6.6404876303361989E-4</v>
      </c>
      <c r="L28" s="3194" t="s">
        <v>199</v>
      </c>
      <c r="M28" s="3460" t="s">
        <v>199</v>
      </c>
    </row>
    <row r="29" spans="2:13" ht="18" customHeight="1" x14ac:dyDescent="0.2">
      <c r="B29" s="2634" t="s">
        <v>675</v>
      </c>
      <c r="C29" s="2636" t="s">
        <v>675</v>
      </c>
      <c r="D29" s="3461">
        <v>7.4958226084534667</v>
      </c>
      <c r="E29" s="3461">
        <v>53.834823508559545</v>
      </c>
      <c r="F29" s="3461" t="s">
        <v>199</v>
      </c>
      <c r="G29" s="3668">
        <f t="shared" si="7"/>
        <v>6.0000000000000001E-3</v>
      </c>
      <c r="H29" s="3081">
        <f t="shared" si="8"/>
        <v>1.5037487682166959E-2</v>
      </c>
      <c r="I29" s="3081" t="str">
        <f t="shared" si="9"/>
        <v>NA</v>
      </c>
      <c r="J29" s="3194">
        <v>4.4974935650720804E-2</v>
      </c>
      <c r="K29" s="3194">
        <v>0.80954049538159634</v>
      </c>
      <c r="L29" s="3194" t="s">
        <v>199</v>
      </c>
      <c r="M29" s="3460" t="s">
        <v>199</v>
      </c>
    </row>
    <row r="30" spans="2:13" ht="18" customHeight="1" x14ac:dyDescent="0.2">
      <c r="B30" s="2634" t="s">
        <v>676</v>
      </c>
      <c r="C30" s="2636" t="s">
        <v>676</v>
      </c>
      <c r="D30" s="3461">
        <v>8.3923483954142682E-3</v>
      </c>
      <c r="E30" s="3461">
        <v>6.0273650843864497E-2</v>
      </c>
      <c r="F30" s="3461" t="s">
        <v>199</v>
      </c>
      <c r="G30" s="3668">
        <f t="shared" si="7"/>
        <v>5.9999999999999993E-3</v>
      </c>
      <c r="H30" s="3081">
        <f t="shared" si="8"/>
        <v>1.503748768216696E-2</v>
      </c>
      <c r="I30" s="3081" t="str">
        <f t="shared" si="9"/>
        <v>NA</v>
      </c>
      <c r="J30" s="3194">
        <v>5.0354090372485604E-5</v>
      </c>
      <c r="K30" s="3194">
        <v>9.0636428212384457E-4</v>
      </c>
      <c r="L30" s="3194" t="s">
        <v>199</v>
      </c>
      <c r="M30" s="3460" t="s">
        <v>199</v>
      </c>
    </row>
    <row r="31" spans="2:13" ht="18" customHeight="1" x14ac:dyDescent="0.2">
      <c r="B31" s="2634" t="s">
        <v>677</v>
      </c>
      <c r="C31" s="2636" t="s">
        <v>677</v>
      </c>
      <c r="D31" s="3461">
        <v>21.433720736806524</v>
      </c>
      <c r="E31" s="3461">
        <v>153.93648346165969</v>
      </c>
      <c r="F31" s="3461" t="s">
        <v>199</v>
      </c>
      <c r="G31" s="3668">
        <f t="shared" si="7"/>
        <v>5.9999999999999993E-3</v>
      </c>
      <c r="H31" s="3081">
        <f t="shared" si="8"/>
        <v>1.5037487682166959E-2</v>
      </c>
      <c r="I31" s="3081" t="str">
        <f t="shared" si="9"/>
        <v>NA</v>
      </c>
      <c r="J31" s="3194">
        <v>0.12860232442083913</v>
      </c>
      <c r="K31" s="3194">
        <v>2.3148179738908055</v>
      </c>
      <c r="L31" s="3194" t="s">
        <v>199</v>
      </c>
      <c r="M31" s="3460" t="s">
        <v>199</v>
      </c>
    </row>
    <row r="32" spans="2:13" ht="18" customHeight="1" x14ac:dyDescent="0.2">
      <c r="B32" s="2634" t="s">
        <v>679</v>
      </c>
      <c r="C32" s="2636" t="s">
        <v>679</v>
      </c>
      <c r="D32" s="3461">
        <v>0.71748444238447662</v>
      </c>
      <c r="E32" s="3461">
        <v>5.1529565657470613</v>
      </c>
      <c r="F32" s="3461" t="s">
        <v>199</v>
      </c>
      <c r="G32" s="3668">
        <f t="shared" si="7"/>
        <v>5.9999999999999993E-3</v>
      </c>
      <c r="H32" s="3081">
        <f t="shared" si="8"/>
        <v>1.5037487682166962E-2</v>
      </c>
      <c r="I32" s="3081" t="str">
        <f t="shared" si="9"/>
        <v>NA</v>
      </c>
      <c r="J32" s="3194">
        <v>4.3049066543068594E-3</v>
      </c>
      <c r="K32" s="3194">
        <v>7.7487520884162803E-2</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v>0.25455563181236812</v>
      </c>
      <c r="E34" s="3461">
        <v>1.8282126228913114</v>
      </c>
      <c r="F34" s="3461" t="s">
        <v>199</v>
      </c>
      <c r="G34" s="3668">
        <f t="shared" si="7"/>
        <v>5.9999999999999993E-3</v>
      </c>
      <c r="H34" s="3081">
        <f t="shared" si="8"/>
        <v>1.5037487682166959E-2</v>
      </c>
      <c r="I34" s="3081" t="str">
        <f t="shared" si="9"/>
        <v>NA</v>
      </c>
      <c r="J34" s="3194">
        <v>1.5273337908742086E-3</v>
      </c>
      <c r="K34" s="3194">
        <v>2.7491724797110241E-2</v>
      </c>
      <c r="L34" s="3194">
        <v>-3.4694469519536142E-18</v>
      </c>
      <c r="M34" s="3460" t="s">
        <v>199</v>
      </c>
    </row>
    <row r="35" spans="2:13" ht="18" customHeight="1" x14ac:dyDescent="0.2">
      <c r="B35" s="2634" t="s">
        <v>686</v>
      </c>
      <c r="C35" s="2636" t="s">
        <v>686</v>
      </c>
      <c r="D35" s="3461">
        <v>2.7265589328831284E-5</v>
      </c>
      <c r="E35" s="3461">
        <v>1.958208279527762E-4</v>
      </c>
      <c r="F35" s="3461" t="s">
        <v>199</v>
      </c>
      <c r="G35" s="3668">
        <f t="shared" si="7"/>
        <v>5.9999999999999993E-3</v>
      </c>
      <c r="H35" s="3081">
        <f t="shared" si="8"/>
        <v>1.5037487682166959E-2</v>
      </c>
      <c r="I35" s="3081" t="str">
        <f t="shared" si="9"/>
        <v>NA</v>
      </c>
      <c r="J35" s="3194">
        <v>1.6359353597298768E-7</v>
      </c>
      <c r="K35" s="3194">
        <v>2.9446532882516072E-6</v>
      </c>
      <c r="L35" s="3194" t="s">
        <v>199</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NO</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NO</v>
      </c>
    </row>
    <row r="40" spans="2:13" ht="18" customHeight="1" x14ac:dyDescent="0.2">
      <c r="B40" s="2634" t="s">
        <v>672</v>
      </c>
      <c r="C40" s="2636" t="s">
        <v>672</v>
      </c>
      <c r="D40" s="3461" t="str">
        <f t="shared" ref="D40:F50" si="13">IF(D14="NO","NO","IE")</f>
        <v>IE</v>
      </c>
      <c r="E40" s="3461" t="str">
        <f t="shared" si="13"/>
        <v>IE</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NO</v>
      </c>
    </row>
    <row r="41" spans="2:13" ht="18" customHeight="1" x14ac:dyDescent="0.2">
      <c r="B41" s="2634" t="s">
        <v>674</v>
      </c>
      <c r="C41" s="2636" t="s">
        <v>674</v>
      </c>
      <c r="D41" s="3461" t="str">
        <f t="shared" si="13"/>
        <v>IE</v>
      </c>
      <c r="E41" s="3461" t="str">
        <f t="shared" si="13"/>
        <v>IE</v>
      </c>
      <c r="F41" s="3461" t="str">
        <f t="shared" si="13"/>
        <v>NO</v>
      </c>
      <c r="G41" s="3668" t="str">
        <f t="shared" si="14"/>
        <v>NA</v>
      </c>
      <c r="H41" s="3668" t="str">
        <f t="shared" si="15"/>
        <v>NA</v>
      </c>
      <c r="I41" s="3668" t="str">
        <f t="shared" si="16"/>
        <v>NA</v>
      </c>
      <c r="J41" s="3461" t="str">
        <f t="shared" ref="J41:L41" si="19">IF(J15="NO","NO","IE")</f>
        <v>IE</v>
      </c>
      <c r="K41" s="3461" t="str">
        <f t="shared" si="19"/>
        <v>IE</v>
      </c>
      <c r="L41" s="3461" t="str">
        <f t="shared" si="19"/>
        <v>IE</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NO</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NO</v>
      </c>
    </row>
    <row r="43" spans="2:13" ht="18" customHeight="1" x14ac:dyDescent="0.2">
      <c r="B43" s="2634" t="s">
        <v>676</v>
      </c>
      <c r="C43" s="2636" t="s">
        <v>676</v>
      </c>
      <c r="D43" s="3461" t="str">
        <f t="shared" si="13"/>
        <v>IE</v>
      </c>
      <c r="E43" s="3461" t="str">
        <f t="shared" si="13"/>
        <v>IE</v>
      </c>
      <c r="F43" s="3461" t="str">
        <f t="shared" si="13"/>
        <v>NO</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NO</v>
      </c>
    </row>
    <row r="44" spans="2:13" ht="18" customHeight="1" x14ac:dyDescent="0.2">
      <c r="B44" s="2634" t="s">
        <v>677</v>
      </c>
      <c r="C44" s="2636" t="s">
        <v>677</v>
      </c>
      <c r="D44" s="3461" t="str">
        <f t="shared" si="13"/>
        <v>IE</v>
      </c>
      <c r="E44" s="3461" t="str">
        <f t="shared" si="13"/>
        <v>IE</v>
      </c>
      <c r="F44" s="3461" t="str">
        <f t="shared" si="13"/>
        <v>NO</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NO</v>
      </c>
    </row>
    <row r="45" spans="2:13" ht="18" customHeight="1" x14ac:dyDescent="0.2">
      <c r="B45" s="2634" t="s">
        <v>679</v>
      </c>
      <c r="C45" s="2636" t="s">
        <v>679</v>
      </c>
      <c r="D45" s="3461" t="str">
        <f t="shared" si="13"/>
        <v>IE</v>
      </c>
      <c r="E45" s="3461" t="str">
        <f t="shared" si="13"/>
        <v>IE</v>
      </c>
      <c r="F45" s="3461" t="str">
        <f t="shared" si="13"/>
        <v>NO</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IE</v>
      </c>
      <c r="E47" s="3461" t="str">
        <f t="shared" si="13"/>
        <v>IE</v>
      </c>
      <c r="F47" s="3461" t="str">
        <f t="shared" si="13"/>
        <v>NO</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NO</v>
      </c>
    </row>
    <row r="48" spans="2:13" ht="18" customHeight="1" x14ac:dyDescent="0.2">
      <c r="B48" s="2634" t="s">
        <v>686</v>
      </c>
      <c r="C48" s="2636" t="s">
        <v>686</v>
      </c>
      <c r="D48" s="3461" t="str">
        <f t="shared" si="13"/>
        <v>IE</v>
      </c>
      <c r="E48" s="3461" t="str">
        <f t="shared" si="13"/>
        <v>IE</v>
      </c>
      <c r="F48" s="3461" t="str">
        <f t="shared" si="13"/>
        <v>NO</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f>IF(SUM(J52:J63)=0,"NO",SUM(J52:J63))</f>
        <v>1.0378457440313773</v>
      </c>
      <c r="K51" s="3081">
        <f>IF(SUM(K52:K63)=0,"NO",SUM(K52:K63))</f>
        <v>7.7578507746412058</v>
      </c>
      <c r="L51" s="3081">
        <f>IF(SUM(L52:L63)=0,"NO",SUM(L52:L63))</f>
        <v>5.0820926514403425E-15</v>
      </c>
      <c r="M51" s="3193" t="str">
        <f>IF(SUM(M52:M63)=0,"NO",SUM(M52:M63))</f>
        <v>NO</v>
      </c>
    </row>
    <row r="52" spans="2:13" ht="18" customHeight="1" x14ac:dyDescent="0.2">
      <c r="B52" s="2634" t="s">
        <v>671</v>
      </c>
      <c r="C52" s="2636" t="s">
        <v>671</v>
      </c>
      <c r="D52" s="3461">
        <v>1.7777766545351472E-3</v>
      </c>
      <c r="E52" s="3461">
        <v>3.7813261075624258E-3</v>
      </c>
      <c r="F52" s="3461" t="s">
        <v>199</v>
      </c>
      <c r="G52" s="3081">
        <f>IF(SUM(D52)=0,"NA",J52/D52)</f>
        <v>5.1000000000000004E-2</v>
      </c>
      <c r="H52" s="3081">
        <f>IF(SUM(E52)=0,"NA",K52/E52)</f>
        <v>0.17923047447295917</v>
      </c>
      <c r="I52" s="3081" t="str">
        <f>IF(SUM(F52)=0,"NA",L52/F52)</f>
        <v>NA</v>
      </c>
      <c r="J52" s="3194">
        <v>9.0666609381292513E-5</v>
      </c>
      <c r="K52" s="3194">
        <v>6.7772887239540142E-4</v>
      </c>
      <c r="L52" s="3194">
        <v>4.3368086899420177E-19</v>
      </c>
      <c r="M52" s="3460" t="s">
        <v>199</v>
      </c>
    </row>
    <row r="53" spans="2:13" ht="18" customHeight="1" x14ac:dyDescent="0.2">
      <c r="B53" s="2634" t="s">
        <v>672</v>
      </c>
      <c r="C53" s="2636" t="s">
        <v>672</v>
      </c>
      <c r="D53" s="3461">
        <v>0.27786350387276343</v>
      </c>
      <c r="E53" s="3461">
        <v>0.59101491677962692</v>
      </c>
      <c r="F53" s="3461" t="s">
        <v>199</v>
      </c>
      <c r="G53" s="3081">
        <f t="shared" ref="G53:G63" si="39">IF(SUM(D53)=0,"NA",J53/D53)</f>
        <v>5.0999999999999997E-2</v>
      </c>
      <c r="H53" s="3081">
        <f t="shared" ref="H53:H63" si="40">IF(SUM(E53)=0,"NA",K53/E53)</f>
        <v>0.17923047447295914</v>
      </c>
      <c r="I53" s="3081" t="str">
        <f t="shared" ref="I53:I63" si="41">IF(SUM(F53)=0,"NA",L53/F53)</f>
        <v>NA</v>
      </c>
      <c r="J53" s="3194">
        <v>1.4171038697510935E-2</v>
      </c>
      <c r="K53" s="3194">
        <v>0.10592788395500899</v>
      </c>
      <c r="L53" s="3194">
        <v>6.9388939039072284E-17</v>
      </c>
      <c r="M53" s="3460" t="s">
        <v>199</v>
      </c>
    </row>
    <row r="54" spans="2:13" ht="18" customHeight="1" x14ac:dyDescent="0.2">
      <c r="B54" s="2634" t="s">
        <v>674</v>
      </c>
      <c r="C54" s="2636" t="s">
        <v>674</v>
      </c>
      <c r="D54" s="3461">
        <v>4.1250412550832031E-3</v>
      </c>
      <c r="E54" s="3461">
        <v>8.7739515269407049E-3</v>
      </c>
      <c r="F54" s="3461" t="s">
        <v>199</v>
      </c>
      <c r="G54" s="3081">
        <f t="shared" si="39"/>
        <v>5.1000000000000004E-2</v>
      </c>
      <c r="H54" s="3081">
        <f t="shared" si="40"/>
        <v>0.17923047447295914</v>
      </c>
      <c r="I54" s="3081" t="str">
        <f t="shared" si="41"/>
        <v>NA</v>
      </c>
      <c r="J54" s="3194">
        <v>2.1037710400924337E-4</v>
      </c>
      <c r="K54" s="3194">
        <v>1.5725594951763269E-3</v>
      </c>
      <c r="L54" s="3194">
        <v>1.0842021724855044E-18</v>
      </c>
      <c r="M54" s="3460" t="s">
        <v>199</v>
      </c>
    </row>
    <row r="55" spans="2:13" ht="18" customHeight="1" x14ac:dyDescent="0.2">
      <c r="B55" s="2634" t="s">
        <v>675</v>
      </c>
      <c r="C55" s="2636" t="s">
        <v>675</v>
      </c>
      <c r="D55" s="3461">
        <v>5.0288293977900373</v>
      </c>
      <c r="E55" s="3461">
        <v>10.696306447624666</v>
      </c>
      <c r="F55" s="3461" t="s">
        <v>199</v>
      </c>
      <c r="G55" s="3081">
        <f t="shared" si="39"/>
        <v>5.1000000000000004E-2</v>
      </c>
      <c r="H55" s="3081">
        <f t="shared" si="40"/>
        <v>0.17923047447295912</v>
      </c>
      <c r="I55" s="3081" t="str">
        <f t="shared" si="41"/>
        <v>NA</v>
      </c>
      <c r="J55" s="3194">
        <v>0.25647029928729193</v>
      </c>
      <c r="K55" s="3194">
        <v>1.9171040797159409</v>
      </c>
      <c r="L55" s="3194">
        <v>1.3322676295501878E-15</v>
      </c>
      <c r="M55" s="3460" t="s">
        <v>199</v>
      </c>
    </row>
    <row r="56" spans="2:13" ht="18" customHeight="1" x14ac:dyDescent="0.2">
      <c r="B56" s="2634" t="s">
        <v>676</v>
      </c>
      <c r="C56" s="2636" t="s">
        <v>676</v>
      </c>
      <c r="D56" s="3461">
        <v>5.6302944362316967E-3</v>
      </c>
      <c r="E56" s="3461">
        <v>1.1975620948039329E-2</v>
      </c>
      <c r="F56" s="3461" t="s">
        <v>199</v>
      </c>
      <c r="G56" s="3081">
        <f t="shared" si="39"/>
        <v>5.1000000000000004E-2</v>
      </c>
      <c r="H56" s="3081">
        <f t="shared" si="40"/>
        <v>0.17923047447295914</v>
      </c>
      <c r="I56" s="3081" t="str">
        <f t="shared" si="41"/>
        <v>NA</v>
      </c>
      <c r="J56" s="3194">
        <v>2.8714501624781656E-4</v>
      </c>
      <c r="K56" s="3194">
        <v>2.1463962246253978E-3</v>
      </c>
      <c r="L56" s="3194">
        <v>1.3010426069826053E-18</v>
      </c>
      <c r="M56" s="3460" t="s">
        <v>199</v>
      </c>
    </row>
    <row r="57" spans="2:13" ht="18" customHeight="1" x14ac:dyDescent="0.2">
      <c r="B57" s="2634" t="s">
        <v>677</v>
      </c>
      <c r="C57" s="2636" t="s">
        <v>677</v>
      </c>
      <c r="D57" s="3461">
        <v>14.379545858478238</v>
      </c>
      <c r="E57" s="3461">
        <v>30.585254919872128</v>
      </c>
      <c r="F57" s="3461" t="s">
        <v>199</v>
      </c>
      <c r="G57" s="3081">
        <f t="shared" si="39"/>
        <v>5.0999999999999997E-2</v>
      </c>
      <c r="H57" s="3081">
        <f t="shared" si="40"/>
        <v>0.17923047447295914</v>
      </c>
      <c r="I57" s="3081" t="str">
        <f t="shared" si="41"/>
        <v>NA</v>
      </c>
      <c r="J57" s="3194">
        <v>0.73335683878239011</v>
      </c>
      <c r="K57" s="3194">
        <v>5.4818097511650894</v>
      </c>
      <c r="L57" s="3194">
        <v>3.5527136788005009E-15</v>
      </c>
      <c r="M57" s="3460" t="s">
        <v>199</v>
      </c>
    </row>
    <row r="58" spans="2:13" ht="18" customHeight="1" x14ac:dyDescent="0.2">
      <c r="B58" s="2634" t="s">
        <v>679</v>
      </c>
      <c r="C58" s="2636" t="s">
        <v>679</v>
      </c>
      <c r="D58" s="3461">
        <v>0.48134901861884793</v>
      </c>
      <c r="E58" s="3461">
        <v>1.0238280530401787</v>
      </c>
      <c r="F58" s="3461" t="s">
        <v>199</v>
      </c>
      <c r="G58" s="3081">
        <f t="shared" si="39"/>
        <v>5.0999999999999997E-2</v>
      </c>
      <c r="H58" s="3081">
        <f t="shared" si="40"/>
        <v>0.17923047447295914</v>
      </c>
      <c r="I58" s="3081" t="str">
        <f t="shared" si="41"/>
        <v>NA</v>
      </c>
      <c r="J58" s="3194">
        <v>2.4548799949561242E-2</v>
      </c>
      <c r="K58" s="3194">
        <v>0.1835011877251172</v>
      </c>
      <c r="L58" s="3194">
        <v>8.3266726846886741E-17</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v>0.17077736647441377</v>
      </c>
      <c r="E60" s="3461">
        <v>0.36324299387276604</v>
      </c>
      <c r="F60" s="3461" t="s">
        <v>199</v>
      </c>
      <c r="G60" s="3081">
        <f t="shared" si="39"/>
        <v>5.099999999999999E-2</v>
      </c>
      <c r="H60" s="3081">
        <f t="shared" si="40"/>
        <v>0.17923047447295914</v>
      </c>
      <c r="I60" s="3081" t="str">
        <f t="shared" si="41"/>
        <v>NA</v>
      </c>
      <c r="J60" s="3194">
        <v>8.709645690195101E-3</v>
      </c>
      <c r="K60" s="3194">
        <v>6.5104214140794051E-2</v>
      </c>
      <c r="L60" s="3194">
        <v>4.163336342344337E-17</v>
      </c>
      <c r="M60" s="3460" t="s">
        <v>199</v>
      </c>
    </row>
    <row r="61" spans="2:13" ht="18" customHeight="1" x14ac:dyDescent="0.2">
      <c r="B61" s="2634" t="s">
        <v>686</v>
      </c>
      <c r="C61" s="2636" t="s">
        <v>686</v>
      </c>
      <c r="D61" s="3461">
        <v>1.8292054698608504E-5</v>
      </c>
      <c r="E61" s="3461">
        <v>3.8907150578425372E-5</v>
      </c>
      <c r="F61" s="3461" t="s">
        <v>199</v>
      </c>
      <c r="G61" s="3081">
        <f t="shared" si="39"/>
        <v>5.1000000000000004E-2</v>
      </c>
      <c r="H61" s="3081">
        <f t="shared" si="40"/>
        <v>0.17923047447295914</v>
      </c>
      <c r="I61" s="3081" t="str">
        <f t="shared" si="41"/>
        <v>NA</v>
      </c>
      <c r="J61" s="3194">
        <v>9.3289478962903371E-7</v>
      </c>
      <c r="K61" s="3194">
        <v>6.9733470585620462E-6</v>
      </c>
      <c r="L61" s="3194">
        <v>3.3881317890172014E-21</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f>IF(SUM(J65:J76)=0,"NO",SUM(J65:J76))</f>
        <v>0.93501661776177836</v>
      </c>
      <c r="K64" s="3081">
        <f>IF(SUM(K65:K76)=0,"NO",SUM(K65:K76))</f>
        <v>71.992883604812349</v>
      </c>
      <c r="L64" s="3081">
        <f>IF(SUM(L65:L76)=0,"NO",SUM(L65:L76))</f>
        <v>13.276419799668464</v>
      </c>
      <c r="M64" s="3193">
        <f>IF(SUM(M65:M76)=0,"NO",SUM(M65:M76))</f>
        <v>-1.4551131712064465</v>
      </c>
    </row>
    <row r="65" spans="2:13" ht="18" customHeight="1" x14ac:dyDescent="0.2">
      <c r="B65" s="2634" t="s">
        <v>671</v>
      </c>
      <c r="C65" s="2636" t="s">
        <v>671</v>
      </c>
      <c r="D65" s="3461">
        <v>2.3338119075749505E-2</v>
      </c>
      <c r="E65" s="3461">
        <v>6.9579363555123869E-2</v>
      </c>
      <c r="F65" s="3461">
        <v>1.2869524716358882E-3</v>
      </c>
      <c r="G65" s="3081">
        <f>IF(SUM(D65)=0,"NA",J65/D65)</f>
        <v>3.5000000000000009E-3</v>
      </c>
      <c r="H65" s="3081">
        <f>IF(SUM(E65)=0,"NA",K65/E65)</f>
        <v>9.0390686216781729E-2</v>
      </c>
      <c r="I65" s="3081">
        <f>IF(SUM(F65)=0,"NA",L65/F65)</f>
        <v>0.90122459257407417</v>
      </c>
      <c r="J65" s="3194">
        <v>8.1683416765123291E-5</v>
      </c>
      <c r="K65" s="3194">
        <v>6.2893264182745804E-3</v>
      </c>
      <c r="L65" s="3194">
        <v>1.1598332169122511E-3</v>
      </c>
      <c r="M65" s="3460">
        <v>-1.2711925472361912E-4</v>
      </c>
    </row>
    <row r="66" spans="2:13" ht="18" customHeight="1" x14ac:dyDescent="0.2">
      <c r="B66" s="2634" t="s">
        <v>672</v>
      </c>
      <c r="C66" s="2636" t="s">
        <v>672</v>
      </c>
      <c r="D66" s="3461">
        <v>3.6477087960653773</v>
      </c>
      <c r="E66" s="3461">
        <v>10.875137608170984</v>
      </c>
      <c r="F66" s="3461">
        <v>0.20114850882658569</v>
      </c>
      <c r="G66" s="3081">
        <f t="shared" ref="G66:G76" si="42">IF(SUM(D66)=0,"NA",J66/D66)</f>
        <v>3.5000000000000009E-3</v>
      </c>
      <c r="H66" s="3081">
        <f t="shared" ref="H66:H76" si="43">IF(SUM(E66)=0,"NA",K66/E66)</f>
        <v>9.0390686216781729E-2</v>
      </c>
      <c r="I66" s="3081">
        <f t="shared" ref="I66:I76" si="44">IF(SUM(F66)=0,"NA",L66/F66)</f>
        <v>0.90122459257407428</v>
      </c>
      <c r="J66" s="3194">
        <v>1.2766980786228824E-2</v>
      </c>
      <c r="K66" s="3194">
        <v>0.98301115110450554</v>
      </c>
      <c r="L66" s="3194">
        <v>0.18127998291412228</v>
      </c>
      <c r="M66" s="3460">
        <v>-1.9868525912460633E-2</v>
      </c>
    </row>
    <row r="67" spans="2:13" ht="18" customHeight="1" x14ac:dyDescent="0.2">
      <c r="B67" s="2634" t="s">
        <v>674</v>
      </c>
      <c r="C67" s="2636" t="s">
        <v>674</v>
      </c>
      <c r="D67" s="3461">
        <v>5.4152305216699927E-2</v>
      </c>
      <c r="E67" s="3461">
        <v>0.16144758366307155</v>
      </c>
      <c r="F67" s="3461">
        <v>2.9861636585713073E-3</v>
      </c>
      <c r="G67" s="3081">
        <f t="shared" si="42"/>
        <v>3.5000000000000001E-3</v>
      </c>
      <c r="H67" s="3081">
        <f t="shared" si="43"/>
        <v>9.0390686216781729E-2</v>
      </c>
      <c r="I67" s="3081">
        <f t="shared" si="44"/>
        <v>0.90122459257407372</v>
      </c>
      <c r="J67" s="3194">
        <v>1.8953306825844976E-4</v>
      </c>
      <c r="K67" s="3194">
        <v>1.4593357875346318E-2</v>
      </c>
      <c r="L67" s="3194">
        <v>2.6912041265554319E-3</v>
      </c>
      <c r="M67" s="3460">
        <v>-2.9495953201583245E-4</v>
      </c>
    </row>
    <row r="68" spans="2:13" ht="18" customHeight="1" x14ac:dyDescent="0.2">
      <c r="B68" s="2634" t="s">
        <v>675</v>
      </c>
      <c r="C68" s="2636" t="s">
        <v>675</v>
      </c>
      <c r="D68" s="3461">
        <v>66.01696506580673</v>
      </c>
      <c r="E68" s="3461">
        <v>196.82042062647076</v>
      </c>
      <c r="F68" s="3461">
        <v>3.6404260380015874</v>
      </c>
      <c r="G68" s="3081">
        <f t="shared" si="42"/>
        <v>3.5000000000000009E-3</v>
      </c>
      <c r="H68" s="3081">
        <f t="shared" si="43"/>
        <v>9.0390686216781743E-2</v>
      </c>
      <c r="I68" s="3081">
        <f t="shared" si="44"/>
        <v>0.90122459257407228</v>
      </c>
      <c r="J68" s="3194">
        <v>0.23105937773032362</v>
      </c>
      <c r="K68" s="3194">
        <v>17.790732881902315</v>
      </c>
      <c r="L68" s="3194">
        <v>3.2808414728940249</v>
      </c>
      <c r="M68" s="3460">
        <v>-0.35958456510750497</v>
      </c>
    </row>
    <row r="69" spans="2:13" ht="18" customHeight="1" x14ac:dyDescent="0.2">
      <c r="B69" s="2634" t="s">
        <v>676</v>
      </c>
      <c r="C69" s="2636" t="s">
        <v>676</v>
      </c>
      <c r="D69" s="3461">
        <v>7.3912817816062418E-2</v>
      </c>
      <c r="E69" s="3461">
        <v>0.22036080994853188</v>
      </c>
      <c r="F69" s="3461">
        <v>4.0758333293789556E-3</v>
      </c>
      <c r="G69" s="3081">
        <f t="shared" si="42"/>
        <v>3.5000000000000001E-3</v>
      </c>
      <c r="H69" s="3081">
        <f t="shared" si="43"/>
        <v>9.0390686216781743E-2</v>
      </c>
      <c r="I69" s="3081">
        <f t="shared" si="44"/>
        <v>0.90122459257407261</v>
      </c>
      <c r="J69" s="3194">
        <v>2.5869486235621846E-4</v>
      </c>
      <c r="K69" s="3194">
        <v>1.9918564826533623E-2</v>
      </c>
      <c r="L69" s="3194">
        <v>3.6732412316693754E-3</v>
      </c>
      <c r="M69" s="3460">
        <v>-4.0259209770951725E-4</v>
      </c>
    </row>
    <row r="70" spans="2:13" ht="18" customHeight="1" x14ac:dyDescent="0.2">
      <c r="B70" s="2634" t="s">
        <v>677</v>
      </c>
      <c r="C70" s="2636" t="s">
        <v>677</v>
      </c>
      <c r="D70" s="3461">
        <v>188.77036811360097</v>
      </c>
      <c r="E70" s="3461">
        <v>562.79265817350313</v>
      </c>
      <c r="F70" s="3461">
        <v>10.409514623989175</v>
      </c>
      <c r="G70" s="3081">
        <f t="shared" si="42"/>
        <v>3.5000000000000009E-3</v>
      </c>
      <c r="H70" s="3081">
        <f t="shared" si="43"/>
        <v>9.0390686216781743E-2</v>
      </c>
      <c r="I70" s="3081">
        <f t="shared" si="44"/>
        <v>0.90122459257407206</v>
      </c>
      <c r="J70" s="3194">
        <v>0.66069628839760353</v>
      </c>
      <c r="K70" s="3194">
        <v>50.871214570069625</v>
      </c>
      <c r="L70" s="3194">
        <v>9.3813105758984889</v>
      </c>
      <c r="M70" s="3460">
        <v>-1.0282040480905186</v>
      </c>
    </row>
    <row r="71" spans="2:13" ht="18" customHeight="1" x14ac:dyDescent="0.2">
      <c r="B71" s="2634" t="s">
        <v>679</v>
      </c>
      <c r="C71" s="2636" t="s">
        <v>679</v>
      </c>
      <c r="D71" s="3461">
        <v>6.319005643855327</v>
      </c>
      <c r="E71" s="3461">
        <v>18.839238482485516</v>
      </c>
      <c r="F71" s="3461">
        <v>0.34845395660402301</v>
      </c>
      <c r="G71" s="3081">
        <f t="shared" si="42"/>
        <v>3.5000000000000009E-3</v>
      </c>
      <c r="H71" s="3081">
        <f t="shared" si="43"/>
        <v>9.0390686216781729E-2</v>
      </c>
      <c r="I71" s="3081">
        <f t="shared" si="44"/>
        <v>0.90122459257407406</v>
      </c>
      <c r="J71" s="3194">
        <v>2.2116519753493651E-2</v>
      </c>
      <c r="K71" s="3194">
        <v>1.7028916942334675</v>
      </c>
      <c r="L71" s="3194">
        <v>0.3140352750712847</v>
      </c>
      <c r="M71" s="3460">
        <v>-3.4418681532733385E-2</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v>2.2419140807453903</v>
      </c>
      <c r="E73" s="3461">
        <v>6.6839557368453093</v>
      </c>
      <c r="F73" s="3461">
        <v>0.12362765217050468</v>
      </c>
      <c r="G73" s="3081">
        <f t="shared" si="42"/>
        <v>3.5000000000000005E-3</v>
      </c>
      <c r="H73" s="3081">
        <f t="shared" si="43"/>
        <v>9.0390686216781729E-2</v>
      </c>
      <c r="I73" s="3081">
        <f t="shared" si="44"/>
        <v>0.90122459257407261</v>
      </c>
      <c r="J73" s="3194">
        <v>7.8466992826088672E-3</v>
      </c>
      <c r="K73" s="3194">
        <v>0.60416734569604247</v>
      </c>
      <c r="L73" s="3194">
        <v>0.11141628045825225</v>
      </c>
      <c r="M73" s="3460">
        <v>-1.2211371712250519E-2</v>
      </c>
    </row>
    <row r="74" spans="2:13" ht="18" customHeight="1" x14ac:dyDescent="0.2">
      <c r="B74" s="2634" t="s">
        <v>686</v>
      </c>
      <c r="C74" s="2636" t="s">
        <v>686</v>
      </c>
      <c r="D74" s="3461">
        <v>2.40132611488182E-4</v>
      </c>
      <c r="E74" s="3461">
        <v>7.1592205961186451E-4</v>
      </c>
      <c r="F74" s="3461">
        <v>1.324182368219284E-5</v>
      </c>
      <c r="G74" s="3081">
        <f t="shared" si="42"/>
        <v>3.5000000000000009E-3</v>
      </c>
      <c r="H74" s="3081">
        <f t="shared" si="43"/>
        <v>9.0390686216781729E-2</v>
      </c>
      <c r="I74" s="3081">
        <f t="shared" si="44"/>
        <v>0.9012245925740745</v>
      </c>
      <c r="J74" s="3194">
        <v>8.4046414020863722E-7</v>
      </c>
      <c r="K74" s="3194">
        <v>6.4712686246048146E-5</v>
      </c>
      <c r="L74" s="3194">
        <v>1.1933857152921973E-5</v>
      </c>
      <c r="M74" s="3460">
        <v>-1.3079665292706864E-6</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f>IF(SUM(J78:J89)=0,"NO",SUM(J78:J89))</f>
        <v>2.756242800981803</v>
      </c>
      <c r="K77" s="3081">
        <f>IF(SUM(K78:K89)=0,"NO",SUM(K78:K89))</f>
        <v>45.041111876898739</v>
      </c>
      <c r="L77" s="3081">
        <f>IF(SUM(L78:L89)=0,"NO",SUM(L78:L89))</f>
        <v>9.8085601889957239</v>
      </c>
      <c r="M77" s="3193">
        <f>IF(SUM(M78:M89)=0,"NO",SUM(M78:M89))</f>
        <v>-9.8085601889957221</v>
      </c>
    </row>
    <row r="78" spans="2:13" ht="18" customHeight="1" x14ac:dyDescent="0.2">
      <c r="B78" s="2634" t="s">
        <v>671</v>
      </c>
      <c r="C78" s="2636" t="s">
        <v>671</v>
      </c>
      <c r="D78" s="3461">
        <v>3.8768248304850907E-2</v>
      </c>
      <c r="E78" s="3461">
        <v>0.11403667086237816</v>
      </c>
      <c r="F78" s="3461" t="s">
        <v>199</v>
      </c>
      <c r="G78" s="3081">
        <f>IF(SUM(D78)=0,"NA",J78/D78)</f>
        <v>6.2109189266972321E-3</v>
      </c>
      <c r="H78" s="3081">
        <f>IF(SUM(E78)=0,"NA",K78/E78)</f>
        <v>3.450477016029483E-2</v>
      </c>
      <c r="I78" s="3081" t="str">
        <f>IF(SUM(F78)=0,"NA",L78/F78)</f>
        <v>NA</v>
      </c>
      <c r="J78" s="3194">
        <v>2.4078644715149638E-4</v>
      </c>
      <c r="K78" s="3194">
        <v>3.9348091179515488E-3</v>
      </c>
      <c r="L78" s="3194" t="s">
        <v>199</v>
      </c>
      <c r="M78" s="3460" t="s">
        <v>199</v>
      </c>
    </row>
    <row r="79" spans="2:13" ht="18" customHeight="1" x14ac:dyDescent="0.2">
      <c r="B79" s="2634" t="s">
        <v>672</v>
      </c>
      <c r="C79" s="2636" t="s">
        <v>672</v>
      </c>
      <c r="D79" s="3461">
        <v>6.0594120670416443</v>
      </c>
      <c r="E79" s="3461">
        <v>17.823740037856933</v>
      </c>
      <c r="F79" s="3461" t="s">
        <v>199</v>
      </c>
      <c r="G79" s="3081">
        <f t="shared" ref="G79:G89" si="45">IF(SUM(D79)=0,"NA",J79/D79)</f>
        <v>6.2109189266972321E-3</v>
      </c>
      <c r="H79" s="3081">
        <f t="shared" ref="H79:H89" si="46">IF(SUM(E79)=0,"NA",K79/E79)</f>
        <v>3.4504770160294837E-2</v>
      </c>
      <c r="I79" s="3081" t="str">
        <f t="shared" ref="I79:I89" si="47">IF(SUM(F79)=0,"NA",L79/F79)</f>
        <v>NA</v>
      </c>
      <c r="J79" s="3194">
        <v>3.7634517091846544E-2</v>
      </c>
      <c r="K79" s="3194">
        <v>0.61500405340309827</v>
      </c>
      <c r="L79" s="3194">
        <v>1.1102230246251565E-16</v>
      </c>
      <c r="M79" s="3460" t="s">
        <v>199</v>
      </c>
    </row>
    <row r="80" spans="2:13" ht="18" customHeight="1" x14ac:dyDescent="0.2">
      <c r="B80" s="2634" t="s">
        <v>674</v>
      </c>
      <c r="C80" s="2636" t="s">
        <v>674</v>
      </c>
      <c r="D80" s="3461">
        <v>8.9955407636194598E-2</v>
      </c>
      <c r="E80" s="3461">
        <v>0.26460352637640877</v>
      </c>
      <c r="F80" s="3461" t="s">
        <v>199</v>
      </c>
      <c r="G80" s="3081">
        <f t="shared" si="45"/>
        <v>6.2109189266972321E-3</v>
      </c>
      <c r="H80" s="3081">
        <f t="shared" si="46"/>
        <v>3.4504770160294823E-2</v>
      </c>
      <c r="I80" s="3081" t="str">
        <f t="shared" si="47"/>
        <v>NA</v>
      </c>
      <c r="J80" s="3194">
        <v>5.5870574384640575E-4</v>
      </c>
      <c r="K80" s="3194">
        <v>9.1300838612214941E-3</v>
      </c>
      <c r="L80" s="3194">
        <v>1.7347234759768071E-18</v>
      </c>
      <c r="M80" s="3460" t="s">
        <v>199</v>
      </c>
    </row>
    <row r="81" spans="2:13" ht="18" customHeight="1" x14ac:dyDescent="0.2">
      <c r="B81" s="2634" t="s">
        <v>675</v>
      </c>
      <c r="C81" s="2636" t="s">
        <v>675</v>
      </c>
      <c r="D81" s="3461">
        <v>109.66445435027711</v>
      </c>
      <c r="E81" s="3461">
        <v>322.57762042036995</v>
      </c>
      <c r="F81" s="3461" t="s">
        <v>199</v>
      </c>
      <c r="G81" s="3081">
        <f t="shared" si="45"/>
        <v>6.210918926697233E-3</v>
      </c>
      <c r="H81" s="3081">
        <f t="shared" si="46"/>
        <v>3.450477016029483E-2</v>
      </c>
      <c r="I81" s="3081" t="str">
        <f t="shared" si="47"/>
        <v>NA</v>
      </c>
      <c r="J81" s="3194">
        <v>0.68111703511006083</v>
      </c>
      <c r="K81" s="3194">
        <v>11.130466651459693</v>
      </c>
      <c r="L81" s="3194">
        <v>-1.7763568394002505E-15</v>
      </c>
      <c r="M81" s="3460" t="s">
        <v>199</v>
      </c>
    </row>
    <row r="82" spans="2:13" ht="18" customHeight="1" x14ac:dyDescent="0.2">
      <c r="B82" s="2634" t="s">
        <v>676</v>
      </c>
      <c r="C82" s="2636" t="s">
        <v>676</v>
      </c>
      <c r="D82" s="3461">
        <v>0.12278069473824084</v>
      </c>
      <c r="E82" s="3461">
        <v>0.36115899702300835</v>
      </c>
      <c r="F82" s="3461" t="s">
        <v>199</v>
      </c>
      <c r="G82" s="3081">
        <f t="shared" si="45"/>
        <v>6.210918926697233E-3</v>
      </c>
      <c r="H82" s="3081">
        <f t="shared" si="46"/>
        <v>3.450477016029483E-2</v>
      </c>
      <c r="I82" s="3081" t="str">
        <f t="shared" si="47"/>
        <v>NA</v>
      </c>
      <c r="J82" s="3194">
        <v>7.6258094078277537E-4</v>
      </c>
      <c r="K82" s="3194">
        <v>1.2461708183601507E-2</v>
      </c>
      <c r="L82" s="3194">
        <v>3.4694469519536142E-18</v>
      </c>
      <c r="M82" s="3460" t="s">
        <v>199</v>
      </c>
    </row>
    <row r="83" spans="2:13" ht="18" customHeight="1" x14ac:dyDescent="0.2">
      <c r="B83" s="2634" t="s">
        <v>677</v>
      </c>
      <c r="C83" s="2636" t="s">
        <v>677</v>
      </c>
      <c r="D83" s="3461">
        <v>313.57696307371185</v>
      </c>
      <c r="E83" s="3461">
        <v>922.3855730305612</v>
      </c>
      <c r="F83" s="3461" t="s">
        <v>199</v>
      </c>
      <c r="G83" s="3081">
        <f t="shared" si="45"/>
        <v>6.2109189266972313E-3</v>
      </c>
      <c r="H83" s="3081">
        <f t="shared" si="46"/>
        <v>3.4504770160294823E-2</v>
      </c>
      <c r="I83" s="3081" t="str">
        <f t="shared" si="47"/>
        <v>NA</v>
      </c>
      <c r="J83" s="3194">
        <v>1.9476010949307558</v>
      </c>
      <c r="K83" s="3194">
        <v>31.826702196591352</v>
      </c>
      <c r="L83" s="3194">
        <v>5.1000000000000014</v>
      </c>
      <c r="M83" s="3460">
        <v>-5.0999999999999996</v>
      </c>
    </row>
    <row r="84" spans="2:13" ht="18" customHeight="1" x14ac:dyDescent="0.2">
      <c r="B84" s="2634" t="s">
        <v>679</v>
      </c>
      <c r="C84" s="2636" t="s">
        <v>679</v>
      </c>
      <c r="D84" s="3461">
        <v>10.496851911913136</v>
      </c>
      <c r="E84" s="3461">
        <v>30.876454286952768</v>
      </c>
      <c r="F84" s="3461" t="s">
        <v>199</v>
      </c>
      <c r="G84" s="3081">
        <f t="shared" si="45"/>
        <v>6.2109189266972321E-3</v>
      </c>
      <c r="H84" s="3081">
        <f t="shared" si="46"/>
        <v>3.4504770160294823E-2</v>
      </c>
      <c r="I84" s="3081" t="str">
        <f t="shared" si="47"/>
        <v>NA</v>
      </c>
      <c r="J84" s="3194">
        <v>6.5195096210439327E-2</v>
      </c>
      <c r="K84" s="3194">
        <v>1.065384958536155</v>
      </c>
      <c r="L84" s="3194">
        <v>4.7038335972217755</v>
      </c>
      <c r="M84" s="3460">
        <v>-4.7038335972217755</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v>3.7241682364536306</v>
      </c>
      <c r="E86" s="3461">
        <v>10.954628232801689</v>
      </c>
      <c r="F86" s="3461" t="s">
        <v>199</v>
      </c>
      <c r="G86" s="3081">
        <f t="shared" si="45"/>
        <v>6.2109189266972313E-3</v>
      </c>
      <c r="H86" s="3081">
        <f t="shared" si="46"/>
        <v>3.450477016029483E-2</v>
      </c>
      <c r="I86" s="3081" t="str">
        <f t="shared" si="47"/>
        <v>NA</v>
      </c>
      <c r="J86" s="3194">
        <v>2.3130506985994503E-2</v>
      </c>
      <c r="K86" s="3194">
        <v>0.37798692936429901</v>
      </c>
      <c r="L86" s="3194">
        <v>1.8696680639807006E-6</v>
      </c>
      <c r="M86" s="3460">
        <v>-1.8696680639181487E-6</v>
      </c>
    </row>
    <row r="87" spans="2:13" ht="18" customHeight="1" x14ac:dyDescent="0.2">
      <c r="B87" s="2634" t="s">
        <v>686</v>
      </c>
      <c r="C87" s="2636" t="s">
        <v>686</v>
      </c>
      <c r="D87" s="3461">
        <v>3.9889764372397945E-4</v>
      </c>
      <c r="E87" s="3461">
        <v>1.1733560657017817E-3</v>
      </c>
      <c r="F87" s="3461" t="s">
        <v>199</v>
      </c>
      <c r="G87" s="3081">
        <f t="shared" si="45"/>
        <v>6.2109189266972321E-3</v>
      </c>
      <c r="H87" s="3081">
        <f t="shared" si="46"/>
        <v>3.450477016029483E-2</v>
      </c>
      <c r="I87" s="3081" t="str">
        <f t="shared" si="47"/>
        <v>NA</v>
      </c>
      <c r="J87" s="3194">
        <v>2.4775209252201934E-6</v>
      </c>
      <c r="K87" s="3194">
        <v>4.0486381363227773E-5</v>
      </c>
      <c r="L87" s="3194">
        <v>4.7247221058840496E-3</v>
      </c>
      <c r="M87" s="3460">
        <v>-4.7247221058840496E-3</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f>IF(SUM(J91,J104)=0,"NO",SUM(J91,J104))</f>
        <v>5.1324319192761676</v>
      </c>
      <c r="K90" s="3081">
        <f t="shared" ref="K90:M90" si="48">IF(SUM(K91,K104)=0,"NO",SUM(K91,K104))</f>
        <v>0.19916370146535672</v>
      </c>
      <c r="L90" s="3081">
        <f t="shared" si="48"/>
        <v>2.5265188636418127E-15</v>
      </c>
      <c r="M90" s="3193" t="str">
        <f t="shared" si="48"/>
        <v>NO</v>
      </c>
    </row>
    <row r="91" spans="2:13" ht="18" customHeight="1" x14ac:dyDescent="0.2">
      <c r="B91" s="104" t="s">
        <v>896</v>
      </c>
      <c r="C91" s="2524"/>
      <c r="D91" s="150"/>
      <c r="E91" s="150"/>
      <c r="F91" s="150"/>
      <c r="G91" s="2135"/>
      <c r="H91" s="2135"/>
      <c r="I91" s="2135"/>
      <c r="J91" s="3081">
        <f>IF(SUM(J92:J103)=0,"NO",SUM(J92:J103))</f>
        <v>5.1324319192761676</v>
      </c>
      <c r="K91" s="3081">
        <f>IF(SUM(K92:K103)=0,"NO",SUM(K92:K103))</f>
        <v>0.19916370146535672</v>
      </c>
      <c r="L91" s="3081">
        <f>IF(SUM(L92:L103)=0,"NO",SUM(L92:L103))</f>
        <v>2.5265188636418127E-15</v>
      </c>
      <c r="M91" s="3193" t="str">
        <f>IF(SUM(M92:M103)=0,"NO",SUM(M92:M103))</f>
        <v>NO</v>
      </c>
    </row>
    <row r="92" spans="2:13" ht="18" customHeight="1" x14ac:dyDescent="0.2">
      <c r="B92" s="2634" t="s">
        <v>671</v>
      </c>
      <c r="C92" s="2636" t="s">
        <v>671</v>
      </c>
      <c r="D92" s="3461">
        <v>7.4728542701271456E-4</v>
      </c>
      <c r="E92" s="3461">
        <v>6.8116215925068059E-4</v>
      </c>
      <c r="F92" s="3461" t="s">
        <v>199</v>
      </c>
      <c r="G92" s="3081">
        <f>IF(SUM(D92)=0,"NA",J92/D92)</f>
        <v>0.6</v>
      </c>
      <c r="H92" s="3081">
        <f>IF(SUM(E92)=0,"NA",K92/E92)</f>
        <v>2.5543137531518986E-2</v>
      </c>
      <c r="I92" s="3081" t="str">
        <f>IF(SUM(F92)=0,"NA",L92/F92)</f>
        <v>NA</v>
      </c>
      <c r="J92" s="3194">
        <v>4.4837125620762871E-4</v>
      </c>
      <c r="K92" s="3194">
        <v>1.7399018715006572E-5</v>
      </c>
      <c r="L92" s="3194">
        <v>1.0842021724855044E-19</v>
      </c>
      <c r="M92" s="3460" t="s">
        <v>199</v>
      </c>
    </row>
    <row r="93" spans="2:13" ht="18" customHeight="1" x14ac:dyDescent="0.2">
      <c r="B93" s="2634" t="s">
        <v>672</v>
      </c>
      <c r="C93" s="2636" t="s">
        <v>672</v>
      </c>
      <c r="D93" s="3461">
        <v>0.11679945656452646</v>
      </c>
      <c r="E93" s="3461">
        <v>0.10646450092147358</v>
      </c>
      <c r="F93" s="3461" t="s">
        <v>199</v>
      </c>
      <c r="G93" s="3081">
        <f t="shared" ref="G93:G103" si="49">IF(SUM(D93)=0,"NA",J93/D93)</f>
        <v>0.59999999999999987</v>
      </c>
      <c r="H93" s="3081">
        <f t="shared" ref="H93:H103" si="50">IF(SUM(E93)=0,"NA",K93/E93)</f>
        <v>2.5543137531518982E-2</v>
      </c>
      <c r="I93" s="3081" t="str">
        <f t="shared" ref="I93:I103" si="51">IF(SUM(F93)=0,"NA",L93/F93)</f>
        <v>NA</v>
      </c>
      <c r="J93" s="3194">
        <v>7.0079673938715864E-2</v>
      </c>
      <c r="K93" s="3194">
        <v>2.7194373892617291E-3</v>
      </c>
      <c r="L93" s="3194">
        <v>4.163336342344337E-17</v>
      </c>
      <c r="M93" s="3460" t="s">
        <v>199</v>
      </c>
    </row>
    <row r="94" spans="2:13" ht="18" customHeight="1" x14ac:dyDescent="0.2">
      <c r="B94" s="2634" t="s">
        <v>674</v>
      </c>
      <c r="C94" s="2636" t="s">
        <v>674</v>
      </c>
      <c r="D94" s="3461">
        <v>1.733954154413142E-3</v>
      </c>
      <c r="E94" s="3461">
        <v>1.58052587828887E-3</v>
      </c>
      <c r="F94" s="3461" t="s">
        <v>199</v>
      </c>
      <c r="G94" s="3081">
        <f t="shared" si="49"/>
        <v>0.6</v>
      </c>
      <c r="H94" s="3081">
        <f t="shared" si="50"/>
        <v>2.5543137531518982E-2</v>
      </c>
      <c r="I94" s="3081" t="str">
        <f t="shared" si="51"/>
        <v>NA</v>
      </c>
      <c r="J94" s="3194">
        <v>1.0403724926478851E-3</v>
      </c>
      <c r="K94" s="3194">
        <v>4.0371589881257437E-5</v>
      </c>
      <c r="L94" s="3194">
        <v>2.1684043449710089E-19</v>
      </c>
      <c r="M94" s="3460" t="s">
        <v>199</v>
      </c>
    </row>
    <row r="95" spans="2:13" ht="18" customHeight="1" x14ac:dyDescent="0.2">
      <c r="B95" s="2634" t="s">
        <v>675</v>
      </c>
      <c r="C95" s="2636" t="s">
        <v>675</v>
      </c>
      <c r="D95" s="3461">
        <v>2.1138599802820868</v>
      </c>
      <c r="E95" s="3461">
        <v>1.9268158811533318</v>
      </c>
      <c r="F95" s="3461" t="s">
        <v>199</v>
      </c>
      <c r="G95" s="3081">
        <f t="shared" si="49"/>
        <v>0.59999999999999987</v>
      </c>
      <c r="H95" s="3081">
        <f t="shared" si="50"/>
        <v>2.5543137531518986E-2</v>
      </c>
      <c r="I95" s="3081" t="str">
        <f t="shared" si="51"/>
        <v>NA</v>
      </c>
      <c r="J95" s="3194">
        <v>1.2683159881692518</v>
      </c>
      <c r="K95" s="3194">
        <v>4.9216923050214495E-2</v>
      </c>
      <c r="L95" s="3194">
        <v>6.6613381477509392E-16</v>
      </c>
      <c r="M95" s="3460" t="s">
        <v>199</v>
      </c>
    </row>
    <row r="96" spans="2:13" ht="18" customHeight="1" x14ac:dyDescent="0.2">
      <c r="B96" s="2634" t="s">
        <v>676</v>
      </c>
      <c r="C96" s="2636" t="s">
        <v>676</v>
      </c>
      <c r="D96" s="3461">
        <v>2.3666847976957345E-3</v>
      </c>
      <c r="E96" s="3461">
        <v>2.1572695904275383E-3</v>
      </c>
      <c r="F96" s="3461" t="s">
        <v>199</v>
      </c>
      <c r="G96" s="3081">
        <f t="shared" si="49"/>
        <v>0.59999999999999987</v>
      </c>
      <c r="H96" s="3081">
        <f t="shared" si="50"/>
        <v>2.5543137531518982E-2</v>
      </c>
      <c r="I96" s="3081" t="str">
        <f t="shared" si="51"/>
        <v>NA</v>
      </c>
      <c r="J96" s="3194">
        <v>1.4200108786174405E-3</v>
      </c>
      <c r="K96" s="3194">
        <v>5.5103433840854237E-5</v>
      </c>
      <c r="L96" s="3194">
        <v>4.3368086899420177E-19</v>
      </c>
      <c r="M96" s="3460" t="s">
        <v>199</v>
      </c>
    </row>
    <row r="97" spans="2:13" ht="18" customHeight="1" x14ac:dyDescent="0.2">
      <c r="B97" s="2634" t="s">
        <v>677</v>
      </c>
      <c r="C97" s="2636" t="s">
        <v>677</v>
      </c>
      <c r="D97" s="3461">
        <v>6.0444179192529583</v>
      </c>
      <c r="E97" s="3461">
        <v>5.5095798907126285</v>
      </c>
      <c r="F97" s="3461" t="s">
        <v>199</v>
      </c>
      <c r="G97" s="3081">
        <f t="shared" si="49"/>
        <v>0.6</v>
      </c>
      <c r="H97" s="3081">
        <f t="shared" si="50"/>
        <v>2.5543137531518982E-2</v>
      </c>
      <c r="I97" s="3081" t="str">
        <f t="shared" si="51"/>
        <v>NA</v>
      </c>
      <c r="J97" s="3194">
        <v>3.6266507515517752</v>
      </c>
      <c r="K97" s="3194">
        <v>0.14073195688936399</v>
      </c>
      <c r="L97" s="3194">
        <v>1.7763568394002505E-15</v>
      </c>
      <c r="M97" s="3460" t="s">
        <v>199</v>
      </c>
    </row>
    <row r="98" spans="2:13" ht="18" customHeight="1" x14ac:dyDescent="0.2">
      <c r="B98" s="2634" t="s">
        <v>679</v>
      </c>
      <c r="C98" s="2636" t="s">
        <v>679</v>
      </c>
      <c r="D98" s="3461">
        <v>0.20233425048254586</v>
      </c>
      <c r="E98" s="3461">
        <v>0.18443078102032096</v>
      </c>
      <c r="F98" s="3461" t="s">
        <v>199</v>
      </c>
      <c r="G98" s="3081">
        <f t="shared" si="49"/>
        <v>0.59999999999999987</v>
      </c>
      <c r="H98" s="3081">
        <f t="shared" si="50"/>
        <v>2.5543137531518986E-2</v>
      </c>
      <c r="I98" s="3081" t="str">
        <f t="shared" si="51"/>
        <v>NA</v>
      </c>
      <c r="J98" s="3194">
        <v>0.1214005502895275</v>
      </c>
      <c r="K98" s="3194">
        <v>4.7109408046475199E-3</v>
      </c>
      <c r="L98" s="3194">
        <v>2.7755575615628914E-17</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v>7.1785978797943573E-2</v>
      </c>
      <c r="E100" s="3461">
        <v>6.5434023673392003E-2</v>
      </c>
      <c r="F100" s="3461" t="s">
        <v>199</v>
      </c>
      <c r="G100" s="3081">
        <f t="shared" si="49"/>
        <v>0.6</v>
      </c>
      <c r="H100" s="3081">
        <f t="shared" si="50"/>
        <v>2.5543137531518986E-2</v>
      </c>
      <c r="I100" s="3081" t="str">
        <f t="shared" si="51"/>
        <v>NA</v>
      </c>
      <c r="J100" s="3194">
        <v>4.3071587278766144E-2</v>
      </c>
      <c r="K100" s="3194">
        <v>1.6713902659301211E-3</v>
      </c>
      <c r="L100" s="3194">
        <v>1.3877787807814457E-17</v>
      </c>
      <c r="M100" s="3460" t="s">
        <v>199</v>
      </c>
    </row>
    <row r="101" spans="2:13" ht="18" customHeight="1" x14ac:dyDescent="0.2">
      <c r="B101" s="2634" t="s">
        <v>686</v>
      </c>
      <c r="C101" s="2636" t="s">
        <v>686</v>
      </c>
      <c r="D101" s="3461">
        <v>7.6890344304604769E-6</v>
      </c>
      <c r="E101" s="3461">
        <v>7.0086731332928483E-6</v>
      </c>
      <c r="F101" s="3461" t="s">
        <v>199</v>
      </c>
      <c r="G101" s="3081">
        <f t="shared" si="49"/>
        <v>0.59999999999999987</v>
      </c>
      <c r="H101" s="3081">
        <f t="shared" si="50"/>
        <v>2.5543137531518982E-2</v>
      </c>
      <c r="I101" s="3081" t="str">
        <f t="shared" si="51"/>
        <v>NA</v>
      </c>
      <c r="J101" s="3194">
        <v>4.6134206582762851E-6</v>
      </c>
      <c r="K101" s="3194">
        <v>1.7902350175716129E-7</v>
      </c>
      <c r="L101" s="3194">
        <v>2.541098841762901E-21</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IE</v>
      </c>
      <c r="E107" s="70" t="str">
        <f t="shared" si="52"/>
        <v>IE</v>
      </c>
      <c r="F107" s="150"/>
      <c r="G107" s="3668" t="str">
        <f t="shared" si="53"/>
        <v>NA</v>
      </c>
      <c r="H107" s="3668" t="str">
        <f t="shared" si="54"/>
        <v>NA</v>
      </c>
      <c r="I107" s="3669"/>
      <c r="J107" s="70" t="str">
        <f t="shared" ref="J107:K107" si="57">IF(J94="NO","NO","IE")</f>
        <v>IE</v>
      </c>
      <c r="K107" s="70" t="str">
        <f t="shared" si="57"/>
        <v>IE</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2.9161324561296904E-2</v>
      </c>
      <c r="K117" s="3081">
        <f>IF(SUM(K118:K129)=0,"NO",SUM(K118:K129))</f>
        <v>0.77929335117907328</v>
      </c>
      <c r="L117" s="3081">
        <f>IF(SUM(L118:L129)=0,"NO",SUM(L118:L129))</f>
        <v>6.3786377252312643E-16</v>
      </c>
      <c r="M117" s="3193" t="str">
        <f>IF(SUM(M118:M129)=0,"NO",SUM(M118:M129))</f>
        <v>NO</v>
      </c>
    </row>
    <row r="118" spans="2:13" ht="18" customHeight="1" x14ac:dyDescent="0.2">
      <c r="B118" s="2634" t="s">
        <v>671</v>
      </c>
      <c r="C118" s="2636" t="s">
        <v>671</v>
      </c>
      <c r="D118" s="3461">
        <v>7.2786991384951008E-4</v>
      </c>
      <c r="E118" s="3461">
        <v>1.690398475788054E-3</v>
      </c>
      <c r="F118" s="3461" t="s">
        <v>199</v>
      </c>
      <c r="G118" s="4443">
        <f>IF(SUM(D118)=0,"NA",J118/D118)</f>
        <v>3.5000000000000001E-3</v>
      </c>
      <c r="H118" s="3081">
        <f>IF(SUM(E118)=0,"NA",K118/E118)</f>
        <v>4.027415569526966E-2</v>
      </c>
      <c r="I118" s="3081" t="str">
        <f>IF(SUM(F118)=0,"NA",L118/F118)</f>
        <v>NA</v>
      </c>
      <c r="J118" s="3194">
        <v>2.5475446984732855E-6</v>
      </c>
      <c r="K118" s="3194">
        <v>6.8079371400934607E-5</v>
      </c>
      <c r="L118" s="3194">
        <v>5.4210108624275222E-20</v>
      </c>
      <c r="M118" s="3460" t="s">
        <v>199</v>
      </c>
    </row>
    <row r="119" spans="2:13" ht="18" customHeight="1" x14ac:dyDescent="0.2">
      <c r="B119" s="2634" t="s">
        <v>672</v>
      </c>
      <c r="C119" s="2636" t="s">
        <v>672</v>
      </c>
      <c r="D119" s="3461">
        <v>0.11376484448136441</v>
      </c>
      <c r="E119" s="3461">
        <v>0.26420644135776683</v>
      </c>
      <c r="F119" s="3461" t="s">
        <v>199</v>
      </c>
      <c r="G119" s="4443">
        <f t="shared" ref="G119:G129" si="77">IF(SUM(D119)=0,"NA",J119/D119)</f>
        <v>3.5000000000000005E-3</v>
      </c>
      <c r="H119" s="3081">
        <f t="shared" ref="H119:H129" si="78">IF(SUM(E119)=0,"NA",K119/E119)</f>
        <v>4.027415569526966E-2</v>
      </c>
      <c r="I119" s="3081" t="str">
        <f t="shared" ref="I119:I129" si="79">IF(SUM(F119)=0,"NA",L119/F119)</f>
        <v>NA</v>
      </c>
      <c r="J119" s="3194">
        <v>3.9817695568477549E-4</v>
      </c>
      <c r="K119" s="3194">
        <v>1.0640691354935835E-2</v>
      </c>
      <c r="L119" s="3194">
        <v>6.9388939039072284E-18</v>
      </c>
      <c r="M119" s="3460" t="s">
        <v>199</v>
      </c>
    </row>
    <row r="120" spans="2:13" ht="18" customHeight="1" x14ac:dyDescent="0.2">
      <c r="B120" s="2634" t="s">
        <v>674</v>
      </c>
      <c r="C120" s="2636" t="s">
        <v>674</v>
      </c>
      <c r="D120" s="3461">
        <v>1.688903617506541E-3</v>
      </c>
      <c r="E120" s="3461">
        <v>3.9222944189121313E-3</v>
      </c>
      <c r="F120" s="3461" t="s">
        <v>199</v>
      </c>
      <c r="G120" s="4443">
        <f t="shared" si="77"/>
        <v>3.5000000000000005E-3</v>
      </c>
      <c r="H120" s="3081">
        <f t="shared" si="78"/>
        <v>4.0274155695269653E-2</v>
      </c>
      <c r="I120" s="3081" t="str">
        <f t="shared" si="79"/>
        <v>NA</v>
      </c>
      <c r="J120" s="3194">
        <v>5.9111626612728939E-6</v>
      </c>
      <c r="K120" s="3194">
        <v>1.579670961099544E-4</v>
      </c>
      <c r="L120" s="3194">
        <v>1.0842021724855044E-19</v>
      </c>
      <c r="M120" s="3460" t="s">
        <v>199</v>
      </c>
    </row>
    <row r="121" spans="2:13" ht="18" customHeight="1" x14ac:dyDescent="0.2">
      <c r="B121" s="2634" t="s">
        <v>675</v>
      </c>
      <c r="C121" s="2636" t="s">
        <v>675</v>
      </c>
      <c r="D121" s="3461">
        <v>2.0589389624370011</v>
      </c>
      <c r="E121" s="3461">
        <v>4.7816611424932933</v>
      </c>
      <c r="F121" s="3461" t="s">
        <v>199</v>
      </c>
      <c r="G121" s="4443">
        <f t="shared" si="77"/>
        <v>3.4999999999999996E-3</v>
      </c>
      <c r="H121" s="3081">
        <f t="shared" si="78"/>
        <v>4.027415569526966E-2</v>
      </c>
      <c r="I121" s="3081" t="str">
        <f t="shared" si="79"/>
        <v>NA</v>
      </c>
      <c r="J121" s="3194">
        <v>7.206286368529503E-3</v>
      </c>
      <c r="K121" s="3194">
        <v>0.19257736533479589</v>
      </c>
      <c r="L121" s="3194">
        <v>1.6653345369377348E-16</v>
      </c>
      <c r="M121" s="3460" t="s">
        <v>199</v>
      </c>
    </row>
    <row r="122" spans="2:13" ht="18" customHeight="1" x14ac:dyDescent="0.2">
      <c r="B122" s="2634" t="s">
        <v>676</v>
      </c>
      <c r="C122" s="2636" t="s">
        <v>676</v>
      </c>
      <c r="D122" s="3461">
        <v>2.3051950399916336E-3</v>
      </c>
      <c r="E122" s="3461">
        <v>5.3535640199598869E-3</v>
      </c>
      <c r="F122" s="3461" t="s">
        <v>199</v>
      </c>
      <c r="G122" s="4443">
        <f t="shared" si="77"/>
        <v>3.4999999999999992E-3</v>
      </c>
      <c r="H122" s="3081">
        <f t="shared" si="78"/>
        <v>4.0274155695269646E-2</v>
      </c>
      <c r="I122" s="3081" t="str">
        <f t="shared" si="79"/>
        <v>NA</v>
      </c>
      <c r="J122" s="3194">
        <v>8.0681826399707162E-6</v>
      </c>
      <c r="K122" s="3194">
        <v>2.1561027086445815E-4</v>
      </c>
      <c r="L122" s="3194">
        <v>1.8973538018496328E-19</v>
      </c>
      <c r="M122" s="3460" t="s">
        <v>199</v>
      </c>
    </row>
    <row r="123" spans="2:13" ht="18" customHeight="1" x14ac:dyDescent="0.2">
      <c r="B123" s="2634" t="s">
        <v>677</v>
      </c>
      <c r="C123" s="2636" t="s">
        <v>677</v>
      </c>
      <c r="D123" s="3461">
        <v>5.8873755477132184</v>
      </c>
      <c r="E123" s="3461">
        <v>13.672787489749027</v>
      </c>
      <c r="F123" s="3461" t="s">
        <v>199</v>
      </c>
      <c r="G123" s="4443">
        <f t="shared" si="77"/>
        <v>3.5000000000000001E-3</v>
      </c>
      <c r="H123" s="3081">
        <f t="shared" si="78"/>
        <v>4.0274155695269653E-2</v>
      </c>
      <c r="I123" s="3081" t="str">
        <f t="shared" si="79"/>
        <v>NA</v>
      </c>
      <c r="J123" s="3194">
        <v>2.0605814416996264E-2</v>
      </c>
      <c r="K123" s="3194">
        <v>0.55065997215048745</v>
      </c>
      <c r="L123" s="3194">
        <v>4.4408920985006262E-16</v>
      </c>
      <c r="M123" s="3460" t="s">
        <v>199</v>
      </c>
    </row>
    <row r="124" spans="2:13" ht="18" customHeight="1" x14ac:dyDescent="0.2">
      <c r="B124" s="2634" t="s">
        <v>679</v>
      </c>
      <c r="C124" s="2636" t="s">
        <v>679</v>
      </c>
      <c r="D124" s="3461">
        <v>0.19707732566960667</v>
      </c>
      <c r="E124" s="3461">
        <v>0.45769059083978963</v>
      </c>
      <c r="F124" s="3461" t="s">
        <v>199</v>
      </c>
      <c r="G124" s="4443">
        <f t="shared" si="77"/>
        <v>3.5000000000000005E-3</v>
      </c>
      <c r="H124" s="3081">
        <f t="shared" si="78"/>
        <v>4.027415569526966E-2</v>
      </c>
      <c r="I124" s="3081" t="str">
        <f t="shared" si="79"/>
        <v>NA</v>
      </c>
      <c r="J124" s="3194">
        <v>6.8977063984362343E-4</v>
      </c>
      <c r="K124" s="3194">
        <v>1.8433102115741649E-2</v>
      </c>
      <c r="L124" s="3194">
        <v>1.3877787807814457E-17</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v>6.9920879378225775E-2</v>
      </c>
      <c r="E126" s="3461">
        <v>0.16238361509080082</v>
      </c>
      <c r="F126" s="3461" t="s">
        <v>199</v>
      </c>
      <c r="G126" s="4443">
        <f t="shared" si="77"/>
        <v>3.4999999999999996E-3</v>
      </c>
      <c r="H126" s="3081">
        <f t="shared" si="78"/>
        <v>4.0274155695269653E-2</v>
      </c>
      <c r="I126" s="3081" t="str">
        <f t="shared" si="79"/>
        <v>NA</v>
      </c>
      <c r="J126" s="3194">
        <v>2.4472307782379019E-4</v>
      </c>
      <c r="K126" s="3194">
        <v>6.5398629965276508E-3</v>
      </c>
      <c r="L126" s="3194">
        <v>6.0715321659188248E-18</v>
      </c>
      <c r="M126" s="3460" t="s">
        <v>199</v>
      </c>
    </row>
    <row r="127" spans="2:13" ht="18" customHeight="1" x14ac:dyDescent="0.2">
      <c r="B127" s="2634" t="s">
        <v>686</v>
      </c>
      <c r="C127" s="2636" t="s">
        <v>686</v>
      </c>
      <c r="D127" s="3461">
        <v>7.4892626380494919E-6</v>
      </c>
      <c r="E127" s="3461">
        <v>1.7392995516438879E-5</v>
      </c>
      <c r="F127" s="3461" t="s">
        <v>199</v>
      </c>
      <c r="G127" s="4443">
        <f t="shared" si="77"/>
        <v>3.5000000000000001E-3</v>
      </c>
      <c r="H127" s="3081">
        <f t="shared" si="78"/>
        <v>4.027415569526966E-2</v>
      </c>
      <c r="I127" s="3081" t="str">
        <f t="shared" si="79"/>
        <v>NA</v>
      </c>
      <c r="J127" s="3194">
        <v>2.6212419233173223E-8</v>
      </c>
      <c r="K127" s="3194">
        <v>7.0048820943618651E-7</v>
      </c>
      <c r="L127" s="3194">
        <v>5.2939559203393771E-22</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5.4780240454551698E-3</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5.4780240454551698E-3</v>
      </c>
      <c r="L131" s="3196"/>
      <c r="M131" s="3193" t="str">
        <f>IF(SUM(M132:M143)=0,"NO",SUM(M132:M143))</f>
        <v>NO</v>
      </c>
    </row>
    <row r="132" spans="2:13" ht="18" customHeight="1" x14ac:dyDescent="0.2">
      <c r="B132" s="2634" t="s">
        <v>671</v>
      </c>
      <c r="C132" s="2636" t="s">
        <v>671</v>
      </c>
      <c r="D132" s="3461" t="s">
        <v>199</v>
      </c>
      <c r="E132" s="3461">
        <v>8.6422945558414668E-7</v>
      </c>
      <c r="F132" s="346"/>
      <c r="G132" s="3668" t="str">
        <f>IF(SUM(D132)=0,"NA",J132/D132)</f>
        <v>NA</v>
      </c>
      <c r="H132" s="3081">
        <f>IF(SUM(E132)=0,"NA",K132/E132)</f>
        <v>0.55374451331203378</v>
      </c>
      <c r="I132" s="4253"/>
      <c r="J132" s="3194" t="s">
        <v>199</v>
      </c>
      <c r="K132" s="3194">
        <v>4.7856231927236722E-7</v>
      </c>
      <c r="L132" s="3196"/>
      <c r="M132" s="3460" t="s">
        <v>199</v>
      </c>
    </row>
    <row r="133" spans="2:13" ht="18" customHeight="1" x14ac:dyDescent="0.2">
      <c r="B133" s="2634" t="s">
        <v>672</v>
      </c>
      <c r="C133" s="2636" t="s">
        <v>672</v>
      </c>
      <c r="D133" s="3461" t="s">
        <v>199</v>
      </c>
      <c r="E133" s="3461">
        <v>1.3507761172702146E-4</v>
      </c>
      <c r="F133" s="346"/>
      <c r="G133" s="3668" t="str">
        <f t="shared" ref="G133:G143" si="80">IF(SUM(D133)=0,"NA",J133/D133)</f>
        <v>NA</v>
      </c>
      <c r="H133" s="3081">
        <f t="shared" ref="H133:H143" si="81">IF(SUM(E133)=0,"NA",K133/E133)</f>
        <v>0.55374451331203378</v>
      </c>
      <c r="I133" s="4253"/>
      <c r="J133" s="3194" t="s">
        <v>199</v>
      </c>
      <c r="K133" s="3194">
        <v>7.4798486365131367E-5</v>
      </c>
      <c r="L133" s="3196"/>
      <c r="M133" s="3460" t="s">
        <v>199</v>
      </c>
    </row>
    <row r="134" spans="2:13" ht="18" customHeight="1" x14ac:dyDescent="0.2">
      <c r="B134" s="2634" t="s">
        <v>674</v>
      </c>
      <c r="C134" s="2636" t="s">
        <v>674</v>
      </c>
      <c r="D134" s="3461" t="s">
        <v>199</v>
      </c>
      <c r="E134" s="3461">
        <v>2.0053037309542536E-6</v>
      </c>
      <c r="F134" s="346"/>
      <c r="G134" s="3668" t="str">
        <f t="shared" si="80"/>
        <v>NA</v>
      </c>
      <c r="H134" s="3081">
        <f t="shared" si="81"/>
        <v>0.55374451331203378</v>
      </c>
      <c r="I134" s="4253"/>
      <c r="J134" s="3194" t="s">
        <v>199</v>
      </c>
      <c r="K134" s="3194">
        <v>1.1104259385400687E-6</v>
      </c>
      <c r="L134" s="3196"/>
      <c r="M134" s="3460" t="s">
        <v>199</v>
      </c>
    </row>
    <row r="135" spans="2:13" ht="18" customHeight="1" x14ac:dyDescent="0.2">
      <c r="B135" s="2634" t="s">
        <v>675</v>
      </c>
      <c r="C135" s="2636" t="s">
        <v>675</v>
      </c>
      <c r="D135" s="3461" t="s">
        <v>199</v>
      </c>
      <c r="E135" s="3461">
        <v>2.4446616967270531E-3</v>
      </c>
      <c r="F135" s="346"/>
      <c r="G135" s="3668" t="str">
        <f t="shared" si="80"/>
        <v>NA</v>
      </c>
      <c r="H135" s="3081">
        <f t="shared" si="81"/>
        <v>0.55374451331203378</v>
      </c>
      <c r="I135" s="4253"/>
      <c r="J135" s="3194" t="s">
        <v>199</v>
      </c>
      <c r="K135" s="3194">
        <v>1.3537180014666927E-3</v>
      </c>
      <c r="L135" s="3196"/>
      <c r="M135" s="3460" t="s">
        <v>199</v>
      </c>
    </row>
    <row r="136" spans="2:13" ht="18" customHeight="1" x14ac:dyDescent="0.2">
      <c r="B136" s="2634" t="s">
        <v>676</v>
      </c>
      <c r="C136" s="2636" t="s">
        <v>676</v>
      </c>
      <c r="D136" s="3461" t="s">
        <v>199</v>
      </c>
      <c r="E136" s="3461">
        <v>2.7370515204989548E-6</v>
      </c>
      <c r="F136" s="346"/>
      <c r="G136" s="3668" t="str">
        <f t="shared" si="80"/>
        <v>NA</v>
      </c>
      <c r="H136" s="3081">
        <f t="shared" si="81"/>
        <v>0.55374451331203378</v>
      </c>
      <c r="I136" s="4253"/>
      <c r="J136" s="3194" t="s">
        <v>199</v>
      </c>
      <c r="K136" s="3194">
        <v>1.5156272621286558E-6</v>
      </c>
      <c r="L136" s="3196"/>
      <c r="M136" s="3460" t="s">
        <v>199</v>
      </c>
    </row>
    <row r="137" spans="2:13" ht="18" customHeight="1" x14ac:dyDescent="0.2">
      <c r="B137" s="2634" t="s">
        <v>677</v>
      </c>
      <c r="C137" s="2636" t="s">
        <v>677</v>
      </c>
      <c r="D137" s="3461" t="s">
        <v>199</v>
      </c>
      <c r="E137" s="3461">
        <v>6.9903196541127874E-3</v>
      </c>
      <c r="F137" s="346"/>
      <c r="G137" s="3668" t="str">
        <f t="shared" si="80"/>
        <v>NA</v>
      </c>
      <c r="H137" s="3081">
        <f t="shared" si="81"/>
        <v>0.55374451331203389</v>
      </c>
      <c r="I137" s="4253"/>
      <c r="J137" s="3194" t="s">
        <v>199</v>
      </c>
      <c r="K137" s="3194">
        <v>3.8708511547622306E-3</v>
      </c>
      <c r="L137" s="3196"/>
      <c r="M137" s="3460" t="s">
        <v>199</v>
      </c>
    </row>
    <row r="138" spans="2:13" ht="18" customHeight="1" x14ac:dyDescent="0.2">
      <c r="B138" s="2634" t="s">
        <v>679</v>
      </c>
      <c r="C138" s="2636" t="s">
        <v>679</v>
      </c>
      <c r="D138" s="3461" t="s">
        <v>199</v>
      </c>
      <c r="E138" s="3461">
        <v>2.3399789801813143E-4</v>
      </c>
      <c r="F138" s="346"/>
      <c r="G138" s="3668" t="str">
        <f t="shared" si="80"/>
        <v>NA</v>
      </c>
      <c r="H138" s="3081">
        <f t="shared" si="81"/>
        <v>0.55374451331203378</v>
      </c>
      <c r="I138" s="4253"/>
      <c r="J138" s="3194" t="s">
        <v>199</v>
      </c>
      <c r="K138" s="3194">
        <v>1.2957505215408909E-4</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v>8.3019894584490957E-5</v>
      </c>
      <c r="F140" s="346"/>
      <c r="G140" s="3668" t="str">
        <f t="shared" si="80"/>
        <v>NA</v>
      </c>
      <c r="H140" s="3081">
        <f t="shared" si="81"/>
        <v>0.55374451331203378</v>
      </c>
      <c r="I140" s="4253"/>
      <c r="J140" s="3194" t="s">
        <v>199</v>
      </c>
      <c r="K140" s="3194">
        <v>4.5971811121905296E-5</v>
      </c>
      <c r="L140" s="3196"/>
      <c r="M140" s="3460" t="s">
        <v>199</v>
      </c>
    </row>
    <row r="141" spans="2:13" ht="18" customHeight="1" x14ac:dyDescent="0.2">
      <c r="B141" s="2634" t="s">
        <v>686</v>
      </c>
      <c r="C141" s="2636" t="s">
        <v>686</v>
      </c>
      <c r="D141" s="3461" t="s">
        <v>199</v>
      </c>
      <c r="E141" s="3461">
        <v>8.8923051348244154E-9</v>
      </c>
      <c r="F141" s="346"/>
      <c r="G141" s="3668" t="str">
        <f t="shared" si="80"/>
        <v>NA</v>
      </c>
      <c r="H141" s="3081">
        <f t="shared" si="81"/>
        <v>0.55374451331203378</v>
      </c>
      <c r="I141" s="4253"/>
      <c r="J141" s="3194" t="s">
        <v>199</v>
      </c>
      <c r="K141" s="3194">
        <v>4.9240651791054451E-9</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5.6061525491430091</v>
      </c>
      <c r="L146" s="3081">
        <f>IF(SUM(L147:L158)=0,"NO",SUM(L147:L158))</f>
        <v>1.9050309497524442</v>
      </c>
      <c r="M146" s="3193" t="str">
        <f>IF(SUM(M147:M158)=0,"NO",SUM(M147:M158))</f>
        <v>NO</v>
      </c>
    </row>
    <row r="147" spans="2:13" ht="18" customHeight="1" x14ac:dyDescent="0.2">
      <c r="B147" s="2634" t="s">
        <v>671</v>
      </c>
      <c r="C147" s="2636" t="s">
        <v>671</v>
      </c>
      <c r="D147" s="3461">
        <v>8.6382219742755205E-4</v>
      </c>
      <c r="E147" s="3461">
        <v>1.4114224494674952E-3</v>
      </c>
      <c r="F147" s="3461">
        <v>1.6642424750865014E-4</v>
      </c>
      <c r="G147" s="3668" t="str">
        <f>IFERROR(J147/D147,"NA")</f>
        <v>NA</v>
      </c>
      <c r="H147" s="3081">
        <f>IF(SUM(E147)=0,"NA",K147/E147)</f>
        <v>0.34699439247380237</v>
      </c>
      <c r="I147" s="3081">
        <f>IF(SUM(F147)=0,"NA",L147/F147)</f>
        <v>1.0000000000000022</v>
      </c>
      <c r="J147" s="3194" t="s">
        <v>199</v>
      </c>
      <c r="K147" s="3194">
        <v>4.897556753768595E-4</v>
      </c>
      <c r="L147" s="3194">
        <v>1.6642424750865049E-4</v>
      </c>
      <c r="M147" s="3460" t="s">
        <v>199</v>
      </c>
    </row>
    <row r="148" spans="2:13" ht="18" customHeight="1" x14ac:dyDescent="0.2">
      <c r="B148" s="2634" t="s">
        <v>672</v>
      </c>
      <c r="C148" s="2636" t="s">
        <v>672</v>
      </c>
      <c r="D148" s="3461">
        <v>0.13501395796146914</v>
      </c>
      <c r="E148" s="3461">
        <v>0.22060295721245393</v>
      </c>
      <c r="F148" s="3461">
        <v>2.6011830239852714E-2</v>
      </c>
      <c r="G148" s="3668" t="str">
        <f t="shared" ref="G148:G158" si="82">IFERROR(J148/D148,"NA")</f>
        <v>NA</v>
      </c>
      <c r="H148" s="3081">
        <f t="shared" ref="H148:H158" si="83">IF(SUM(E148)=0,"NA",K148/E148)</f>
        <v>0.34699439247380237</v>
      </c>
      <c r="I148" s="3081">
        <f t="shared" ref="I148:I158" si="84">IF(SUM(F148)=0,"NA",L148/F148)</f>
        <v>1.0000000000000024</v>
      </c>
      <c r="J148" s="3194" t="s">
        <v>199</v>
      </c>
      <c r="K148" s="3194">
        <v>7.6547989115859666E-2</v>
      </c>
      <c r="L148" s="3194">
        <v>2.6011830239852776E-2</v>
      </c>
      <c r="M148" s="3460" t="s">
        <v>199</v>
      </c>
    </row>
    <row r="149" spans="2:13" ht="18" customHeight="1" x14ac:dyDescent="0.2">
      <c r="B149" s="2634" t="s">
        <v>674</v>
      </c>
      <c r="C149" s="2636" t="s">
        <v>674</v>
      </c>
      <c r="D149" s="3461">
        <v>2.0043587547148951E-3</v>
      </c>
      <c r="E149" s="3461">
        <v>3.2749759749356069E-3</v>
      </c>
      <c r="F149" s="3461">
        <v>3.8616036782127022E-4</v>
      </c>
      <c r="G149" s="3668" t="str">
        <f t="shared" si="82"/>
        <v>NA</v>
      </c>
      <c r="H149" s="3081">
        <f t="shared" si="83"/>
        <v>0.34699439247380237</v>
      </c>
      <c r="I149" s="3081">
        <f t="shared" si="84"/>
        <v>1.0000000000000027</v>
      </c>
      <c r="J149" s="3194" t="s">
        <v>199</v>
      </c>
      <c r="K149" s="3194">
        <v>1.1363982987890795E-3</v>
      </c>
      <c r="L149" s="3194">
        <v>3.8616036782127125E-4</v>
      </c>
      <c r="M149" s="3460" t="s">
        <v>199</v>
      </c>
    </row>
    <row r="150" spans="2:13" ht="18" customHeight="1" x14ac:dyDescent="0.2">
      <c r="B150" s="2634" t="s">
        <v>675</v>
      </c>
      <c r="C150" s="2636" t="s">
        <v>675</v>
      </c>
      <c r="D150" s="3461">
        <v>2.4435096781170951</v>
      </c>
      <c r="E150" s="3461">
        <v>3.9925165450206093</v>
      </c>
      <c r="F150" s="3461">
        <v>0.47076731840390973</v>
      </c>
      <c r="G150" s="3668" t="str">
        <f t="shared" si="82"/>
        <v>NA</v>
      </c>
      <c r="H150" s="3081">
        <f t="shared" si="83"/>
        <v>0.34699439247380232</v>
      </c>
      <c r="I150" s="3081">
        <f t="shared" si="84"/>
        <v>1.0000000000000027</v>
      </c>
      <c r="J150" s="3194" t="s">
        <v>199</v>
      </c>
      <c r="K150" s="3194">
        <v>1.3853808529810305</v>
      </c>
      <c r="L150" s="3194">
        <v>0.47076731840391095</v>
      </c>
      <c r="M150" s="3460" t="s">
        <v>199</v>
      </c>
    </row>
    <row r="151" spans="2:13" ht="18" customHeight="1" x14ac:dyDescent="0.2">
      <c r="B151" s="2634" t="s">
        <v>676</v>
      </c>
      <c r="C151" s="2636" t="s">
        <v>676</v>
      </c>
      <c r="D151" s="3461">
        <v>2.7357617165591091E-3</v>
      </c>
      <c r="E151" s="3461">
        <v>4.4700350542555972E-3</v>
      </c>
      <c r="F151" s="3461">
        <v>5.270726850932862E-4</v>
      </c>
      <c r="G151" s="3668" t="str">
        <f t="shared" si="82"/>
        <v>NA</v>
      </c>
      <c r="H151" s="3081">
        <f t="shared" si="83"/>
        <v>0.34699439247380232</v>
      </c>
      <c r="I151" s="3081">
        <f t="shared" si="84"/>
        <v>1.0000000000000027</v>
      </c>
      <c r="J151" s="3194" t="s">
        <v>199</v>
      </c>
      <c r="K151" s="3194">
        <v>1.551077097988021E-3</v>
      </c>
      <c r="L151" s="3194">
        <v>5.2707268509328761E-4</v>
      </c>
      <c r="M151" s="3460" t="s">
        <v>199</v>
      </c>
    </row>
    <row r="152" spans="2:13" ht="18" customHeight="1" x14ac:dyDescent="0.2">
      <c r="B152" s="2634" t="s">
        <v>677</v>
      </c>
      <c r="C152" s="2636" t="s">
        <v>677</v>
      </c>
      <c r="D152" s="3461">
        <v>6.9870255466533084</v>
      </c>
      <c r="E152" s="3461">
        <v>11.416289996850265</v>
      </c>
      <c r="F152" s="3461">
        <v>1.3461224687074742</v>
      </c>
      <c r="G152" s="3668" t="str">
        <f t="shared" si="82"/>
        <v>NA</v>
      </c>
      <c r="H152" s="3081">
        <f t="shared" si="83"/>
        <v>0.34699439247380232</v>
      </c>
      <c r="I152" s="3081">
        <f t="shared" si="84"/>
        <v>1.0000000000000029</v>
      </c>
      <c r="J152" s="3194" t="s">
        <v>199</v>
      </c>
      <c r="K152" s="3194">
        <v>3.9613886117618047</v>
      </c>
      <c r="L152" s="3194">
        <v>1.346122468707478</v>
      </c>
      <c r="M152" s="3460" t="s">
        <v>199</v>
      </c>
    </row>
    <row r="153" spans="2:13" ht="18" customHeight="1" x14ac:dyDescent="0.2">
      <c r="B153" s="2634" t="s">
        <v>679</v>
      </c>
      <c r="C153" s="2636" t="s">
        <v>679</v>
      </c>
      <c r="D153" s="3461">
        <v>0.2338876292093352</v>
      </c>
      <c r="E153" s="3461">
        <v>0.3821553225905282</v>
      </c>
      <c r="F153" s="3461">
        <v>4.5060861840159352E-2</v>
      </c>
      <c r="G153" s="3668" t="str">
        <f t="shared" si="82"/>
        <v>NA</v>
      </c>
      <c r="H153" s="3081">
        <f t="shared" si="83"/>
        <v>0.34699439247380237</v>
      </c>
      <c r="I153" s="3081">
        <f t="shared" si="84"/>
        <v>1.0000000000000033</v>
      </c>
      <c r="J153" s="3194" t="s">
        <v>199</v>
      </c>
      <c r="K153" s="3194">
        <v>0.13260575399293029</v>
      </c>
      <c r="L153" s="3194">
        <v>4.5060861840159505E-2</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v>8.298077241732725E-2</v>
      </c>
      <c r="E155" s="3461">
        <v>0.1355845281734516</v>
      </c>
      <c r="F155" s="3461">
        <v>1.598710087372867E-2</v>
      </c>
      <c r="G155" s="3668" t="str">
        <f t="shared" si="82"/>
        <v>NA</v>
      </c>
      <c r="H155" s="3081">
        <f t="shared" si="83"/>
        <v>0.34699439247380237</v>
      </c>
      <c r="I155" s="3081">
        <f t="shared" si="84"/>
        <v>1.0000000000000027</v>
      </c>
      <c r="J155" s="3194" t="s">
        <v>199</v>
      </c>
      <c r="K155" s="3194">
        <v>4.7047070982393975E-2</v>
      </c>
      <c r="L155" s="3194">
        <v>1.5987100873728712E-2</v>
      </c>
      <c r="M155" s="3460" t="s">
        <v>199</v>
      </c>
    </row>
    <row r="156" spans="2:13" ht="18" customHeight="1" x14ac:dyDescent="0.2">
      <c r="B156" s="2634" t="s">
        <v>686</v>
      </c>
      <c r="C156" s="2636" t="s">
        <v>686</v>
      </c>
      <c r="D156" s="3461">
        <v>8.8881147386585753E-6</v>
      </c>
      <c r="E156" s="3461">
        <v>1.4522531040466528E-5</v>
      </c>
      <c r="F156" s="3461">
        <v>1.7123868911412812E-6</v>
      </c>
      <c r="G156" s="3668" t="str">
        <f t="shared" si="82"/>
        <v>NA</v>
      </c>
      <c r="H156" s="3081">
        <f t="shared" si="83"/>
        <v>0.34699439247380237</v>
      </c>
      <c r="I156" s="3081">
        <f t="shared" si="84"/>
        <v>1.0000000000000027</v>
      </c>
      <c r="J156" s="3194" t="s">
        <v>199</v>
      </c>
      <c r="K156" s="3194">
        <v>5.0392368355686199E-6</v>
      </c>
      <c r="L156" s="3194">
        <v>1.7123868911412858E-6</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1.0855554128492308</v>
      </c>
      <c r="K162" s="3200">
        <f t="shared" ref="K162:M162" si="90">IF(SUM(K163,K165,K175)=0,"NO",SUM(K163,K165,K175))</f>
        <v>10.365017342117076</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1.0855554128492308</v>
      </c>
      <c r="K163" s="3197">
        <f t="shared" ref="K163:M163" si="91">K164</f>
        <v>9.7325766737542381</v>
      </c>
      <c r="L163" s="3197" t="str">
        <f t="shared" si="91"/>
        <v>NO</v>
      </c>
      <c r="M163" s="3193" t="str">
        <f t="shared" si="91"/>
        <v>NO</v>
      </c>
    </row>
    <row r="164" spans="2:13" ht="18" customHeight="1" x14ac:dyDescent="0.2">
      <c r="B164" s="2634" t="s">
        <v>905</v>
      </c>
      <c r="C164" s="2636" t="s">
        <v>905</v>
      </c>
      <c r="D164" s="4136">
        <v>12.771240151167422</v>
      </c>
      <c r="E164" s="4136">
        <v>256.12043878300619</v>
      </c>
      <c r="F164" s="2635" t="s">
        <v>199</v>
      </c>
      <c r="G164" s="3668">
        <f t="shared" ref="G164" si="92">IF(SUM(D164)=0,"NA",J164/D164)</f>
        <v>8.4999999999999992E-2</v>
      </c>
      <c r="H164" s="3081">
        <f t="shared" ref="H164" si="93">IF(SUM(E164)=0,"NA",K164/E164)</f>
        <v>3.8000000000000013E-2</v>
      </c>
      <c r="I164" s="3081" t="str">
        <f t="shared" ref="I164" si="94">IF(SUM(F164)=0,"NA",L164/F164)</f>
        <v>NA</v>
      </c>
      <c r="J164" s="3120">
        <v>1.0855554128492308</v>
      </c>
      <c r="K164" s="3120">
        <v>9.7325766737542381</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0.63244066836283785</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0.63244066836283785</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0.63244066836283785</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0.63244066836283785</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1153.6863212061298</v>
      </c>
      <c r="D10" s="2517">
        <f t="shared" ref="D10:I10" si="0">IF(SUM(D11,D21,D32:D33,D43:D48)=0,"NO",SUM(D11,D21,D32:D33,D43:D48))</f>
        <v>2605.6643009837471</v>
      </c>
      <c r="E10" s="2517">
        <f t="shared" si="0"/>
        <v>38.753188280834244</v>
      </c>
      <c r="F10" s="2517">
        <f t="shared" si="0"/>
        <v>37.195809767810161</v>
      </c>
      <c r="G10" s="2517">
        <f t="shared" si="0"/>
        <v>617.14540814598058</v>
      </c>
      <c r="H10" s="2925">
        <f t="shared" si="0"/>
        <v>36.000148808515533</v>
      </c>
      <c r="I10" s="2934" t="str">
        <f t="shared" si="0"/>
        <v>NO</v>
      </c>
      <c r="J10" s="2935">
        <f>IF(SUM(C10:E10)=0,"NO",SUM(C10)+28*SUM(D10)+265*SUM(E10))</f>
        <v>84381.881643172121</v>
      </c>
    </row>
    <row r="11" spans="1:10" ht="18" customHeight="1" x14ac:dyDescent="0.2">
      <c r="B11" s="234" t="s">
        <v>923</v>
      </c>
      <c r="C11" s="2936"/>
      <c r="D11" s="2163">
        <f>SUM(D17:D20)</f>
        <v>2337.4335101675829</v>
      </c>
      <c r="E11" s="1955"/>
      <c r="F11" s="1955"/>
      <c r="G11" s="1955"/>
      <c r="H11" s="2937"/>
      <c r="I11" s="2937"/>
      <c r="J11" s="1887">
        <f>IF(SUM(C11:E11)=0,"NO",SUM(C11)+28*SUM(D11)+265*SUM(E11))</f>
        <v>65448.138284692322</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1501.1251861900685</v>
      </c>
      <c r="E17" s="615"/>
      <c r="F17" s="615"/>
      <c r="G17" s="615"/>
      <c r="H17" s="2939"/>
      <c r="I17" s="2940"/>
      <c r="J17" s="2943">
        <f>IF(SUM(C17:E17)=0,"NO",SUM(C17)+28*SUM(D17)+265*SUM(E17))</f>
        <v>42031.505213321914</v>
      </c>
    </row>
    <row r="18" spans="2:10" ht="18" customHeight="1" x14ac:dyDescent="0.2">
      <c r="B18" s="228" t="s">
        <v>930</v>
      </c>
      <c r="C18" s="2945"/>
      <c r="D18" s="2930">
        <f>Table3.A!G24</f>
        <v>822.89730169523818</v>
      </c>
      <c r="E18" s="615"/>
      <c r="F18" s="615"/>
      <c r="G18" s="615"/>
      <c r="H18" s="2939"/>
      <c r="I18" s="2940"/>
      <c r="J18" s="2943">
        <f t="shared" ref="J18:J22" si="1">IF(SUM(C18:E18)=0,"NO",SUM(C18)+28*SUM(D18)+265*SUM(E18))</f>
        <v>23041.124447466667</v>
      </c>
    </row>
    <row r="19" spans="2:10" ht="18" customHeight="1" x14ac:dyDescent="0.2">
      <c r="B19" s="228" t="s">
        <v>931</v>
      </c>
      <c r="C19" s="2945"/>
      <c r="D19" s="2930">
        <f>Table3.A!G27</f>
        <v>3.6008392822758193</v>
      </c>
      <c r="E19" s="615"/>
      <c r="F19" s="615"/>
      <c r="G19" s="615"/>
      <c r="H19" s="2939"/>
      <c r="I19" s="2940"/>
      <c r="J19" s="2943">
        <f t="shared" si="1"/>
        <v>100.82349990372293</v>
      </c>
    </row>
    <row r="20" spans="2:10" ht="18" customHeight="1" thickBot="1" x14ac:dyDescent="0.25">
      <c r="B20" s="1296" t="s">
        <v>932</v>
      </c>
      <c r="C20" s="2946"/>
      <c r="D20" s="2517">
        <f>Table3.A!G30</f>
        <v>9.8101829999999985</v>
      </c>
      <c r="E20" s="1948"/>
      <c r="F20" s="1948"/>
      <c r="G20" s="1948"/>
      <c r="H20" s="2947"/>
      <c r="I20" s="2948"/>
      <c r="J20" s="2943">
        <f t="shared" si="1"/>
        <v>274.68512399999997</v>
      </c>
    </row>
    <row r="21" spans="2:10" ht="18" customHeight="1" x14ac:dyDescent="0.2">
      <c r="B21" s="1455" t="s">
        <v>933</v>
      </c>
      <c r="C21" s="2949"/>
      <c r="D21" s="2930">
        <f>IF(SUM(D27:D31)=0,"NO",SUM(D27:D31))</f>
        <v>224.84494272300051</v>
      </c>
      <c r="E21" s="2930">
        <f>IF(SUM(E27:E31)=0,"NO",SUM(E27:E31))</f>
        <v>1.1237627605458389</v>
      </c>
      <c r="F21" s="2160"/>
      <c r="G21" s="2160"/>
      <c r="H21" s="2930" t="str">
        <f>IF(SUM(H27:H31)=0,"NE",SUM(H27:H31))</f>
        <v>NE</v>
      </c>
      <c r="I21" s="2940"/>
      <c r="J21" s="2950">
        <f t="shared" si="1"/>
        <v>6593.455527788662</v>
      </c>
    </row>
    <row r="22" spans="2:10" ht="18" customHeight="1" x14ac:dyDescent="0.2">
      <c r="B22" s="228" t="s">
        <v>934</v>
      </c>
      <c r="C22" s="2945"/>
      <c r="D22" s="2930">
        <f>D27</f>
        <v>124.89717324075289</v>
      </c>
      <c r="E22" s="2930">
        <f>E27</f>
        <v>0.39097961925148533</v>
      </c>
      <c r="F22" s="2951"/>
      <c r="G22" s="2951"/>
      <c r="H22" s="2930" t="str">
        <f>H27</f>
        <v>NE</v>
      </c>
      <c r="I22" s="2940"/>
      <c r="J22" s="2943">
        <f t="shared" si="1"/>
        <v>3600.7304498427247</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124.89717324075289</v>
      </c>
      <c r="E27" s="2930">
        <f>'Table3.B(b)'!X15</f>
        <v>0.39097961925148533</v>
      </c>
      <c r="F27" s="615"/>
      <c r="G27" s="615"/>
      <c r="H27" s="2953" t="s">
        <v>221</v>
      </c>
      <c r="I27" s="2940"/>
      <c r="J27" s="2943">
        <f t="shared" ref="J27:J49" si="2">IF(SUM(C27:E27)=0,"NO",SUM(C27)+28*SUM(D27)+265*SUM(E27))</f>
        <v>3600.7304498427247</v>
      </c>
    </row>
    <row r="28" spans="2:10" ht="18" customHeight="1" x14ac:dyDescent="0.2">
      <c r="B28" s="228" t="s">
        <v>938</v>
      </c>
      <c r="C28" s="2945"/>
      <c r="D28" s="2930">
        <f>'Table3.B(a)'!K24</f>
        <v>42.251715277588744</v>
      </c>
      <c r="E28" s="2930" t="str">
        <f>'Table3.B(b)'!X24</f>
        <v>NA</v>
      </c>
      <c r="F28" s="2951"/>
      <c r="G28" s="2951"/>
      <c r="H28" s="2953" t="s">
        <v>221</v>
      </c>
      <c r="I28" s="2940"/>
      <c r="J28" s="2943">
        <f t="shared" si="2"/>
        <v>1183.0480277724848</v>
      </c>
    </row>
    <row r="29" spans="2:10" ht="18" customHeight="1" x14ac:dyDescent="0.2">
      <c r="B29" s="228" t="s">
        <v>939</v>
      </c>
      <c r="C29" s="2945"/>
      <c r="D29" s="2930">
        <f>'Table3.B(a)'!K27</f>
        <v>54.816776493797718</v>
      </c>
      <c r="E29" s="2930">
        <f>'Table3.B(b)'!X27</f>
        <v>0.11076591396563951</v>
      </c>
      <c r="F29" s="2951"/>
      <c r="G29" s="2951"/>
      <c r="H29" s="2953" t="s">
        <v>221</v>
      </c>
      <c r="I29" s="2940"/>
      <c r="J29" s="2943">
        <f t="shared" si="2"/>
        <v>1564.2227090272306</v>
      </c>
    </row>
    <row r="30" spans="2:10" ht="18" customHeight="1" x14ac:dyDescent="0.2">
      <c r="B30" s="228" t="s">
        <v>940</v>
      </c>
      <c r="C30" s="2945"/>
      <c r="D30" s="2930">
        <f>'Table3.B(a)'!K30</f>
        <v>2.8792777108611523</v>
      </c>
      <c r="E30" s="2930">
        <f>'Table3.B(b)'!X30</f>
        <v>0.21096102099606345</v>
      </c>
      <c r="F30" s="2951"/>
      <c r="G30" s="2951"/>
      <c r="H30" s="2953" t="s">
        <v>221</v>
      </c>
      <c r="I30" s="2940"/>
      <c r="J30" s="2943">
        <f t="shared" si="2"/>
        <v>136.52444646806907</v>
      </c>
    </row>
    <row r="31" spans="2:10" ht="18" customHeight="1" thickBot="1" x14ac:dyDescent="0.25">
      <c r="B31" s="1296" t="s">
        <v>941</v>
      </c>
      <c r="C31" s="2954"/>
      <c r="D31" s="2955"/>
      <c r="E31" s="2956">
        <f>SUM('Table3.B(b)'!Y47:Z47)</f>
        <v>0.41105620633265061</v>
      </c>
      <c r="F31" s="2957"/>
      <c r="G31" s="2957"/>
      <c r="H31" s="2958"/>
      <c r="I31" s="2959"/>
      <c r="J31" s="2943">
        <f t="shared" si="2"/>
        <v>108.92989467815241</v>
      </c>
    </row>
    <row r="32" spans="2:10" ht="18" customHeight="1" thickBot="1" x14ac:dyDescent="0.25">
      <c r="B32" s="2658" t="s">
        <v>942</v>
      </c>
      <c r="C32" s="2960"/>
      <c r="D32" s="2961">
        <f>Table3.C!G11</f>
        <v>27.561606858651462</v>
      </c>
      <c r="E32" s="2962"/>
      <c r="F32" s="2962"/>
      <c r="G32" s="2962"/>
      <c r="H32" s="2963" t="s">
        <v>221</v>
      </c>
      <c r="I32" s="2964"/>
      <c r="J32" s="2965">
        <f t="shared" si="2"/>
        <v>771.72499204224096</v>
      </c>
    </row>
    <row r="33" spans="2:10" ht="18" customHeight="1" x14ac:dyDescent="0.2">
      <c r="B33" s="2657" t="s">
        <v>943</v>
      </c>
      <c r="C33" s="2966"/>
      <c r="D33" s="2967" t="s">
        <v>221</v>
      </c>
      <c r="E33" s="2967">
        <f>IF(SUM(E34,E42)=0,"NO",SUM(E34,E42))</f>
        <v>36.985622270477037</v>
      </c>
      <c r="F33" s="2967" t="str">
        <f>IF(SUM(F34,F42)=0,"NO",SUM(F34,F42))</f>
        <v>NO</v>
      </c>
      <c r="G33" s="2967" t="str">
        <f>IF(SUM(G34,G42)=0,"NO",SUM(G34,G42))</f>
        <v>NO</v>
      </c>
      <c r="H33" s="2967" t="str">
        <f>IF(SUM(H34,H42)=0,"NO",SUM(H34,H42))</f>
        <v>NO</v>
      </c>
      <c r="I33" s="2968"/>
      <c r="J33" s="2969">
        <f t="shared" si="2"/>
        <v>9801.1899016764146</v>
      </c>
    </row>
    <row r="34" spans="2:10" ht="18" customHeight="1" x14ac:dyDescent="0.2">
      <c r="B34" s="228" t="s">
        <v>944</v>
      </c>
      <c r="C34" s="2970"/>
      <c r="D34" s="615"/>
      <c r="E34" s="2971">
        <f>IF(SUM(E35:E41)=0,"NO",SUM(E35:E41))</f>
        <v>26.711402006579018</v>
      </c>
      <c r="F34" s="615"/>
      <c r="G34" s="615"/>
      <c r="H34" s="615"/>
      <c r="I34" s="2940"/>
      <c r="J34" s="2972">
        <f t="shared" si="2"/>
        <v>7078.5215317434395</v>
      </c>
    </row>
    <row r="35" spans="2:10" ht="18" customHeight="1" x14ac:dyDescent="0.2">
      <c r="B35" s="232" t="s">
        <v>945</v>
      </c>
      <c r="C35" s="2970"/>
      <c r="D35" s="615"/>
      <c r="E35" s="4248">
        <f>Table3.D!F11</f>
        <v>6.544877747828167</v>
      </c>
      <c r="F35" s="615"/>
      <c r="G35" s="615"/>
      <c r="H35" s="615"/>
      <c r="I35" s="2940"/>
      <c r="J35" s="2972">
        <f t="shared" si="2"/>
        <v>1734.3926031744643</v>
      </c>
    </row>
    <row r="36" spans="2:10" ht="18" customHeight="1" x14ac:dyDescent="0.2">
      <c r="B36" s="232" t="s">
        <v>946</v>
      </c>
      <c r="C36" s="2970"/>
      <c r="D36" s="615"/>
      <c r="E36" s="4248">
        <f>Table3.D!F12</f>
        <v>1.0737117225393913</v>
      </c>
      <c r="F36" s="615"/>
      <c r="G36" s="615"/>
      <c r="H36" s="615"/>
      <c r="I36" s="2940"/>
      <c r="J36" s="2972">
        <f t="shared" si="2"/>
        <v>284.53360647293869</v>
      </c>
    </row>
    <row r="37" spans="2:10" ht="18" customHeight="1" x14ac:dyDescent="0.2">
      <c r="B37" s="232" t="s">
        <v>947</v>
      </c>
      <c r="C37" s="2970"/>
      <c r="D37" s="615"/>
      <c r="E37" s="4248">
        <f>Table3.D!F16</f>
        <v>12.679240802597274</v>
      </c>
      <c r="F37" s="615"/>
      <c r="G37" s="615"/>
      <c r="H37" s="615"/>
      <c r="I37" s="2940"/>
      <c r="J37" s="2972">
        <f t="shared" si="2"/>
        <v>3359.9988126882777</v>
      </c>
    </row>
    <row r="38" spans="2:10" ht="18" customHeight="1" x14ac:dyDescent="0.2">
      <c r="B38" s="232" t="s">
        <v>948</v>
      </c>
      <c r="C38" s="2970"/>
      <c r="D38" s="615"/>
      <c r="E38" s="4248">
        <f>Table3.D!F17</f>
        <v>5.886434869393165</v>
      </c>
      <c r="F38" s="615"/>
      <c r="G38" s="615"/>
      <c r="H38" s="615"/>
      <c r="I38" s="2940"/>
      <c r="J38" s="2972">
        <f t="shared" si="2"/>
        <v>1559.9052403891887</v>
      </c>
    </row>
    <row r="39" spans="2:10" ht="26.25" customHeight="1" x14ac:dyDescent="0.2">
      <c r="B39" s="1708" t="s">
        <v>949</v>
      </c>
      <c r="C39" s="2970"/>
      <c r="D39" s="2951"/>
      <c r="E39" s="4248">
        <f>Table3.D!F18</f>
        <v>0.43913686422102471</v>
      </c>
      <c r="F39" s="2951"/>
      <c r="G39" s="2951"/>
      <c r="H39" s="2951"/>
      <c r="I39" s="2940"/>
      <c r="J39" s="2972">
        <f t="shared" si="2"/>
        <v>116.37126901857155</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10.274220263898016</v>
      </c>
      <c r="F42" s="2957"/>
      <c r="G42" s="2957"/>
      <c r="H42" s="2957"/>
      <c r="I42" s="2976"/>
      <c r="J42" s="2977">
        <f t="shared" si="2"/>
        <v>2722.6683699329742</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15.82424123451232</v>
      </c>
      <c r="E44" s="2984">
        <f>SUM(Table3.F!J10,Table3.F!J20,Table3.F!J23,Table3.F!J26:J27)</f>
        <v>0.64380324981137249</v>
      </c>
      <c r="F44" s="2919">
        <v>37.195809767810161</v>
      </c>
      <c r="G44" s="2919">
        <v>617.14540814598058</v>
      </c>
      <c r="H44" s="2920">
        <v>36.000148808515533</v>
      </c>
      <c r="I44" s="2985" t="s">
        <v>199</v>
      </c>
      <c r="J44" s="2986">
        <f t="shared" si="2"/>
        <v>613.68661576635873</v>
      </c>
    </row>
    <row r="45" spans="2:10" ht="18" customHeight="1" thickBot="1" x14ac:dyDescent="0.25">
      <c r="B45" s="2660" t="s">
        <v>955</v>
      </c>
      <c r="C45" s="2987">
        <f>'Table3.G-J'!E10</f>
        <v>485.71530671337609</v>
      </c>
      <c r="D45" s="2988"/>
      <c r="E45" s="2988"/>
      <c r="F45" s="2988"/>
      <c r="G45" s="2988"/>
      <c r="H45" s="2989"/>
      <c r="I45" s="2990"/>
      <c r="J45" s="2986">
        <f t="shared" si="2"/>
        <v>485.71530671337609</v>
      </c>
    </row>
    <row r="46" spans="2:10" ht="18" customHeight="1" thickBot="1" x14ac:dyDescent="0.25">
      <c r="B46" s="2660" t="s">
        <v>956</v>
      </c>
      <c r="C46" s="2987">
        <f>'Table3.G-J'!E13</f>
        <v>667.97101449275374</v>
      </c>
      <c r="D46" s="2988"/>
      <c r="E46" s="2988"/>
      <c r="F46" s="2988"/>
      <c r="G46" s="2988"/>
      <c r="H46" s="2989"/>
      <c r="I46" s="2990"/>
      <c r="J46" s="2986">
        <f t="shared" si="2"/>
        <v>667.97101449275374</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26695.745000000003</v>
      </c>
      <c r="D10" s="3208"/>
      <c r="E10" s="3208"/>
      <c r="F10" s="3109">
        <f>IF(SUM(C10)=0,"NA",G10*1000/C10)</f>
        <v>56.23087822385434</v>
      </c>
      <c r="G10" s="3209">
        <f>G15</f>
        <v>1501.1251861900685</v>
      </c>
      <c r="I10" s="275" t="s">
        <v>977</v>
      </c>
      <c r="J10" s="276" t="s">
        <v>978</v>
      </c>
      <c r="K10" s="699">
        <v>448.45197050108737</v>
      </c>
      <c r="L10" s="699">
        <v>362.94189348877876</v>
      </c>
      <c r="M10" s="3125">
        <v>514.06060606060601</v>
      </c>
      <c r="N10" s="3125">
        <v>45.311690165013367</v>
      </c>
      <c r="O10" s="2921">
        <v>54.396921567591306</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13.210376581156098</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26695.745000000003</v>
      </c>
      <c r="D15" s="3215"/>
      <c r="E15" s="3215"/>
      <c r="F15" s="3109">
        <f>IF(SUM(C15)=0,"NA",G15*1000/C15)</f>
        <v>56.23087822385434</v>
      </c>
      <c r="G15" s="3216">
        <f>G20</f>
        <v>1501.1251861900685</v>
      </c>
      <c r="I15" s="1780" t="s">
        <v>989</v>
      </c>
      <c r="J15" s="1853" t="s">
        <v>428</v>
      </c>
      <c r="K15" s="3408">
        <v>75</v>
      </c>
      <c r="L15" s="3408">
        <v>58.140287199615138</v>
      </c>
      <c r="M15" s="1563">
        <v>80.319229428716895</v>
      </c>
      <c r="N15" s="1563">
        <v>66.369929178974672</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1501.1251861900685</v>
      </c>
      <c r="I20" s="72"/>
      <c r="J20" s="287"/>
      <c r="K20" s="287"/>
      <c r="L20" s="287"/>
      <c r="M20" s="287"/>
      <c r="N20" s="287"/>
      <c r="O20" s="287"/>
    </row>
    <row r="21" spans="2:15" ht="18" customHeight="1" x14ac:dyDescent="0.2">
      <c r="B21" s="2652" t="s">
        <v>994</v>
      </c>
      <c r="C21" s="3239">
        <v>2959.2719999999999</v>
      </c>
      <c r="D21" s="3224">
        <v>222.78199885664705</v>
      </c>
      <c r="E21" s="3224">
        <v>6.1505088184390013</v>
      </c>
      <c r="F21" s="3109">
        <f t="shared" ref="F21:F30" si="0">IF(SUM(C21)=0,"NA",G21*1000/C21)</f>
        <v>90.57065958366347</v>
      </c>
      <c r="G21" s="3206">
        <v>268.02321692746699</v>
      </c>
      <c r="I21" s="72"/>
      <c r="J21" s="287"/>
      <c r="K21" s="287"/>
      <c r="L21" s="287"/>
      <c r="M21" s="287"/>
      <c r="N21" s="287"/>
      <c r="O21" s="287"/>
    </row>
    <row r="22" spans="2:15" ht="18" customHeight="1" x14ac:dyDescent="0.2">
      <c r="B22" s="2652" t="s">
        <v>965</v>
      </c>
      <c r="C22" s="3239">
        <v>23285.964</v>
      </c>
      <c r="D22" s="3224">
        <v>125.72432306870856</v>
      </c>
      <c r="E22" s="3224">
        <v>6.21225</v>
      </c>
      <c r="F22" s="3109">
        <f t="shared" si="0"/>
        <v>51.625549987357957</v>
      </c>
      <c r="G22" s="3206">
        <v>1202.1506984858177</v>
      </c>
      <c r="I22" s="72"/>
      <c r="J22" s="287"/>
      <c r="K22" s="287"/>
      <c r="L22" s="287"/>
      <c r="M22" s="287"/>
      <c r="N22" s="287"/>
      <c r="O22" s="287"/>
    </row>
    <row r="23" spans="2:15" ht="18" customHeight="1" x14ac:dyDescent="0.2">
      <c r="B23" s="2652" t="s">
        <v>966</v>
      </c>
      <c r="C23" s="3239">
        <v>450.50900000000001</v>
      </c>
      <c r="D23" s="3224">
        <v>199.67308379697255</v>
      </c>
      <c r="E23" s="3224">
        <v>5.2054580465958651</v>
      </c>
      <c r="F23" s="3109">
        <f t="shared" si="0"/>
        <v>68.702891122671701</v>
      </c>
      <c r="G23" s="3206">
        <v>30.951270776783709</v>
      </c>
      <c r="I23" s="72"/>
      <c r="J23" s="287"/>
      <c r="K23" s="287"/>
      <c r="L23" s="287"/>
      <c r="M23" s="287"/>
      <c r="N23" s="287"/>
      <c r="O23" s="287"/>
    </row>
    <row r="24" spans="2:15" ht="18" customHeight="1" x14ac:dyDescent="0.2">
      <c r="B24" s="286" t="s">
        <v>995</v>
      </c>
      <c r="C24" s="2654">
        <f>C25</f>
        <v>120228.13099999999</v>
      </c>
      <c r="D24" s="3225"/>
      <c r="E24" s="3225"/>
      <c r="F24" s="3109">
        <f t="shared" si="0"/>
        <v>6.8444655576924696</v>
      </c>
      <c r="G24" s="3106">
        <f>G25</f>
        <v>822.89730169523818</v>
      </c>
      <c r="I24" s="72"/>
    </row>
    <row r="25" spans="2:15" ht="18" customHeight="1" x14ac:dyDescent="0.2">
      <c r="B25" s="282" t="s">
        <v>996</v>
      </c>
      <c r="C25" s="2654">
        <f>C26</f>
        <v>120228.13099999999</v>
      </c>
      <c r="D25" s="3225"/>
      <c r="E25" s="3225"/>
      <c r="F25" s="3109">
        <f t="shared" si="0"/>
        <v>6.8444655576924696</v>
      </c>
      <c r="G25" s="3106">
        <f>G26</f>
        <v>822.89730169523818</v>
      </c>
    </row>
    <row r="26" spans="2:15" ht="18" customHeight="1" x14ac:dyDescent="0.2">
      <c r="B26" s="2653" t="s">
        <v>967</v>
      </c>
      <c r="C26" s="288">
        <v>120228.13099999999</v>
      </c>
      <c r="D26" s="3226">
        <v>16.806599571778111</v>
      </c>
      <c r="E26" s="3226">
        <v>6.1611705011150795</v>
      </c>
      <c r="F26" s="3109">
        <f t="shared" si="0"/>
        <v>6.8444655576924696</v>
      </c>
      <c r="G26" s="3207">
        <v>822.89730169523818</v>
      </c>
    </row>
    <row r="27" spans="2:15" ht="18" customHeight="1" x14ac:dyDescent="0.2">
      <c r="B27" s="286" t="s">
        <v>997</v>
      </c>
      <c r="C27" s="2654">
        <f>C28</f>
        <v>2555.223</v>
      </c>
      <c r="D27" s="3225"/>
      <c r="E27" s="3225"/>
      <c r="F27" s="3109">
        <f t="shared" si="0"/>
        <v>1.4092074477553698</v>
      </c>
      <c r="G27" s="3106">
        <f>G28</f>
        <v>3.6008392822758193</v>
      </c>
    </row>
    <row r="28" spans="2:15" ht="18" customHeight="1" x14ac:dyDescent="0.2">
      <c r="B28" s="282" t="s">
        <v>998</v>
      </c>
      <c r="C28" s="2654">
        <f>C29</f>
        <v>2555.223</v>
      </c>
      <c r="D28" s="3225"/>
      <c r="E28" s="3225"/>
      <c r="F28" s="3109">
        <f t="shared" si="0"/>
        <v>1.4092074477553698</v>
      </c>
      <c r="G28" s="3106">
        <f>G29</f>
        <v>3.6008392822758193</v>
      </c>
    </row>
    <row r="29" spans="2:15" ht="18" customHeight="1" x14ac:dyDescent="0.2">
      <c r="B29" s="2653" t="s">
        <v>968</v>
      </c>
      <c r="C29" s="288">
        <v>2555.223</v>
      </c>
      <c r="D29" s="3226">
        <v>30.456530436419378</v>
      </c>
      <c r="E29" s="3226">
        <v>0.70000000000000007</v>
      </c>
      <c r="F29" s="3109">
        <f t="shared" si="0"/>
        <v>1.4092074477553698</v>
      </c>
      <c r="G29" s="3207">
        <v>3.6008392822758193</v>
      </c>
    </row>
    <row r="30" spans="2:15" ht="18" customHeight="1" x14ac:dyDescent="0.2">
      <c r="B30" s="286" t="s">
        <v>999</v>
      </c>
      <c r="C30" s="2654">
        <f>SUM(C32:C39)</f>
        <v>48169.525999999998</v>
      </c>
      <c r="D30" s="3225"/>
      <c r="E30" s="3225"/>
      <c r="F30" s="3109">
        <f t="shared" si="0"/>
        <v>0.20365952947097712</v>
      </c>
      <c r="G30" s="3106">
        <f>SUM(G32:G39)</f>
        <v>9.8101829999999985</v>
      </c>
    </row>
    <row r="31" spans="2:15" ht="18" customHeight="1" x14ac:dyDescent="0.2">
      <c r="B31" s="1304" t="s">
        <v>498</v>
      </c>
      <c r="C31" s="3240"/>
      <c r="D31" s="3228"/>
      <c r="E31" s="3228"/>
      <c r="F31" s="3228"/>
      <c r="G31" s="3229"/>
    </row>
    <row r="32" spans="2:15" ht="18" customHeight="1" x14ac:dyDescent="0.2">
      <c r="B32" s="285" t="s">
        <v>1000</v>
      </c>
      <c r="C32" s="3234">
        <v>9.44</v>
      </c>
      <c r="D32" s="3230" t="s">
        <v>205</v>
      </c>
      <c r="E32" s="3230" t="s">
        <v>205</v>
      </c>
      <c r="F32" s="3109">
        <f t="shared" ref="F32:F41" si="1">IF(SUM(C32)=0,"NA",G32*1000/C32)</f>
        <v>76</v>
      </c>
      <c r="G32" s="3206">
        <v>0.71743999999999997</v>
      </c>
    </row>
    <row r="33" spans="2:7" ht="18" customHeight="1" x14ac:dyDescent="0.2">
      <c r="B33" s="285" t="s">
        <v>1001</v>
      </c>
      <c r="C33" s="3234">
        <v>1.0629999999999999</v>
      </c>
      <c r="D33" s="3230" t="s">
        <v>205</v>
      </c>
      <c r="E33" s="3230" t="s">
        <v>205</v>
      </c>
      <c r="F33" s="3109">
        <f t="shared" si="1"/>
        <v>46</v>
      </c>
      <c r="G33" s="3206">
        <v>4.8897999999999997E-2</v>
      </c>
    </row>
    <row r="34" spans="2:7" ht="18" customHeight="1" x14ac:dyDescent="0.2">
      <c r="B34" s="285" t="s">
        <v>1002</v>
      </c>
      <c r="C34" s="3234">
        <v>152.41999999999999</v>
      </c>
      <c r="D34" s="3230" t="s">
        <v>205</v>
      </c>
      <c r="E34" s="3230" t="s">
        <v>205</v>
      </c>
      <c r="F34" s="3109">
        <f t="shared" si="1"/>
        <v>20.000000000000004</v>
      </c>
      <c r="G34" s="3206">
        <v>3.0484</v>
      </c>
    </row>
    <row r="35" spans="2:7" ht="18" customHeight="1" x14ac:dyDescent="0.2">
      <c r="B35" s="285" t="s">
        <v>1003</v>
      </c>
      <c r="C35" s="3234">
        <v>176.35900000000001</v>
      </c>
      <c r="D35" s="3230" t="s">
        <v>205</v>
      </c>
      <c r="E35" s="3230" t="s">
        <v>205</v>
      </c>
      <c r="F35" s="3109">
        <f t="shared" si="1"/>
        <v>4.9999999999999991</v>
      </c>
      <c r="G35" s="3206">
        <v>0.88179499999999988</v>
      </c>
    </row>
    <row r="36" spans="2:7" ht="18" customHeight="1" x14ac:dyDescent="0.2">
      <c r="B36" s="285" t="s">
        <v>1004</v>
      </c>
      <c r="C36" s="3234">
        <v>233.964</v>
      </c>
      <c r="D36" s="3230" t="s">
        <v>205</v>
      </c>
      <c r="E36" s="3230" t="s">
        <v>205</v>
      </c>
      <c r="F36" s="3109">
        <f t="shared" si="1"/>
        <v>18</v>
      </c>
      <c r="G36" s="3206">
        <v>4.2113519999999998</v>
      </c>
    </row>
    <row r="37" spans="2:7" ht="18" customHeight="1" x14ac:dyDescent="0.2">
      <c r="B37" s="285" t="s">
        <v>1005</v>
      </c>
      <c r="C37" s="3234">
        <v>0.76700000000000002</v>
      </c>
      <c r="D37" s="3230" t="s">
        <v>205</v>
      </c>
      <c r="E37" s="3230" t="s">
        <v>205</v>
      </c>
      <c r="F37" s="3109">
        <f t="shared" si="1"/>
        <v>10</v>
      </c>
      <c r="G37" s="3206">
        <v>7.6700000000000006E-3</v>
      </c>
    </row>
    <row r="38" spans="2:7" ht="18" customHeight="1" x14ac:dyDescent="0.2">
      <c r="B38" s="285" t="s">
        <v>1006</v>
      </c>
      <c r="C38" s="3241">
        <v>47420.629000000001</v>
      </c>
      <c r="D38" s="3230" t="s">
        <v>205</v>
      </c>
      <c r="E38" s="3230" t="s">
        <v>205</v>
      </c>
      <c r="F38" s="3109" t="s">
        <v>205</v>
      </c>
      <c r="G38" s="3231" t="s">
        <v>221</v>
      </c>
    </row>
    <row r="39" spans="2:7" ht="18" customHeight="1" x14ac:dyDescent="0.2">
      <c r="B39" s="285" t="s">
        <v>1007</v>
      </c>
      <c r="C39" s="2654">
        <f>SUM(C41:C45)</f>
        <v>174.88399999999999</v>
      </c>
      <c r="D39" s="3225"/>
      <c r="E39" s="3225"/>
      <c r="F39" s="3109">
        <f t="shared" si="1"/>
        <v>5.1155508794400859</v>
      </c>
      <c r="G39" s="3106">
        <f>SUM(G41:G45)</f>
        <v>0.89462799999999998</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168.148</v>
      </c>
      <c r="D43" s="2974" t="s">
        <v>205</v>
      </c>
      <c r="E43" s="2974" t="s">
        <v>205</v>
      </c>
      <c r="F43" s="3109">
        <f t="shared" si="2"/>
        <v>5</v>
      </c>
      <c r="G43" s="3170">
        <v>0.84074000000000004</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6.7359999999999998</v>
      </c>
      <c r="D45" s="3225"/>
      <c r="E45" s="3225"/>
      <c r="F45" s="3109">
        <f>IF(SUM(C45)=0,"NA",G45*1000/C45)</f>
        <v>7.9999999999999991</v>
      </c>
      <c r="G45" s="3106">
        <f>G46</f>
        <v>5.3887999999999991E-2</v>
      </c>
    </row>
    <row r="46" spans="2:7" ht="18" customHeight="1" thickBot="1" x14ac:dyDescent="0.25">
      <c r="B46" s="2655" t="s">
        <v>1013</v>
      </c>
      <c r="C46" s="3243">
        <v>6.7359999999999998</v>
      </c>
      <c r="D46" s="3115" t="s">
        <v>205</v>
      </c>
      <c r="E46" s="3115" t="s">
        <v>205</v>
      </c>
      <c r="F46" s="3232">
        <f>IF(SUM(C46)=0,"NA",G46*1000/C46)</f>
        <v>7.9999999999999991</v>
      </c>
      <c r="G46" s="3172">
        <v>5.3887999999999991E-2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26695.745000000003</v>
      </c>
      <c r="D10" s="2951"/>
      <c r="E10" s="2951"/>
      <c r="F10" s="2951"/>
      <c r="G10" s="2951"/>
      <c r="H10" s="2951"/>
      <c r="I10" s="3246"/>
      <c r="J10" s="3247">
        <f>IF(SUM(C10)=0,"NA",K10*1000/C10)</f>
        <v>4.6785423385169764</v>
      </c>
      <c r="K10" s="3248">
        <f>K15</f>
        <v>124.89717324075289</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26695.745000000003</v>
      </c>
      <c r="D15" s="3260"/>
      <c r="E15" s="3260"/>
      <c r="F15" s="3260"/>
      <c r="G15" s="3260"/>
      <c r="H15" s="3260"/>
      <c r="I15" s="3255"/>
      <c r="J15" s="3254">
        <f>IF(SUM(C15)=0,"NA",K15*1000/C15)</f>
        <v>4.6785423385169764</v>
      </c>
      <c r="K15" s="3248">
        <f>SUM(K17:K20)</f>
        <v>124.89717324075289</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26695.745000000003</v>
      </c>
      <c r="D20" s="3260"/>
      <c r="E20" s="3260"/>
      <c r="F20" s="3260"/>
      <c r="G20" s="3260"/>
      <c r="H20" s="3260"/>
      <c r="I20" s="3255"/>
      <c r="J20" s="3268">
        <f>IF(SUM(C20)=0,"NA",K20*1000/C20)</f>
        <v>4.6785423385169764</v>
      </c>
      <c r="K20" s="3248">
        <f>SUM(K21:K23)</f>
        <v>124.89717324075289</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2959.2719999999999</v>
      </c>
      <c r="D21" s="3290">
        <v>7.1263147027908733</v>
      </c>
      <c r="E21" s="3290">
        <v>92.835044030262182</v>
      </c>
      <c r="F21" s="3290">
        <v>3.864126694694961E-2</v>
      </c>
      <c r="G21" s="3265">
        <f>Table3.A!K10</f>
        <v>448.45197050108737</v>
      </c>
      <c r="H21" s="3266">
        <v>3.1996876226392601</v>
      </c>
      <c r="I21" s="3267">
        <v>0.24</v>
      </c>
      <c r="J21" s="3268">
        <f>IF(SUM(C21)=0,"NA",K21*1000/C21)</f>
        <v>8.5215752401865092</v>
      </c>
      <c r="K21" s="3244">
        <v>25.217659004177211</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23285.964</v>
      </c>
      <c r="D22" s="3290" t="s">
        <v>199</v>
      </c>
      <c r="E22" s="3290">
        <v>89.327369838158177</v>
      </c>
      <c r="F22" s="3290">
        <v>10.672630161841827</v>
      </c>
      <c r="G22" s="3265">
        <f>Table3.A!L10</f>
        <v>362.94189348877876</v>
      </c>
      <c r="H22" s="3266" t="s">
        <v>205</v>
      </c>
      <c r="I22" s="3267" t="s">
        <v>205</v>
      </c>
      <c r="J22" s="3268">
        <f t="shared" ref="J22:J46" si="0">IF(SUM(C22)=0,"NA",K22*1000/C22)</f>
        <v>4.219287682173376</v>
      </c>
      <c r="K22" s="3244">
        <v>98.250181072732687</v>
      </c>
      <c r="M22" s="1597" t="s">
        <v>1049</v>
      </c>
      <c r="N22" s="4511" t="s">
        <v>994</v>
      </c>
      <c r="O22" s="1693" t="s">
        <v>1051</v>
      </c>
      <c r="P22" s="1694" t="s">
        <v>1039</v>
      </c>
      <c r="Q22" s="4444">
        <v>3.4909137147218066</v>
      </c>
      <c r="R22" s="4445" t="s">
        <v>199</v>
      </c>
      <c r="S22" s="4445">
        <v>5.7514047893753446</v>
      </c>
      <c r="T22" s="4445">
        <v>0.79663907801450573</v>
      </c>
      <c r="U22" s="4445" t="s">
        <v>199</v>
      </c>
      <c r="V22" s="4445" t="s">
        <v>274</v>
      </c>
      <c r="W22" s="4445" t="s">
        <v>199</v>
      </c>
      <c r="X22" s="4445">
        <v>89.961042417888351</v>
      </c>
      <c r="Y22" s="4446" t="s">
        <v>199</v>
      </c>
      <c r="Z22" s="4446" t="s">
        <v>199</v>
      </c>
      <c r="AA22" s="4446" t="s">
        <v>199</v>
      </c>
      <c r="AB22" s="4447" t="s">
        <v>199</v>
      </c>
    </row>
    <row r="23" spans="2:28" s="84" customFormat="1" ht="18" customHeight="1" x14ac:dyDescent="0.2">
      <c r="B23" s="2661" t="s">
        <v>966</v>
      </c>
      <c r="C23" s="3290">
        <f>Table3.A!C23</f>
        <v>450.50900000000001</v>
      </c>
      <c r="D23" s="3290" t="s">
        <v>199</v>
      </c>
      <c r="E23" s="3290">
        <v>100</v>
      </c>
      <c r="F23" s="3290" t="s">
        <v>199</v>
      </c>
      <c r="G23" s="3265">
        <f>Table3.A!M10</f>
        <v>514.06060606060601</v>
      </c>
      <c r="H23" s="3266">
        <v>1.6895175376649672</v>
      </c>
      <c r="I23" s="3267">
        <v>0.19</v>
      </c>
      <c r="J23" s="3268">
        <f t="shared" si="0"/>
        <v>3.1727072352450265</v>
      </c>
      <c r="K23" s="3244">
        <v>1.4293331638430018</v>
      </c>
      <c r="M23" s="1667" t="s">
        <v>1061</v>
      </c>
      <c r="N23" s="4512"/>
      <c r="O23" s="1695" t="s">
        <v>1042</v>
      </c>
      <c r="P23" s="1696" t="s">
        <v>1040</v>
      </c>
      <c r="Q23" s="4448">
        <v>4.285484764347502</v>
      </c>
      <c r="R23" s="4165" t="s">
        <v>199</v>
      </c>
      <c r="S23" s="4165">
        <v>5.1786772048822272</v>
      </c>
      <c r="T23" s="4166">
        <v>1.0523081719291032</v>
      </c>
      <c r="U23" s="4166" t="s">
        <v>199</v>
      </c>
      <c r="V23" s="4166" t="s">
        <v>274</v>
      </c>
      <c r="W23" s="4166" t="s">
        <v>199</v>
      </c>
      <c r="X23" s="4166">
        <v>89.483529858841166</v>
      </c>
      <c r="Y23" s="4166" t="s">
        <v>199</v>
      </c>
      <c r="Z23" s="4166" t="s">
        <v>199</v>
      </c>
      <c r="AA23" s="4166" t="s">
        <v>199</v>
      </c>
      <c r="AB23" s="4140" t="s">
        <v>199</v>
      </c>
    </row>
    <row r="24" spans="2:28" s="84" customFormat="1" ht="18" customHeight="1" thickBot="1" x14ac:dyDescent="0.25">
      <c r="B24" s="1646" t="s">
        <v>1062</v>
      </c>
      <c r="C24" s="4172">
        <f>C25</f>
        <v>120228.13099999999</v>
      </c>
      <c r="D24" s="3270"/>
      <c r="E24" s="3270"/>
      <c r="F24" s="3270"/>
      <c r="G24" s="3270"/>
      <c r="H24" s="3270"/>
      <c r="I24" s="3271"/>
      <c r="J24" s="3268">
        <f t="shared" si="0"/>
        <v>0.35142952756696139</v>
      </c>
      <c r="K24" s="3248">
        <f>K25</f>
        <v>42.251715277588744</v>
      </c>
      <c r="M24" s="1659"/>
      <c r="N24" s="4512"/>
      <c r="O24" s="1697"/>
      <c r="P24" s="1696" t="s">
        <v>1041</v>
      </c>
      <c r="Q24" s="4449">
        <v>2.5525658471095629</v>
      </c>
      <c r="R24" s="4450" t="s">
        <v>199</v>
      </c>
      <c r="S24" s="4450">
        <v>7.4095314173041462</v>
      </c>
      <c r="T24" s="4451">
        <v>1.4712705924312062</v>
      </c>
      <c r="U24" s="4451" t="s">
        <v>199</v>
      </c>
      <c r="V24" s="4451" t="s">
        <v>274</v>
      </c>
      <c r="W24" s="4451" t="s">
        <v>199</v>
      </c>
      <c r="X24" s="4451">
        <v>88.566632143155076</v>
      </c>
      <c r="Y24" s="4451" t="s">
        <v>199</v>
      </c>
      <c r="Z24" s="4451" t="s">
        <v>199</v>
      </c>
      <c r="AA24" s="4451" t="s">
        <v>199</v>
      </c>
      <c r="AB24" s="4452" t="s">
        <v>199</v>
      </c>
    </row>
    <row r="25" spans="2:28" s="84" customFormat="1" ht="18" customHeight="1" x14ac:dyDescent="0.2">
      <c r="B25" s="1647" t="s">
        <v>1063</v>
      </c>
      <c r="C25" s="4172">
        <f>C26</f>
        <v>120228.13099999999</v>
      </c>
      <c r="D25" s="3217"/>
      <c r="E25" s="3217"/>
      <c r="F25" s="3217"/>
      <c r="G25" s="3217"/>
      <c r="H25" s="3217"/>
      <c r="I25" s="3227"/>
      <c r="J25" s="3268">
        <f t="shared" si="0"/>
        <v>0.35142952756696139</v>
      </c>
      <c r="K25" s="3248">
        <f>K26</f>
        <v>42.251715277588744</v>
      </c>
      <c r="M25" s="1659"/>
      <c r="N25" s="4512"/>
      <c r="O25" s="1698" t="s">
        <v>1054</v>
      </c>
      <c r="P25" s="1694" t="s">
        <v>1039</v>
      </c>
      <c r="Q25" s="4453">
        <v>0.70001185468995242</v>
      </c>
      <c r="R25" s="4454" t="s">
        <v>199</v>
      </c>
      <c r="S25" s="4454">
        <v>3.7906044064087971E-2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120228.13099999999</v>
      </c>
      <c r="D26" s="3290" t="s">
        <v>199</v>
      </c>
      <c r="E26" s="3290">
        <v>100</v>
      </c>
      <c r="F26" s="3290" t="s">
        <v>199</v>
      </c>
      <c r="G26" s="3272">
        <f>Table3.A!N10</f>
        <v>45.311690165013367</v>
      </c>
      <c r="H26" s="3014" t="s">
        <v>205</v>
      </c>
      <c r="I26" s="3104" t="s">
        <v>205</v>
      </c>
      <c r="J26" s="3268">
        <f t="shared" si="0"/>
        <v>0.35142952756696139</v>
      </c>
      <c r="K26" s="3244">
        <v>42.251715277588744</v>
      </c>
      <c r="M26" s="1659"/>
      <c r="N26" s="4512"/>
      <c r="O26" s="1699"/>
      <c r="P26" s="1696" t="s">
        <v>1040</v>
      </c>
      <c r="Q26" s="4448">
        <v>0.73856874951997298</v>
      </c>
      <c r="R26" s="4165" t="s">
        <v>199</v>
      </c>
      <c r="S26" s="4165">
        <v>8.7977439296886978E-2</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2555.223</v>
      </c>
      <c r="D27" s="3217"/>
      <c r="E27" s="3217"/>
      <c r="F27" s="3217"/>
      <c r="G27" s="3217"/>
      <c r="H27" s="3217"/>
      <c r="I27" s="3227"/>
      <c r="J27" s="3268">
        <f t="shared" si="0"/>
        <v>21.452834642533244</v>
      </c>
      <c r="K27" s="3248">
        <f>K28</f>
        <v>54.816776493797718</v>
      </c>
      <c r="M27" s="1659"/>
      <c r="N27" s="4513"/>
      <c r="O27" s="1700"/>
      <c r="P27" s="1696" t="s">
        <v>1041</v>
      </c>
      <c r="Q27" s="4449">
        <v>0.8</v>
      </c>
      <c r="R27" s="4450" t="s">
        <v>199</v>
      </c>
      <c r="S27" s="4450">
        <v>0.33881578947368424</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2555.223</v>
      </c>
      <c r="D28" s="3217"/>
      <c r="E28" s="3217"/>
      <c r="F28" s="3217"/>
      <c r="G28" s="3217"/>
      <c r="H28" s="3217"/>
      <c r="I28" s="3227"/>
      <c r="J28" s="3268">
        <f t="shared" si="0"/>
        <v>21.452834642533244</v>
      </c>
      <c r="K28" s="3248">
        <f>K29</f>
        <v>54.816776493797718</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2555.223</v>
      </c>
      <c r="D29" s="3290">
        <v>0.93346060206878212</v>
      </c>
      <c r="E29" s="3290">
        <v>99.066539397931223</v>
      </c>
      <c r="F29" s="3290" t="s">
        <v>199</v>
      </c>
      <c r="G29" s="3272">
        <f>Table3.A!O10</f>
        <v>54.396921567591306</v>
      </c>
      <c r="H29" s="3014">
        <v>0.29704564298524999</v>
      </c>
      <c r="I29" s="3104">
        <v>0.45</v>
      </c>
      <c r="J29" s="3268">
        <f t="shared" si="0"/>
        <v>21.452834642533244</v>
      </c>
      <c r="K29" s="3244">
        <v>54.816776493797718</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48169.525999999998</v>
      </c>
      <c r="D30" s="3217"/>
      <c r="E30" s="3217"/>
      <c r="F30" s="3217"/>
      <c r="G30" s="3217"/>
      <c r="H30" s="3217"/>
      <c r="I30" s="3227"/>
      <c r="J30" s="3268">
        <f t="shared" si="0"/>
        <v>5.9773843547083115E-2</v>
      </c>
      <c r="K30" s="3248">
        <f>SUM(K32:K39)</f>
        <v>2.8792777108611523</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9.44</v>
      </c>
      <c r="D32" s="3290" t="s">
        <v>199</v>
      </c>
      <c r="E32" s="3290" t="s">
        <v>199</v>
      </c>
      <c r="F32" s="3290">
        <v>100</v>
      </c>
      <c r="G32" s="3274" t="s">
        <v>205</v>
      </c>
      <c r="H32" s="3274" t="s">
        <v>205</v>
      </c>
      <c r="I32" s="3274" t="s">
        <v>205</v>
      </c>
      <c r="J32" s="3268">
        <f t="shared" si="0"/>
        <v>11.569996682399511</v>
      </c>
      <c r="K32" s="3244">
        <v>0.10922076868185138</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1.0629999999999999</v>
      </c>
      <c r="D33" s="3290" t="s">
        <v>199</v>
      </c>
      <c r="E33" s="3290">
        <v>15.333960489181564</v>
      </c>
      <c r="F33" s="3290">
        <v>84.666039510818436</v>
      </c>
      <c r="G33" s="3274" t="s">
        <v>205</v>
      </c>
      <c r="H33" s="3274" t="s">
        <v>205</v>
      </c>
      <c r="I33" s="3274" t="s">
        <v>205</v>
      </c>
      <c r="J33" s="3254">
        <f t="shared" si="0"/>
        <v>10.255819852859689</v>
      </c>
      <c r="K33" s="3244">
        <v>1.090193650358985E-2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152.41999999999999</v>
      </c>
      <c r="D34" s="3290" t="s">
        <v>199</v>
      </c>
      <c r="E34" s="3290">
        <v>100</v>
      </c>
      <c r="F34" s="3290" t="s">
        <v>199</v>
      </c>
      <c r="G34" s="3274" t="s">
        <v>205</v>
      </c>
      <c r="H34" s="3274" t="s">
        <v>205</v>
      </c>
      <c r="I34" s="3274" t="s">
        <v>205</v>
      </c>
      <c r="J34" s="3254">
        <f t="shared" si="0"/>
        <v>0.99987625650366196</v>
      </c>
      <c r="K34" s="3244">
        <v>0.15240113901628813</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176.35900000000001</v>
      </c>
      <c r="D35" s="3290" t="s">
        <v>199</v>
      </c>
      <c r="E35" s="3290">
        <v>99.864480973468886</v>
      </c>
      <c r="F35" s="3290">
        <v>0.13551902653110984</v>
      </c>
      <c r="G35" s="3274" t="s">
        <v>205</v>
      </c>
      <c r="H35" s="3274" t="s">
        <v>205</v>
      </c>
      <c r="I35" s="3274" t="s">
        <v>205</v>
      </c>
      <c r="J35" s="3254">
        <f t="shared" si="0"/>
        <v>0.35870609231885042</v>
      </c>
      <c r="K35" s="3244">
        <v>6.3261047735260145E-2</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233.964</v>
      </c>
      <c r="D36" s="3290" t="s">
        <v>199</v>
      </c>
      <c r="E36" s="3290">
        <v>97.300866800020515</v>
      </c>
      <c r="F36" s="3290">
        <v>2.6991331999794843</v>
      </c>
      <c r="G36" s="3274" t="s">
        <v>205</v>
      </c>
      <c r="H36" s="3274" t="s">
        <v>205</v>
      </c>
      <c r="I36" s="3274" t="s">
        <v>205</v>
      </c>
      <c r="J36" s="3254">
        <f t="shared" si="0"/>
        <v>3.230954415208148</v>
      </c>
      <c r="K36" s="3244">
        <v>0.7559270187997591</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0.76700000000000002</v>
      </c>
      <c r="D37" s="3290" t="s">
        <v>199</v>
      </c>
      <c r="E37" s="3290">
        <v>99.869621903520212</v>
      </c>
      <c r="F37" s="3290">
        <v>0.1303780964797914</v>
      </c>
      <c r="G37" s="3274" t="s">
        <v>205</v>
      </c>
      <c r="H37" s="3274" t="s">
        <v>205</v>
      </c>
      <c r="I37" s="3274" t="s">
        <v>205</v>
      </c>
      <c r="J37" s="3254">
        <f t="shared" si="0"/>
        <v>1.0036008840190414</v>
      </c>
      <c r="K37" s="3244">
        <v>7.6976187804260465E-4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47420.629000000001</v>
      </c>
      <c r="D38" s="3290">
        <v>1.4296136278699074</v>
      </c>
      <c r="E38" s="3290">
        <v>98.570386372130088</v>
      </c>
      <c r="F38" s="3290" t="s">
        <v>199</v>
      </c>
      <c r="G38" s="3274" t="s">
        <v>205</v>
      </c>
      <c r="H38" s="3274" t="s">
        <v>205</v>
      </c>
      <c r="I38" s="3274" t="s">
        <v>205</v>
      </c>
      <c r="J38" s="3254">
        <f t="shared" si="0"/>
        <v>3.6361939474200383E-2</v>
      </c>
      <c r="K38" s="3244">
        <v>1.7243060415265115</v>
      </c>
      <c r="M38" s="1659"/>
      <c r="N38" s="4512"/>
      <c r="O38" s="1699"/>
      <c r="P38" s="1696" t="s">
        <v>1040</v>
      </c>
      <c r="Q38" s="4448">
        <v>0.75771599999999983</v>
      </c>
      <c r="R38" s="4165" t="s">
        <v>199</v>
      </c>
      <c r="S38" s="4165" t="s">
        <v>199</v>
      </c>
      <c r="T38" s="4166" t="s">
        <v>274</v>
      </c>
      <c r="U38" s="4166" t="s">
        <v>199</v>
      </c>
      <c r="V38" s="4166">
        <v>1.7697637795275591E-2</v>
      </c>
      <c r="W38" s="4166" t="s">
        <v>199</v>
      </c>
      <c r="X38" s="4166" t="s">
        <v>199</v>
      </c>
      <c r="Y38" s="4166">
        <v>9.9999999999999985E-3</v>
      </c>
      <c r="Z38" s="4166" t="s">
        <v>199</v>
      </c>
      <c r="AA38" s="4166" t="s">
        <v>199</v>
      </c>
      <c r="AB38" s="4140" t="s">
        <v>199</v>
      </c>
    </row>
    <row r="39" spans="2:28" s="84" customFormat="1" ht="18" customHeight="1" thickBot="1" x14ac:dyDescent="0.25">
      <c r="B39" s="1647" t="s">
        <v>1074</v>
      </c>
      <c r="C39" s="4172">
        <f>SUM(C41:C45)</f>
        <v>174.88399999999999</v>
      </c>
      <c r="D39" s="3261"/>
      <c r="E39" s="3261"/>
      <c r="F39" s="3261"/>
      <c r="G39" s="3261"/>
      <c r="H39" s="3261"/>
      <c r="I39" s="3262"/>
      <c r="J39" s="3254">
        <f t="shared" si="0"/>
        <v>0.35732254934613616</v>
      </c>
      <c r="K39" s="3248">
        <f>SUM(K41:K45)</f>
        <v>6.2489996719849672E-2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82.7</v>
      </c>
      <c r="R40" s="4445" t="s">
        <v>199</v>
      </c>
      <c r="S40" s="4445" t="s">
        <v>199</v>
      </c>
      <c r="T40" s="4446" t="s">
        <v>274</v>
      </c>
      <c r="U40" s="4446" t="s">
        <v>274</v>
      </c>
      <c r="V40" s="4446">
        <v>13.624999999999998</v>
      </c>
      <c r="W40" s="4446" t="s">
        <v>274</v>
      </c>
      <c r="X40" s="4446" t="s">
        <v>199</v>
      </c>
      <c r="Y40" s="4446" t="s">
        <v>199</v>
      </c>
      <c r="Z40" s="4446" t="s">
        <v>199</v>
      </c>
      <c r="AA40" s="4446" t="s">
        <v>199</v>
      </c>
      <c r="AB40" s="4447">
        <v>8.9</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84.774718957993088</v>
      </c>
      <c r="R41" s="4165" t="s">
        <v>199</v>
      </c>
      <c r="S41" s="4165" t="s">
        <v>199</v>
      </c>
      <c r="T41" s="4166" t="s">
        <v>274</v>
      </c>
      <c r="U41" s="4166" t="s">
        <v>274</v>
      </c>
      <c r="V41" s="4166">
        <v>12.064800772770127</v>
      </c>
      <c r="W41" s="4166" t="s">
        <v>274</v>
      </c>
      <c r="X41" s="4166" t="s">
        <v>199</v>
      </c>
      <c r="Y41" s="4166" t="s">
        <v>199</v>
      </c>
      <c r="Z41" s="4166">
        <v>0.41773622106563696</v>
      </c>
      <c r="AA41" s="4166" t="s">
        <v>199</v>
      </c>
      <c r="AB41" s="4140">
        <v>6.6043038122308699</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168.148</v>
      </c>
      <c r="D43" s="3290" t="s">
        <v>199</v>
      </c>
      <c r="E43" s="3290">
        <v>100</v>
      </c>
      <c r="F43" s="3290" t="s">
        <v>199</v>
      </c>
      <c r="G43" s="3274" t="s">
        <v>205</v>
      </c>
      <c r="H43" s="3274" t="s">
        <v>205</v>
      </c>
      <c r="I43" s="3274" t="s">
        <v>205</v>
      </c>
      <c r="J43" s="3254">
        <f t="shared" si="0"/>
        <v>0.35732254934613611</v>
      </c>
      <c r="K43" s="3244">
        <v>6.0083072027454096E-2</v>
      </c>
      <c r="M43" s="4516"/>
      <c r="N43" s="4517"/>
      <c r="O43" s="1698" t="s">
        <v>1054</v>
      </c>
      <c r="P43" s="1694" t="s">
        <v>1039</v>
      </c>
      <c r="Q43" s="4444">
        <v>0.7</v>
      </c>
      <c r="R43" s="4445" t="s">
        <v>199</v>
      </c>
      <c r="S43" s="4445" t="s">
        <v>199</v>
      </c>
      <c r="T43" s="4446" t="s">
        <v>274</v>
      </c>
      <c r="U43" s="4446" t="s">
        <v>274</v>
      </c>
      <c r="V43" s="4446">
        <v>1.6330275229357802E-2</v>
      </c>
      <c r="W43" s="4446" t="s">
        <v>274</v>
      </c>
      <c r="X43" s="4446" t="s">
        <v>199</v>
      </c>
      <c r="Y43" s="4446" t="s">
        <v>199</v>
      </c>
      <c r="Z43" s="4446" t="s">
        <v>199</v>
      </c>
      <c r="AA43" s="4446" t="s">
        <v>199</v>
      </c>
      <c r="AB43" s="4447">
        <v>3.6179775280898878E-2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0.75404698876616683</v>
      </c>
      <c r="R44" s="4165" t="s">
        <v>199</v>
      </c>
      <c r="S44" s="4165" t="s">
        <v>199</v>
      </c>
      <c r="T44" s="4166" t="s">
        <v>274</v>
      </c>
      <c r="U44" s="4166" t="s">
        <v>274</v>
      </c>
      <c r="V44" s="4166">
        <v>1.7977944665718861E-2</v>
      </c>
      <c r="W44" s="4166" t="s">
        <v>274</v>
      </c>
      <c r="X44" s="4166" t="s">
        <v>199</v>
      </c>
      <c r="Y44" s="4166" t="s">
        <v>199</v>
      </c>
      <c r="Z44" s="4166">
        <v>2.6739391975415801E-2</v>
      </c>
      <c r="AA44" s="4166" t="s">
        <v>199</v>
      </c>
      <c r="AB44" s="4140">
        <v>3.7469662015523125E-2</v>
      </c>
    </row>
    <row r="45" spans="2:28" s="84" customFormat="1" ht="18" customHeight="1" thickBot="1" x14ac:dyDescent="0.25">
      <c r="B45" s="2663" t="s">
        <v>1079</v>
      </c>
      <c r="C45" s="4172">
        <f>C46</f>
        <v>6.7359999999999998</v>
      </c>
      <c r="D45" s="3261"/>
      <c r="E45" s="3261"/>
      <c r="F45" s="3261"/>
      <c r="G45" s="3261"/>
      <c r="H45" s="3261"/>
      <c r="I45" s="3262"/>
      <c r="J45" s="3254">
        <f t="shared" si="0"/>
        <v>0.35732254934613605</v>
      </c>
      <c r="K45" s="3248">
        <f>K46</f>
        <v>2.4069246923955727E-3</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6.7359999999999998</v>
      </c>
      <c r="D46" s="3021" t="s">
        <v>199</v>
      </c>
      <c r="E46" s="3021">
        <v>100</v>
      </c>
      <c r="F46" s="3021" t="s">
        <v>199</v>
      </c>
      <c r="G46" s="3021" t="s">
        <v>205</v>
      </c>
      <c r="H46" s="3021" t="s">
        <v>205</v>
      </c>
      <c r="I46" s="3275" t="s">
        <v>205</v>
      </c>
      <c r="J46" s="3276">
        <f t="shared" si="0"/>
        <v>0.35732254934613605</v>
      </c>
      <c r="K46" s="3245">
        <v>2.4069246923955727E-3</v>
      </c>
      <c r="M46" s="4514" t="s">
        <v>1080</v>
      </c>
      <c r="N46" s="4515"/>
      <c r="O46" s="1693" t="s">
        <v>1051</v>
      </c>
      <c r="P46" s="1694" t="s">
        <v>1039</v>
      </c>
      <c r="Q46" s="4444" t="s">
        <v>199</v>
      </c>
      <c r="R46" s="4445" t="s">
        <v>199</v>
      </c>
      <c r="S46" s="4445" t="s">
        <v>199</v>
      </c>
      <c r="T46" s="4446">
        <v>47.88377939920111</v>
      </c>
      <c r="U46" s="4446" t="s">
        <v>199</v>
      </c>
      <c r="V46" s="4446" t="s">
        <v>199</v>
      </c>
      <c r="W46" s="4446" t="s">
        <v>274</v>
      </c>
      <c r="X46" s="4446">
        <v>1.9256725318727403</v>
      </c>
      <c r="Y46" s="4446">
        <v>17.931782969639396</v>
      </c>
      <c r="Z46" s="4446">
        <v>0.42903265737753254</v>
      </c>
      <c r="AA46" s="4446" t="s">
        <v>199</v>
      </c>
      <c r="AB46" s="4447">
        <v>97.577752734166822</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44.893507835784966</v>
      </c>
      <c r="U47" s="4166" t="s">
        <v>199</v>
      </c>
      <c r="V47" s="4166" t="s">
        <v>199</v>
      </c>
      <c r="W47" s="4166" t="s">
        <v>274</v>
      </c>
      <c r="X47" s="4166">
        <v>2.5957609596088647</v>
      </c>
      <c r="Y47" s="4166">
        <v>18.489251683053027</v>
      </c>
      <c r="Z47" s="4166">
        <v>0.30018334740529129</v>
      </c>
      <c r="AA47" s="4166" t="s">
        <v>199</v>
      </c>
      <c r="AB47" s="4140">
        <v>97.404239040391133</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1.3084891655206288E-2</v>
      </c>
      <c r="Y50" s="4166">
        <v>0.01</v>
      </c>
      <c r="Z50" s="4166">
        <v>0.1</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26695.745000000003</v>
      </c>
      <c r="D10" s="3453"/>
      <c r="E10" s="3454"/>
      <c r="F10" s="3441">
        <f>F15</f>
        <v>15715106.765692554</v>
      </c>
      <c r="G10" s="3441" t="str">
        <f t="shared" ref="G10:R10" si="0">G15</f>
        <v>NO</v>
      </c>
      <c r="H10" s="3441">
        <f t="shared" si="0"/>
        <v>18535341.868083149</v>
      </c>
      <c r="I10" s="3441">
        <f t="shared" si="0"/>
        <v>14878637.887508286</v>
      </c>
      <c r="J10" s="3441" t="str">
        <f t="shared" si="0"/>
        <v>NO</v>
      </c>
      <c r="K10" s="3441">
        <f t="shared" si="0"/>
        <v>32298522.743222903</v>
      </c>
      <c r="L10" s="3441" t="str">
        <f t="shared" si="0"/>
        <v>NO</v>
      </c>
      <c r="M10" s="3441">
        <f t="shared" si="0"/>
        <v>1163228579.0402048</v>
      </c>
      <c r="N10" s="3441" t="str">
        <f t="shared" si="0"/>
        <v>NO</v>
      </c>
      <c r="O10" s="3441" t="str">
        <f t="shared" si="0"/>
        <v>NO</v>
      </c>
      <c r="P10" s="3441" t="str">
        <f t="shared" si="0"/>
        <v>NO</v>
      </c>
      <c r="Q10" s="3441" t="str">
        <f t="shared" si="0"/>
        <v>NO</v>
      </c>
      <c r="R10" s="3441">
        <f t="shared" si="0"/>
        <v>1244656188.3047116</v>
      </c>
      <c r="S10" s="2670"/>
      <c r="T10" s="2671"/>
      <c r="U10" s="3419">
        <f>IF(SUM(X10)=0,"NA",X10*1000/C10)</f>
        <v>1.4645765430089526E-2</v>
      </c>
      <c r="V10" s="3411"/>
      <c r="W10" s="3412"/>
      <c r="X10" s="3278">
        <f t="shared" ref="X10" si="1">X15</f>
        <v>0.39097961925148533</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26695.745000000003</v>
      </c>
      <c r="D15" s="3456"/>
      <c r="E15" s="3456"/>
      <c r="F15" s="2668">
        <f>F20</f>
        <v>15715106.765692554</v>
      </c>
      <c r="G15" s="2668" t="str">
        <f t="shared" ref="G15:R15" si="2">G20</f>
        <v>NO</v>
      </c>
      <c r="H15" s="2668">
        <f t="shared" si="2"/>
        <v>18535341.868083149</v>
      </c>
      <c r="I15" s="2668">
        <f t="shared" si="2"/>
        <v>14878637.887508286</v>
      </c>
      <c r="J15" s="2668" t="str">
        <f t="shared" si="2"/>
        <v>NO</v>
      </c>
      <c r="K15" s="2668">
        <f t="shared" si="2"/>
        <v>32298522.743222903</v>
      </c>
      <c r="L15" s="2668" t="str">
        <f t="shared" si="2"/>
        <v>NO</v>
      </c>
      <c r="M15" s="2668">
        <f t="shared" si="2"/>
        <v>1163228579.0402048</v>
      </c>
      <c r="N15" s="2668" t="str">
        <f t="shared" si="2"/>
        <v>NO</v>
      </c>
      <c r="O15" s="2668" t="str">
        <f t="shared" si="2"/>
        <v>NO</v>
      </c>
      <c r="P15" s="2668" t="str">
        <f t="shared" si="2"/>
        <v>NO</v>
      </c>
      <c r="Q15" s="2668" t="str">
        <f t="shared" si="2"/>
        <v>NO</v>
      </c>
      <c r="R15" s="2668">
        <f t="shared" si="2"/>
        <v>1244656188.3047116</v>
      </c>
      <c r="S15" s="2676"/>
      <c r="T15" s="2677"/>
      <c r="U15" s="3419">
        <f>IF(SUM(X15)=0,"NA",X15*1000/C15)</f>
        <v>1.4645765430089526E-2</v>
      </c>
      <c r="V15" s="3417"/>
      <c r="W15" s="3418"/>
      <c r="X15" s="3281">
        <f t="shared" ref="X15" si="3">X20</f>
        <v>0.39097961925148533</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26695.745000000003</v>
      </c>
      <c r="D20" s="3455"/>
      <c r="E20" s="3455"/>
      <c r="F20" s="2668">
        <f>IF(SUM(F21:F23)=0,"NO",SUM(F21:F23))</f>
        <v>15715106.765692554</v>
      </c>
      <c r="G20" s="2668" t="str">
        <f t="shared" ref="G20:Q20" si="6">IF(SUM(G21:G23)=0,"NO",SUM(G21:G23))</f>
        <v>NO</v>
      </c>
      <c r="H20" s="2668">
        <f t="shared" si="6"/>
        <v>18535341.868083149</v>
      </c>
      <c r="I20" s="2668">
        <f t="shared" si="6"/>
        <v>14878637.887508286</v>
      </c>
      <c r="J20" s="2668" t="str">
        <f t="shared" si="6"/>
        <v>NO</v>
      </c>
      <c r="K20" s="2668">
        <f t="shared" si="6"/>
        <v>32298522.743222903</v>
      </c>
      <c r="L20" s="2668" t="str">
        <f t="shared" si="6"/>
        <v>NO</v>
      </c>
      <c r="M20" s="2668">
        <f t="shared" si="6"/>
        <v>1163228579.0402048</v>
      </c>
      <c r="N20" s="2668" t="str">
        <f t="shared" si="6"/>
        <v>NO</v>
      </c>
      <c r="O20" s="2668" t="str">
        <f t="shared" si="6"/>
        <v>NO</v>
      </c>
      <c r="P20" s="2668" t="str">
        <f t="shared" si="6"/>
        <v>NO</v>
      </c>
      <c r="Q20" s="2668" t="str">
        <f t="shared" si="6"/>
        <v>NO</v>
      </c>
      <c r="R20" s="3445">
        <f>IF(SUM(F20:Q20)=0,"NO",SUM(F20:Q20))</f>
        <v>1244656188.3047116</v>
      </c>
      <c r="S20" s="2676"/>
      <c r="T20" s="2677"/>
      <c r="U20" s="3419">
        <f t="shared" si="4"/>
        <v>1.4645765430089526E-2</v>
      </c>
      <c r="V20" s="3417"/>
      <c r="W20" s="3418"/>
      <c r="X20" s="3281">
        <f t="shared" ref="X20" si="7">IF(SUM(X21:X23)=0,"NO",SUM(X21:X23))</f>
        <v>0.39097961925148533</v>
      </c>
      <c r="Y20" s="3142"/>
      <c r="Z20" s="3420"/>
    </row>
    <row r="21" spans="2:26" ht="18" customHeight="1" x14ac:dyDescent="0.2">
      <c r="B21" s="2666" t="s">
        <v>994</v>
      </c>
      <c r="C21" s="3458">
        <f>Table3.A!C21</f>
        <v>2959.2719999999999</v>
      </c>
      <c r="D21" s="3274">
        <v>121.88808645969989</v>
      </c>
      <c r="E21" s="3457">
        <f>'Table3.B(a)'!G21</f>
        <v>448.45197050108737</v>
      </c>
      <c r="F21" s="3442">
        <v>15133733.356314542</v>
      </c>
      <c r="G21" s="3442" t="s">
        <v>199</v>
      </c>
      <c r="H21" s="3442">
        <v>18535341.868083149</v>
      </c>
      <c r="I21" s="3442">
        <v>3688104.1156183532</v>
      </c>
      <c r="J21" s="3442" t="s">
        <v>199</v>
      </c>
      <c r="K21" s="3442" t="s">
        <v>274</v>
      </c>
      <c r="L21" s="3442" t="s">
        <v>199</v>
      </c>
      <c r="M21" s="3442">
        <v>323342761.1097098</v>
      </c>
      <c r="N21" s="3442" t="s">
        <v>199</v>
      </c>
      <c r="O21" s="3442" t="s">
        <v>199</v>
      </c>
      <c r="P21" s="3442" t="s">
        <v>199</v>
      </c>
      <c r="Q21" s="3442" t="s">
        <v>199</v>
      </c>
      <c r="R21" s="3445">
        <f t="shared" ref="R21:R46" si="8">IF(SUM(F21:Q21)=0,"NO",SUM(F21:Q21))</f>
        <v>360699940.44972587</v>
      </c>
      <c r="S21" s="2676"/>
      <c r="T21" s="2677"/>
      <c r="U21" s="3419">
        <f t="shared" si="4"/>
        <v>9.7922600249081265E-3</v>
      </c>
      <c r="V21" s="3417"/>
      <c r="W21" s="3418"/>
      <c r="X21" s="3282">
        <v>2.8977960908429922E-2</v>
      </c>
      <c r="Y21" s="3142"/>
      <c r="Z21" s="3420"/>
    </row>
    <row r="22" spans="2:26" ht="18" customHeight="1" x14ac:dyDescent="0.2">
      <c r="B22" s="2666" t="s">
        <v>965</v>
      </c>
      <c r="C22" s="3458">
        <f>Table3.A!C22</f>
        <v>23285.964</v>
      </c>
      <c r="D22" s="3274">
        <v>36.068329434014977</v>
      </c>
      <c r="E22" s="3457">
        <f>'Table3.B(a)'!G22</f>
        <v>362.94189348877876</v>
      </c>
      <c r="F22" s="3446" t="s">
        <v>199</v>
      </c>
      <c r="G22" s="3442" t="s">
        <v>199</v>
      </c>
      <c r="H22" s="3446" t="s">
        <v>199</v>
      </c>
      <c r="I22" s="3446" t="s">
        <v>199</v>
      </c>
      <c r="J22" s="3446" t="s">
        <v>199</v>
      </c>
      <c r="K22" s="3446" t="s">
        <v>199</v>
      </c>
      <c r="L22" s="3446" t="s">
        <v>199</v>
      </c>
      <c r="M22" s="3446">
        <v>839885817.93049502</v>
      </c>
      <c r="N22" s="3446" t="s">
        <v>199</v>
      </c>
      <c r="O22" s="3446" t="s">
        <v>199</v>
      </c>
      <c r="P22" s="3446" t="s">
        <v>199</v>
      </c>
      <c r="Q22" s="3446" t="s">
        <v>199</v>
      </c>
      <c r="R22" s="3445">
        <f t="shared" si="8"/>
        <v>839885817.93049502</v>
      </c>
      <c r="S22" s="2676"/>
      <c r="T22" s="2677"/>
      <c r="U22" s="3419" t="str">
        <f>IF(SUM(X22)=0,"NA",X22*1000/C22)</f>
        <v>NA</v>
      </c>
      <c r="V22" s="3417"/>
      <c r="W22" s="3418"/>
      <c r="X22" s="3282" t="s">
        <v>205</v>
      </c>
      <c r="Y22" s="3142"/>
      <c r="Z22" s="3420"/>
    </row>
    <row r="23" spans="2:26" ht="18" customHeight="1" x14ac:dyDescent="0.2">
      <c r="B23" s="2666" t="s">
        <v>966</v>
      </c>
      <c r="C23" s="3458">
        <f>Table3.A!C23</f>
        <v>450.50900000000001</v>
      </c>
      <c r="D23" s="3274">
        <v>71.693389382947259</v>
      </c>
      <c r="E23" s="3457">
        <f>'Table3.B(a)'!G23</f>
        <v>514.06060606060601</v>
      </c>
      <c r="F23" s="3446">
        <v>581373.40937801229</v>
      </c>
      <c r="G23" s="3442" t="s">
        <v>199</v>
      </c>
      <c r="H23" s="3446" t="s">
        <v>199</v>
      </c>
      <c r="I23" s="3446">
        <v>11190533.771889932</v>
      </c>
      <c r="J23" s="3446" t="s">
        <v>274</v>
      </c>
      <c r="K23" s="3446">
        <v>32298522.743222903</v>
      </c>
      <c r="L23" s="3446" t="s">
        <v>199</v>
      </c>
      <c r="M23" s="3446" t="s">
        <v>199</v>
      </c>
      <c r="N23" s="3446" t="s">
        <v>199</v>
      </c>
      <c r="O23" s="3446" t="s">
        <v>199</v>
      </c>
      <c r="P23" s="3446" t="s">
        <v>199</v>
      </c>
      <c r="Q23" s="3446" t="s">
        <v>199</v>
      </c>
      <c r="R23" s="3445">
        <f t="shared" si="8"/>
        <v>44070429.924490847</v>
      </c>
      <c r="S23" s="2676"/>
      <c r="T23" s="2677"/>
      <c r="U23" s="3419">
        <f t="shared" ref="U23:U30" si="9">IF(SUM(X23)=0,"NA",X23*1000/C23)</f>
        <v>0.80353923749149381</v>
      </c>
      <c r="V23" s="3417"/>
      <c r="W23" s="3418"/>
      <c r="X23" s="3282">
        <v>0.36200165834305542</v>
      </c>
      <c r="Y23" s="3142"/>
      <c r="Z23" s="3420"/>
    </row>
    <row r="24" spans="2:26" ht="18" customHeight="1" x14ac:dyDescent="0.2">
      <c r="B24" s="349" t="s">
        <v>1062</v>
      </c>
      <c r="C24" s="3281">
        <f>C25</f>
        <v>120228.13099999999</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839723602.77105188</v>
      </c>
      <c r="N24" s="2668" t="str">
        <f t="shared" si="10"/>
        <v>NO</v>
      </c>
      <c r="O24" s="2668" t="str">
        <f t="shared" si="10"/>
        <v>NO</v>
      </c>
      <c r="P24" s="2668" t="str">
        <f t="shared" si="10"/>
        <v>NO</v>
      </c>
      <c r="Q24" s="2668" t="str">
        <f t="shared" si="10"/>
        <v>NO</v>
      </c>
      <c r="R24" s="3445">
        <f t="shared" si="8"/>
        <v>839723602.77105188</v>
      </c>
      <c r="S24" s="2676"/>
      <c r="T24" s="2677"/>
      <c r="U24" s="3419" t="str">
        <f t="shared" si="9"/>
        <v>NA</v>
      </c>
      <c r="V24" s="3417"/>
      <c r="W24" s="3418"/>
      <c r="X24" s="3281" t="str">
        <f t="shared" ref="X24:X25" si="11">X25</f>
        <v>NA</v>
      </c>
      <c r="Y24" s="3142"/>
      <c r="Z24" s="3420"/>
    </row>
    <row r="25" spans="2:26" ht="18" customHeight="1" x14ac:dyDescent="0.2">
      <c r="B25" s="348" t="s">
        <v>1063</v>
      </c>
      <c r="C25" s="3281">
        <f>C26</f>
        <v>120228.13099999999</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839723602.77105188</v>
      </c>
      <c r="N25" s="2668" t="str">
        <f t="shared" si="10"/>
        <v>NO</v>
      </c>
      <c r="O25" s="2668" t="str">
        <f t="shared" si="10"/>
        <v>NO</v>
      </c>
      <c r="P25" s="2668" t="str">
        <f t="shared" si="10"/>
        <v>NO</v>
      </c>
      <c r="Q25" s="2668" t="str">
        <f t="shared" si="10"/>
        <v>NO</v>
      </c>
      <c r="R25" s="3445">
        <f t="shared" si="8"/>
        <v>839723602.77105188</v>
      </c>
      <c r="S25" s="2676"/>
      <c r="T25" s="2677"/>
      <c r="U25" s="3419" t="str">
        <f t="shared" si="9"/>
        <v>NA</v>
      </c>
      <c r="V25" s="3417"/>
      <c r="W25" s="3418"/>
      <c r="X25" s="3281" t="str">
        <f t="shared" si="11"/>
        <v>NA</v>
      </c>
      <c r="Y25" s="3142"/>
      <c r="Z25" s="3420"/>
    </row>
    <row r="26" spans="2:26" ht="18" customHeight="1" x14ac:dyDescent="0.2">
      <c r="B26" s="2661" t="s">
        <v>967</v>
      </c>
      <c r="C26" s="3458">
        <f>Table3.A!C26</f>
        <v>120228.13099999999</v>
      </c>
      <c r="D26" s="3274">
        <v>6.9844186696294219</v>
      </c>
      <c r="E26" s="3457">
        <f>'Table3.B(a)'!G26</f>
        <v>45.311690165013367</v>
      </c>
      <c r="F26" s="3446" t="s">
        <v>199</v>
      </c>
      <c r="G26" s="3442" t="s">
        <v>199</v>
      </c>
      <c r="H26" s="3446" t="s">
        <v>199</v>
      </c>
      <c r="I26" s="3446" t="s">
        <v>199</v>
      </c>
      <c r="J26" s="3446" t="s">
        <v>199</v>
      </c>
      <c r="K26" s="3446" t="s">
        <v>199</v>
      </c>
      <c r="L26" s="3446" t="s">
        <v>199</v>
      </c>
      <c r="M26" s="3442">
        <v>839723602.77105188</v>
      </c>
      <c r="N26" s="3446" t="s">
        <v>199</v>
      </c>
      <c r="O26" s="3446" t="s">
        <v>199</v>
      </c>
      <c r="P26" s="3446" t="s">
        <v>199</v>
      </c>
      <c r="Q26" s="3446" t="s">
        <v>199</v>
      </c>
      <c r="R26" s="3445">
        <f t="shared" si="8"/>
        <v>839723602.77105188</v>
      </c>
      <c r="S26" s="2676"/>
      <c r="T26" s="2677"/>
      <c r="U26" s="3419" t="str">
        <f t="shared" si="9"/>
        <v>NA</v>
      </c>
      <c r="V26" s="3417"/>
      <c r="W26" s="3418"/>
      <c r="X26" s="3282" t="s">
        <v>205</v>
      </c>
      <c r="Y26" s="3142"/>
      <c r="Z26" s="3420"/>
    </row>
    <row r="27" spans="2:26" ht="18" customHeight="1" x14ac:dyDescent="0.2">
      <c r="B27" s="349" t="s">
        <v>1064</v>
      </c>
      <c r="C27" s="3281">
        <f>C28</f>
        <v>2555.223</v>
      </c>
      <c r="D27" s="3455"/>
      <c r="E27" s="3455"/>
      <c r="F27" s="2668">
        <f>F28</f>
        <v>35063148.339457601</v>
      </c>
      <c r="G27" s="2668" t="str">
        <f t="shared" ref="G27:G28" si="12">G28</f>
        <v>NO</v>
      </c>
      <c r="H27" s="2668" t="str">
        <f t="shared" ref="H27:H28" si="13">H28</f>
        <v>NO</v>
      </c>
      <c r="I27" s="2668" t="str">
        <f t="shared" ref="I27:I28" si="14">I28</f>
        <v>IE</v>
      </c>
      <c r="J27" s="2668" t="str">
        <f t="shared" ref="J27:J28" si="15">J28</f>
        <v>IE</v>
      </c>
      <c r="K27" s="2668">
        <f t="shared" ref="K27:K28" si="16">K28</f>
        <v>4806852.7773972303</v>
      </c>
      <c r="L27" s="2668" t="str">
        <f t="shared" ref="L27:L28" si="17">L28</f>
        <v>IE</v>
      </c>
      <c r="M27" s="2668" t="str">
        <f t="shared" ref="M27:M28" si="18">M28</f>
        <v>NO</v>
      </c>
      <c r="N27" s="2668" t="str">
        <f t="shared" ref="N27:N28" si="19">N28</f>
        <v>NO</v>
      </c>
      <c r="O27" s="2668">
        <f t="shared" ref="O27:O28" si="20">O28</f>
        <v>170584.11760010628</v>
      </c>
      <c r="P27" s="2668" t="str">
        <f t="shared" ref="P27:P28" si="21">P28</f>
        <v>NO</v>
      </c>
      <c r="Q27" s="2668">
        <f t="shared" ref="Q27:Q28" si="22">Q28</f>
        <v>2731525.6057654074</v>
      </c>
      <c r="R27" s="3445">
        <f t="shared" si="8"/>
        <v>42772110.840220347</v>
      </c>
      <c r="S27" s="2676"/>
      <c r="T27" s="2677"/>
      <c r="U27" s="3419">
        <f t="shared" si="9"/>
        <v>4.334882472709408E-2</v>
      </c>
      <c r="V27" s="3417"/>
      <c r="W27" s="3418"/>
      <c r="X27" s="3281">
        <f t="shared" ref="X27:X28" si="23">X28</f>
        <v>0.11076591396563951</v>
      </c>
      <c r="Y27" s="3142"/>
      <c r="Z27" s="3420"/>
    </row>
    <row r="28" spans="2:26" ht="18" customHeight="1" x14ac:dyDescent="0.2">
      <c r="B28" s="348" t="s">
        <v>1065</v>
      </c>
      <c r="C28" s="3281">
        <f>C29</f>
        <v>2555.223</v>
      </c>
      <c r="D28" s="3455"/>
      <c r="E28" s="3455"/>
      <c r="F28" s="2668">
        <f>F29</f>
        <v>35063148.339457601</v>
      </c>
      <c r="G28" s="2668" t="str">
        <f t="shared" si="12"/>
        <v>NO</v>
      </c>
      <c r="H28" s="2668" t="str">
        <f t="shared" si="13"/>
        <v>NO</v>
      </c>
      <c r="I28" s="2668" t="str">
        <f t="shared" si="14"/>
        <v>IE</v>
      </c>
      <c r="J28" s="2668" t="str">
        <f t="shared" si="15"/>
        <v>IE</v>
      </c>
      <c r="K28" s="2668">
        <f t="shared" si="16"/>
        <v>4806852.7773972303</v>
      </c>
      <c r="L28" s="2668" t="str">
        <f t="shared" si="17"/>
        <v>IE</v>
      </c>
      <c r="M28" s="2668" t="str">
        <f t="shared" si="18"/>
        <v>NO</v>
      </c>
      <c r="N28" s="2668" t="str">
        <f t="shared" si="19"/>
        <v>NO</v>
      </c>
      <c r="O28" s="2668">
        <f t="shared" si="20"/>
        <v>170584.11760010628</v>
      </c>
      <c r="P28" s="2668" t="str">
        <f t="shared" si="21"/>
        <v>NO</v>
      </c>
      <c r="Q28" s="2668">
        <f t="shared" si="22"/>
        <v>2731525.6057654074</v>
      </c>
      <c r="R28" s="3445">
        <f t="shared" si="8"/>
        <v>42772110.840220347</v>
      </c>
      <c r="S28" s="2676"/>
      <c r="T28" s="2677"/>
      <c r="U28" s="3419">
        <f t="shared" si="9"/>
        <v>4.334882472709408E-2</v>
      </c>
      <c r="V28" s="3417"/>
      <c r="W28" s="3418"/>
      <c r="X28" s="3281">
        <f t="shared" si="23"/>
        <v>0.11076591396563951</v>
      </c>
      <c r="Y28" s="3142"/>
      <c r="Z28" s="3420"/>
    </row>
    <row r="29" spans="2:26" ht="18" customHeight="1" x14ac:dyDescent="0.2">
      <c r="B29" s="2661" t="s">
        <v>968</v>
      </c>
      <c r="C29" s="3458">
        <f>Table3.A!C29</f>
        <v>2555.223</v>
      </c>
      <c r="D29" s="3274">
        <v>15.9823889325202</v>
      </c>
      <c r="E29" s="3457">
        <f>'Table3.B(a)'!G29</f>
        <v>54.396921567591306</v>
      </c>
      <c r="F29" s="3442">
        <v>35063148.339457601</v>
      </c>
      <c r="G29" s="3442" t="s">
        <v>199</v>
      </c>
      <c r="H29" s="3442" t="s">
        <v>199</v>
      </c>
      <c r="I29" s="3442" t="s">
        <v>274</v>
      </c>
      <c r="J29" s="3442" t="s">
        <v>274</v>
      </c>
      <c r="K29" s="3442">
        <v>4806852.7773972303</v>
      </c>
      <c r="L29" s="3442" t="s">
        <v>274</v>
      </c>
      <c r="M29" s="3442" t="s">
        <v>199</v>
      </c>
      <c r="N29" s="3442" t="s">
        <v>199</v>
      </c>
      <c r="O29" s="3442">
        <v>170584.11760010628</v>
      </c>
      <c r="P29" s="3442" t="s">
        <v>199</v>
      </c>
      <c r="Q29" s="3442">
        <v>2731525.6057654074</v>
      </c>
      <c r="R29" s="3445">
        <f t="shared" si="8"/>
        <v>42772110.840220347</v>
      </c>
      <c r="S29" s="2676"/>
      <c r="T29" s="2677"/>
      <c r="U29" s="3419">
        <f t="shared" si="9"/>
        <v>4.334882472709408E-2</v>
      </c>
      <c r="V29" s="3417"/>
      <c r="W29" s="3418"/>
      <c r="X29" s="3282">
        <v>0.11076591396563951</v>
      </c>
      <c r="Y29" s="3142"/>
      <c r="Z29" s="3420"/>
    </row>
    <row r="30" spans="2:26" ht="18" customHeight="1" x14ac:dyDescent="0.2">
      <c r="B30" s="349" t="s">
        <v>1116</v>
      </c>
      <c r="C30" s="3281">
        <f>IF(SUM(C32:C39)=0,"NO",SUM(C32:C39))</f>
        <v>48169.525999999998</v>
      </c>
      <c r="D30" s="3455"/>
      <c r="E30" s="3455"/>
      <c r="F30" s="2668" t="str">
        <f>IF(SUM(F32:F39)=0,"NO",SUM(F32:F39))</f>
        <v>NO</v>
      </c>
      <c r="G30" s="2668" t="str">
        <f t="shared" ref="G30:Q30" si="24">IF(SUM(G32:G39)=0,"NO",SUM(G32:G39))</f>
        <v>NO</v>
      </c>
      <c r="H30" s="2668" t="str">
        <f t="shared" si="24"/>
        <v>NO</v>
      </c>
      <c r="I30" s="2668">
        <f t="shared" si="24"/>
        <v>11061193.269540545</v>
      </c>
      <c r="J30" s="2668" t="str">
        <f t="shared" si="24"/>
        <v>NO</v>
      </c>
      <c r="K30" s="2668" t="str">
        <f t="shared" si="24"/>
        <v>NO</v>
      </c>
      <c r="L30" s="2668" t="str">
        <f t="shared" si="24"/>
        <v>NO</v>
      </c>
      <c r="M30" s="2668">
        <f t="shared" si="24"/>
        <v>14199764.056491556</v>
      </c>
      <c r="N30" s="2668">
        <f t="shared" si="24"/>
        <v>4773042.6015050383</v>
      </c>
      <c r="O30" s="2668">
        <f t="shared" si="24"/>
        <v>60725.765608123584</v>
      </c>
      <c r="P30" s="2668" t="str">
        <f t="shared" si="24"/>
        <v>NO</v>
      </c>
      <c r="Q30" s="2668">
        <f t="shared" si="24"/>
        <v>36722390.09910769</v>
      </c>
      <c r="R30" s="3445">
        <f t="shared" si="8"/>
        <v>66817115.792252958</v>
      </c>
      <c r="S30" s="2676"/>
      <c r="T30" s="2677"/>
      <c r="U30" s="3419">
        <f t="shared" si="9"/>
        <v>4.3795535998436743E-3</v>
      </c>
      <c r="V30" s="3417"/>
      <c r="W30" s="3418"/>
      <c r="X30" s="3281">
        <f t="shared" ref="X30" si="25">IF(SUM(X32:X39)=0,"NO",SUM(X32:X39))</f>
        <v>0.21096102099606345</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9.44</v>
      </c>
      <c r="D32" s="3274">
        <v>39.5</v>
      </c>
      <c r="E32" s="3457" t="str">
        <f>'Table3.B(a)'!G32</f>
        <v>NA</v>
      </c>
      <c r="F32" s="3442" t="s">
        <v>199</v>
      </c>
      <c r="G32" s="3442" t="s">
        <v>199</v>
      </c>
      <c r="H32" s="3442" t="s">
        <v>199</v>
      </c>
      <c r="I32" s="3442" t="s">
        <v>199</v>
      </c>
      <c r="J32" s="3442" t="s">
        <v>199</v>
      </c>
      <c r="K32" s="3442" t="s">
        <v>199</v>
      </c>
      <c r="L32" s="3442" t="s">
        <v>199</v>
      </c>
      <c r="M32" s="3442">
        <v>372880</v>
      </c>
      <c r="N32" s="3442" t="s">
        <v>199</v>
      </c>
      <c r="O32" s="3442" t="s">
        <v>199</v>
      </c>
      <c r="P32" s="3442" t="s">
        <v>199</v>
      </c>
      <c r="Q32" s="3442" t="s">
        <v>199</v>
      </c>
      <c r="R32" s="3445">
        <f t="shared" si="8"/>
        <v>372880</v>
      </c>
      <c r="S32" s="2676"/>
      <c r="T32" s="2677"/>
      <c r="U32" s="3419" t="str">
        <f>IF(SUM(X32)=0,"NA",X32*1000/C32)</f>
        <v>NA</v>
      </c>
      <c r="V32" s="3417"/>
      <c r="W32" s="3418"/>
      <c r="X32" s="3282" t="s">
        <v>205</v>
      </c>
      <c r="Y32" s="3142"/>
      <c r="Z32" s="3420"/>
    </row>
    <row r="33" spans="2:26" ht="18" customHeight="1" x14ac:dyDescent="0.2">
      <c r="B33" s="348" t="s">
        <v>1068</v>
      </c>
      <c r="C33" s="3458">
        <f>Table3.A!C33</f>
        <v>1.0629999999999999</v>
      </c>
      <c r="D33" s="3274">
        <v>39.5</v>
      </c>
      <c r="E33" s="3457" t="str">
        <f>'Table3.B(a)'!G33</f>
        <v>NA</v>
      </c>
      <c r="F33" s="3442" t="s">
        <v>199</v>
      </c>
      <c r="G33" s="3442" t="s">
        <v>199</v>
      </c>
      <c r="H33" s="3442" t="s">
        <v>199</v>
      </c>
      <c r="I33" s="3442" t="s">
        <v>199</v>
      </c>
      <c r="J33" s="3442" t="s">
        <v>199</v>
      </c>
      <c r="K33" s="3442" t="s">
        <v>199</v>
      </c>
      <c r="L33" s="3442" t="s">
        <v>199</v>
      </c>
      <c r="M33" s="3442">
        <v>41988.5</v>
      </c>
      <c r="N33" s="3442" t="s">
        <v>199</v>
      </c>
      <c r="O33" s="3442" t="s">
        <v>199</v>
      </c>
      <c r="P33" s="3442" t="s">
        <v>199</v>
      </c>
      <c r="Q33" s="3442" t="s">
        <v>199</v>
      </c>
      <c r="R33" s="3445">
        <f t="shared" si="8"/>
        <v>41988.5</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152.41999999999999</v>
      </c>
      <c r="D34" s="3274">
        <v>13.2</v>
      </c>
      <c r="E34" s="3457" t="str">
        <f>'Table3.B(a)'!G34</f>
        <v>NA</v>
      </c>
      <c r="F34" s="3442" t="s">
        <v>199</v>
      </c>
      <c r="G34" s="3442" t="s">
        <v>199</v>
      </c>
      <c r="H34" s="3442" t="s">
        <v>199</v>
      </c>
      <c r="I34" s="3442" t="s">
        <v>199</v>
      </c>
      <c r="J34" s="3442" t="s">
        <v>199</v>
      </c>
      <c r="K34" s="3442" t="s">
        <v>199</v>
      </c>
      <c r="L34" s="3442" t="s">
        <v>199</v>
      </c>
      <c r="M34" s="3442">
        <v>2011943.9999999998</v>
      </c>
      <c r="N34" s="3442" t="s">
        <v>199</v>
      </c>
      <c r="O34" s="3442" t="s">
        <v>199</v>
      </c>
      <c r="P34" s="3442" t="s">
        <v>199</v>
      </c>
      <c r="Q34" s="3442" t="s">
        <v>199</v>
      </c>
      <c r="R34" s="3445">
        <f t="shared" si="8"/>
        <v>2011943.9999999998</v>
      </c>
      <c r="S34" s="2676"/>
      <c r="T34" s="2677"/>
      <c r="U34" s="3419" t="str">
        <f t="shared" si="26"/>
        <v>NA</v>
      </c>
      <c r="V34" s="3417"/>
      <c r="W34" s="3418"/>
      <c r="X34" s="3282" t="s">
        <v>205</v>
      </c>
      <c r="Y34" s="3142"/>
      <c r="Z34" s="3420"/>
    </row>
    <row r="35" spans="2:26" ht="18" customHeight="1" x14ac:dyDescent="0.2">
      <c r="B35" s="348" t="s">
        <v>1070</v>
      </c>
      <c r="C35" s="3458">
        <f>Table3.A!C35</f>
        <v>176.35900000000001</v>
      </c>
      <c r="D35" s="3274">
        <v>7</v>
      </c>
      <c r="E35" s="3457" t="str">
        <f>'Table3.B(a)'!G35</f>
        <v>NA</v>
      </c>
      <c r="F35" s="3442" t="s">
        <v>199</v>
      </c>
      <c r="G35" s="3442" t="s">
        <v>199</v>
      </c>
      <c r="H35" s="3442" t="s">
        <v>199</v>
      </c>
      <c r="I35" s="3442" t="s">
        <v>199</v>
      </c>
      <c r="J35" s="3442" t="s">
        <v>199</v>
      </c>
      <c r="K35" s="3442" t="s">
        <v>199</v>
      </c>
      <c r="L35" s="3442" t="s">
        <v>199</v>
      </c>
      <c r="M35" s="3442">
        <v>1234513</v>
      </c>
      <c r="N35" s="3442" t="s">
        <v>199</v>
      </c>
      <c r="O35" s="3442" t="s">
        <v>199</v>
      </c>
      <c r="P35" s="3442" t="s">
        <v>199</v>
      </c>
      <c r="Q35" s="3442" t="s">
        <v>199</v>
      </c>
      <c r="R35" s="3445">
        <f t="shared" si="8"/>
        <v>1234513</v>
      </c>
      <c r="S35" s="2676"/>
      <c r="T35" s="2677"/>
      <c r="U35" s="3419" t="str">
        <f t="shared" si="26"/>
        <v>NA</v>
      </c>
      <c r="V35" s="3417"/>
      <c r="W35" s="3418"/>
      <c r="X35" s="3282" t="s">
        <v>205</v>
      </c>
      <c r="Y35" s="3142"/>
      <c r="Z35" s="3420"/>
    </row>
    <row r="36" spans="2:26" ht="18" customHeight="1" x14ac:dyDescent="0.2">
      <c r="B36" s="348" t="s">
        <v>1071</v>
      </c>
      <c r="C36" s="3458">
        <f>Table3.A!C36</f>
        <v>233.964</v>
      </c>
      <c r="D36" s="3274">
        <v>39.5</v>
      </c>
      <c r="E36" s="3457" t="str">
        <f>'Table3.B(a)'!G36</f>
        <v>NA</v>
      </c>
      <c r="F36" s="3442" t="s">
        <v>199</v>
      </c>
      <c r="G36" s="3442" t="s">
        <v>199</v>
      </c>
      <c r="H36" s="3442" t="s">
        <v>199</v>
      </c>
      <c r="I36" s="3442" t="s">
        <v>199</v>
      </c>
      <c r="J36" s="3442" t="s">
        <v>199</v>
      </c>
      <c r="K36" s="3442" t="s">
        <v>199</v>
      </c>
      <c r="L36" s="3442" t="s">
        <v>199</v>
      </c>
      <c r="M36" s="3442">
        <v>9241577.9999999981</v>
      </c>
      <c r="N36" s="3442" t="s">
        <v>199</v>
      </c>
      <c r="O36" s="3442" t="s">
        <v>199</v>
      </c>
      <c r="P36" s="3442" t="s">
        <v>199</v>
      </c>
      <c r="Q36" s="3442" t="s">
        <v>199</v>
      </c>
      <c r="R36" s="3445">
        <f t="shared" si="8"/>
        <v>9241577.9999999981</v>
      </c>
      <c r="S36" s="2676"/>
      <c r="T36" s="2677"/>
      <c r="U36" s="3419" t="str">
        <f t="shared" si="26"/>
        <v>NA</v>
      </c>
      <c r="V36" s="3417"/>
      <c r="W36" s="3418"/>
      <c r="X36" s="3282" t="s">
        <v>205</v>
      </c>
      <c r="Y36" s="3142"/>
      <c r="Z36" s="3420"/>
    </row>
    <row r="37" spans="2:26" ht="18" customHeight="1" x14ac:dyDescent="0.2">
      <c r="B37" s="348" t="s">
        <v>1117</v>
      </c>
      <c r="C37" s="3458">
        <f>Table3.A!C37</f>
        <v>0.76700000000000002</v>
      </c>
      <c r="D37" s="3274">
        <v>13.2</v>
      </c>
      <c r="E37" s="3457" t="str">
        <f>'Table3.B(a)'!G37</f>
        <v>NA</v>
      </c>
      <c r="F37" s="3442" t="s">
        <v>199</v>
      </c>
      <c r="G37" s="3442" t="s">
        <v>199</v>
      </c>
      <c r="H37" s="3442" t="s">
        <v>199</v>
      </c>
      <c r="I37" s="3442" t="s">
        <v>199</v>
      </c>
      <c r="J37" s="3442" t="s">
        <v>199</v>
      </c>
      <c r="K37" s="3442" t="s">
        <v>199</v>
      </c>
      <c r="L37" s="3442" t="s">
        <v>199</v>
      </c>
      <c r="M37" s="3442">
        <v>10124.399999999998</v>
      </c>
      <c r="N37" s="3442" t="s">
        <v>199</v>
      </c>
      <c r="O37" s="3442" t="s">
        <v>199</v>
      </c>
      <c r="P37" s="3442" t="s">
        <v>199</v>
      </c>
      <c r="Q37" s="3442" t="s">
        <v>199</v>
      </c>
      <c r="R37" s="3445">
        <f t="shared" si="8"/>
        <v>10124.399999999998</v>
      </c>
      <c r="S37" s="2676"/>
      <c r="T37" s="2677"/>
      <c r="U37" s="3419" t="str">
        <f t="shared" si="26"/>
        <v>NA</v>
      </c>
      <c r="V37" s="3417"/>
      <c r="W37" s="3418"/>
      <c r="X37" s="3282" t="s">
        <v>205</v>
      </c>
      <c r="Y37" s="3142"/>
      <c r="Z37" s="3420"/>
    </row>
    <row r="38" spans="2:26" ht="18" customHeight="1" x14ac:dyDescent="0.2">
      <c r="B38" s="348" t="s">
        <v>1073</v>
      </c>
      <c r="C38" s="3458">
        <f>Table3.A!C38</f>
        <v>47420.629000000001</v>
      </c>
      <c r="D38" s="3274">
        <v>0.65950365092995</v>
      </c>
      <c r="E38" s="3457" t="str">
        <f>'Table3.B(a)'!G38</f>
        <v>NA</v>
      </c>
      <c r="F38" s="3442" t="s">
        <v>199</v>
      </c>
      <c r="G38" s="3442" t="s">
        <v>199</v>
      </c>
      <c r="H38" s="3442" t="s">
        <v>199</v>
      </c>
      <c r="I38" s="3442">
        <v>11061193.269540545</v>
      </c>
      <c r="J38" s="3442" t="s">
        <v>274</v>
      </c>
      <c r="K38" s="3442" t="s">
        <v>274</v>
      </c>
      <c r="L38" s="3442" t="s">
        <v>274</v>
      </c>
      <c r="M38" s="3442">
        <v>62548.156491557762</v>
      </c>
      <c r="N38" s="3442">
        <v>4773042.6015050383</v>
      </c>
      <c r="O38" s="3442">
        <v>60725.765608123584</v>
      </c>
      <c r="P38" s="3442" t="s">
        <v>199</v>
      </c>
      <c r="Q38" s="3442">
        <v>36722390.09910769</v>
      </c>
      <c r="R38" s="3445">
        <f t="shared" si="8"/>
        <v>52679899.892252952</v>
      </c>
      <c r="S38" s="2676"/>
      <c r="T38" s="2677"/>
      <c r="U38" s="3419">
        <f t="shared" si="26"/>
        <v>4.4487183203762107E-3</v>
      </c>
      <c r="V38" s="3417"/>
      <c r="W38" s="3418"/>
      <c r="X38" s="3282">
        <v>0.21096102099606345</v>
      </c>
      <c r="Y38" s="3142"/>
      <c r="Z38" s="3420"/>
    </row>
    <row r="39" spans="2:26" ht="18" customHeight="1" x14ac:dyDescent="0.2">
      <c r="B39" s="348" t="s">
        <v>1074</v>
      </c>
      <c r="C39" s="3281">
        <f>IF(SUM(C41:C45)=0,"NO",SUM(C41:C45))</f>
        <v>174.88399999999999</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1224188</v>
      </c>
      <c r="N39" s="2668" t="str">
        <f t="shared" si="27"/>
        <v>NO</v>
      </c>
      <c r="O39" s="2668" t="str">
        <f t="shared" si="27"/>
        <v>NO</v>
      </c>
      <c r="P39" s="2668" t="str">
        <f t="shared" si="27"/>
        <v>NO</v>
      </c>
      <c r="Q39" s="2668" t="str">
        <f t="shared" si="27"/>
        <v>NO</v>
      </c>
      <c r="R39" s="3445">
        <f t="shared" si="8"/>
        <v>1224188</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168.148</v>
      </c>
      <c r="D43" s="3274">
        <v>7</v>
      </c>
      <c r="E43" s="3457" t="str">
        <f>'Table3.B(a)'!G43</f>
        <v>NA</v>
      </c>
      <c r="F43" s="3442" t="s">
        <v>199</v>
      </c>
      <c r="G43" s="3442" t="s">
        <v>199</v>
      </c>
      <c r="H43" s="3442" t="s">
        <v>199</v>
      </c>
      <c r="I43" s="3442" t="s">
        <v>199</v>
      </c>
      <c r="J43" s="3442" t="s">
        <v>199</v>
      </c>
      <c r="K43" s="3442" t="s">
        <v>199</v>
      </c>
      <c r="L43" s="3442" t="s">
        <v>199</v>
      </c>
      <c r="M43" s="3442">
        <v>1177036</v>
      </c>
      <c r="N43" s="3442" t="s">
        <v>199</v>
      </c>
      <c r="O43" s="3442" t="s">
        <v>199</v>
      </c>
      <c r="P43" s="3442" t="s">
        <v>199</v>
      </c>
      <c r="Q43" s="3442" t="s">
        <v>199</v>
      </c>
      <c r="R43" s="3445">
        <f t="shared" si="8"/>
        <v>1177036</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6.7359999999999998</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47151.999999999993</v>
      </c>
      <c r="N45" s="2668" t="str">
        <f t="shared" si="28"/>
        <v>NO</v>
      </c>
      <c r="O45" s="2668" t="str">
        <f t="shared" si="28"/>
        <v>NO</v>
      </c>
      <c r="P45" s="2668" t="str">
        <f t="shared" si="28"/>
        <v>NO</v>
      </c>
      <c r="Q45" s="2668" t="str">
        <f t="shared" si="28"/>
        <v>NO</v>
      </c>
      <c r="R45" s="3445">
        <f t="shared" si="8"/>
        <v>47151.999999999993</v>
      </c>
      <c r="S45" s="2676"/>
      <c r="T45" s="2677"/>
      <c r="U45" s="3419" t="str">
        <f t="shared" si="26"/>
        <v>NA</v>
      </c>
      <c r="V45" s="3417"/>
      <c r="W45" s="3418"/>
      <c r="X45" s="3281" t="str">
        <f>X46</f>
        <v>NA</v>
      </c>
      <c r="Y45" s="3142"/>
      <c r="Z45" s="3420"/>
    </row>
    <row r="46" spans="2:26" ht="18" customHeight="1" x14ac:dyDescent="0.2">
      <c r="B46" s="2665" t="s">
        <v>1013</v>
      </c>
      <c r="C46" s="3458">
        <f>Table3.A!C46</f>
        <v>6.7359999999999998</v>
      </c>
      <c r="D46" s="3274">
        <v>7</v>
      </c>
      <c r="E46" s="3457" t="str">
        <f>'Table3.B(a)'!G46</f>
        <v>NA</v>
      </c>
      <c r="F46" s="3442" t="s">
        <v>199</v>
      </c>
      <c r="G46" s="3442" t="s">
        <v>199</v>
      </c>
      <c r="H46" s="3442" t="s">
        <v>199</v>
      </c>
      <c r="I46" s="3442" t="s">
        <v>199</v>
      </c>
      <c r="J46" s="3442" t="s">
        <v>199</v>
      </c>
      <c r="K46" s="3442" t="s">
        <v>199</v>
      </c>
      <c r="L46" s="3442" t="s">
        <v>199</v>
      </c>
      <c r="M46" s="3442">
        <v>47151.999999999993</v>
      </c>
      <c r="N46" s="3442" t="s">
        <v>199</v>
      </c>
      <c r="O46" s="3442" t="s">
        <v>199</v>
      </c>
      <c r="P46" s="3442" t="s">
        <v>199</v>
      </c>
      <c r="Q46" s="3442" t="s">
        <v>199</v>
      </c>
      <c r="R46" s="3445">
        <f t="shared" si="8"/>
        <v>47151.999999999993</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64970260.739778154</v>
      </c>
      <c r="T47" s="3410">
        <v>188034.48755485553</v>
      </c>
      <c r="U47" s="3429"/>
      <c r="V47" s="3430">
        <f>IF(SUM(S47)=0,"NA",Y47*1000000/S47)</f>
        <v>6.2768086700202641E-3</v>
      </c>
      <c r="W47" s="3431">
        <f>IF(SUM(T47)=0,"NA",Z47*1000000/T47)</f>
        <v>1.7285714285714283E-2</v>
      </c>
      <c r="X47" s="3283"/>
      <c r="Y47" s="3287">
        <v>0.40780589590491667</v>
      </c>
      <c r="Z47" s="3288">
        <v>3.2503104277339309E-3</v>
      </c>
    </row>
    <row r="48" spans="2:26" ht="18" customHeight="1" x14ac:dyDescent="0.2">
      <c r="B48" s="356" t="s">
        <v>1119</v>
      </c>
      <c r="C48" s="357"/>
      <c r="D48" s="357"/>
      <c r="E48" s="357"/>
      <c r="F48" s="3448">
        <f>IF(SUM(F30,F27,F24,F10)=0,"NO",SUM(F30,F27,F24,F10))</f>
        <v>50778255.105150156</v>
      </c>
      <c r="G48" s="3448" t="str">
        <f t="shared" ref="G48:Q48" si="29">IF(SUM(G30,G27,G24,G10)=0,"NO",SUM(G30,G27,G24,G10))</f>
        <v>NO</v>
      </c>
      <c r="H48" s="3448">
        <f t="shared" si="29"/>
        <v>18535341.868083149</v>
      </c>
      <c r="I48" s="3448">
        <f t="shared" si="29"/>
        <v>25939831.157048829</v>
      </c>
      <c r="J48" s="3448" t="str">
        <f t="shared" si="29"/>
        <v>NO</v>
      </c>
      <c r="K48" s="3448">
        <f t="shared" si="29"/>
        <v>37105375.520620137</v>
      </c>
      <c r="L48" s="3448" t="str">
        <f t="shared" si="29"/>
        <v>NO</v>
      </c>
      <c r="M48" s="3374"/>
      <c r="N48" s="3448">
        <f t="shared" si="29"/>
        <v>4773042.6015050383</v>
      </c>
      <c r="O48" s="3448">
        <f t="shared" si="29"/>
        <v>231309.88320822988</v>
      </c>
      <c r="P48" s="3374"/>
      <c r="Q48" s="3448">
        <f t="shared" si="29"/>
        <v>39453915.7048731</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2.1374397039831412E-2</v>
      </c>
      <c r="J49" s="3449" t="str">
        <f t="shared" si="30"/>
        <v>NA</v>
      </c>
      <c r="K49" s="3449" t="str">
        <f t="shared" si="30"/>
        <v>NA</v>
      </c>
      <c r="L49" s="3449" t="str">
        <f t="shared" si="30"/>
        <v>NA</v>
      </c>
      <c r="M49" s="87"/>
      <c r="N49" s="3449">
        <f t="shared" si="30"/>
        <v>1.5714285714285705E-2</v>
      </c>
      <c r="O49" s="3449" t="str">
        <f t="shared" si="30"/>
        <v>NA</v>
      </c>
      <c r="P49" s="87"/>
      <c r="Q49" s="3449">
        <f t="shared" si="30"/>
        <v>2.1101415984281259E-3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0.55444825029695111</v>
      </c>
      <c r="J50" s="3450" t="s">
        <v>274</v>
      </c>
      <c r="K50" s="3450" t="s">
        <v>274</v>
      </c>
      <c r="L50" s="3450" t="s">
        <v>274</v>
      </c>
      <c r="M50" s="3437"/>
      <c r="N50" s="3451">
        <v>7.5004955166507695E-2</v>
      </c>
      <c r="O50" s="3451" t="s">
        <v>205</v>
      </c>
      <c r="P50" s="3437"/>
      <c r="Q50" s="3451">
        <v>8.325334874972945E-2</v>
      </c>
      <c r="R50" s="1311"/>
      <c r="S50" s="1312"/>
      <c r="T50" s="1313"/>
      <c r="U50" s="3436">
        <f>X50*1000/SUM(C10,C24,C27,C30)</f>
        <v>3.6059272064917643E-3</v>
      </c>
      <c r="V50" s="3437"/>
      <c r="W50" s="3438"/>
      <c r="X50" s="3286">
        <f>SUM(X10,X24,X27,X30)</f>
        <v>0.71270655421318829</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27.561606858651462</v>
      </c>
    </row>
    <row r="11" spans="1:9" ht="18" customHeight="1" x14ac:dyDescent="0.2">
      <c r="B11" s="432" t="s">
        <v>1133</v>
      </c>
      <c r="C11" s="4462">
        <v>1.734525290034705</v>
      </c>
      <c r="D11" s="243" t="s">
        <v>199</v>
      </c>
      <c r="E11" s="283" t="s">
        <v>199</v>
      </c>
      <c r="F11" s="2330">
        <f>IF(SUM(C11)=0,"NA",G11/C11)</f>
        <v>15.89</v>
      </c>
      <c r="G11" s="3072">
        <v>27.561606858651462</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1.734525290034705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D18" sqref="D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26.711402006579018</v>
      </c>
      <c r="H10" s="395" t="s">
        <v>1157</v>
      </c>
      <c r="I10" s="396" t="s">
        <v>1158</v>
      </c>
      <c r="J10" s="397">
        <v>0.21</v>
      </c>
    </row>
    <row r="11" spans="2:10" ht="24" customHeight="1" x14ac:dyDescent="0.2">
      <c r="B11" s="2453" t="s">
        <v>1159</v>
      </c>
      <c r="C11" s="2454" t="s">
        <v>1160</v>
      </c>
      <c r="D11" s="3639">
        <v>761891.62976433046</v>
      </c>
      <c r="E11" s="3634">
        <f>IF(SUM(D11)=0,"NA",F11*1000/D11/(44/28))</f>
        <v>5.4665546128281782E-3</v>
      </c>
      <c r="F11" s="3390">
        <v>6.544877747828167</v>
      </c>
      <c r="H11" s="395" t="s">
        <v>1161</v>
      </c>
      <c r="I11" s="396" t="s">
        <v>1162</v>
      </c>
      <c r="J11" s="397">
        <v>0.24</v>
      </c>
    </row>
    <row r="12" spans="2:10" ht="24" customHeight="1" x14ac:dyDescent="0.2">
      <c r="B12" s="2453" t="s">
        <v>1163</v>
      </c>
      <c r="C12" s="2455" t="s">
        <v>1164</v>
      </c>
      <c r="D12" s="3640">
        <f>IF(SUM(D13:D15)=0,"NO",SUM(D13:D15))</f>
        <v>81975.424513037942</v>
      </c>
      <c r="E12" s="3635">
        <f t="shared" ref="E12:E23" si="0">IF(SUM(D12)=0,"NA",F12*1000/D12/(44/28))</f>
        <v>8.3350723734618611E-3</v>
      </c>
      <c r="F12" s="3391">
        <f>IF(SUM(F13:F15)=0,"NO",SUM(F13:F15))</f>
        <v>1.0737117225393913</v>
      </c>
      <c r="H12" s="4233" t="s">
        <v>1165</v>
      </c>
      <c r="I12" s="4234"/>
      <c r="J12" s="4235"/>
    </row>
    <row r="13" spans="2:10" ht="24" customHeight="1" thickBot="1" x14ac:dyDescent="0.25">
      <c r="B13" s="2453" t="s">
        <v>1166</v>
      </c>
      <c r="C13" s="2454" t="s">
        <v>1167</v>
      </c>
      <c r="D13" s="3641">
        <v>75282.581300578968</v>
      </c>
      <c r="E13" s="3634">
        <f t="shared" si="0"/>
        <v>8.2759583490066724E-3</v>
      </c>
      <c r="F13" s="3390">
        <v>0.97905579710604296</v>
      </c>
      <c r="H13" s="4236"/>
      <c r="I13" s="4237"/>
      <c r="J13" s="4238"/>
    </row>
    <row r="14" spans="2:10" ht="24" customHeight="1" x14ac:dyDescent="0.2">
      <c r="B14" s="2453" t="s">
        <v>1168</v>
      </c>
      <c r="C14" s="2454" t="s">
        <v>1169</v>
      </c>
      <c r="D14" s="3641">
        <v>6692.8432124589799</v>
      </c>
      <c r="E14" s="3634">
        <f t="shared" si="0"/>
        <v>8.9999999999999993E-3</v>
      </c>
      <c r="F14" s="3390">
        <v>9.4655925433348428E-2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2017151.9458677482</v>
      </c>
      <c r="E16" s="3634">
        <f t="shared" si="0"/>
        <v>4.0000000000000001E-3</v>
      </c>
      <c r="F16" s="3390">
        <v>12.679240802597274</v>
      </c>
    </row>
    <row r="17" spans="2:11" ht="24" customHeight="1" x14ac:dyDescent="0.2">
      <c r="B17" s="2453" t="s">
        <v>1176</v>
      </c>
      <c r="C17" s="2454" t="s">
        <v>1177</v>
      </c>
      <c r="D17" s="3641">
        <v>744714.3337385169</v>
      </c>
      <c r="E17" s="3634">
        <f t="shared" si="0"/>
        <v>5.0300000000000024E-3</v>
      </c>
      <c r="F17" s="3390">
        <v>5.886434869393165</v>
      </c>
    </row>
    <row r="18" spans="2:11" ht="24" customHeight="1" x14ac:dyDescent="0.2">
      <c r="B18" s="2453" t="s">
        <v>1178</v>
      </c>
      <c r="C18" s="2454" t="s">
        <v>1179</v>
      </c>
      <c r="D18" s="3641">
        <v>68158.715067564815</v>
      </c>
      <c r="E18" s="3636">
        <f t="shared" si="0"/>
        <v>4.0999999999999995E-3</v>
      </c>
      <c r="F18" s="3392">
        <v>0.43913686422102471</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10.274220263898016</v>
      </c>
    </row>
    <row r="22" spans="2:11" ht="24" customHeight="1" x14ac:dyDescent="0.2">
      <c r="B22" s="2457" t="s">
        <v>1184</v>
      </c>
      <c r="C22" s="2454" t="s">
        <v>1185</v>
      </c>
      <c r="D22" s="3641">
        <v>524624.82705404144</v>
      </c>
      <c r="E22" s="3634">
        <f t="shared" si="0"/>
        <v>3.0101608476104627E-3</v>
      </c>
      <c r="F22" s="3390">
        <v>2.4816080364153343</v>
      </c>
    </row>
    <row r="23" spans="2:11" ht="24" customHeight="1" thickBot="1" x14ac:dyDescent="0.25">
      <c r="B23" s="406" t="s">
        <v>1186</v>
      </c>
      <c r="C23" s="407" t="s">
        <v>1187</v>
      </c>
      <c r="D23" s="3643">
        <v>450812.27762296499</v>
      </c>
      <c r="E23" s="3638">
        <f t="shared" si="0"/>
        <v>1.1000000000000003E-2</v>
      </c>
      <c r="F23" s="3394">
        <v>7.7926122274826817</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22924251</v>
      </c>
      <c r="N9" s="4167">
        <v>6696065</v>
      </c>
      <c r="O9" s="4167">
        <v>397739</v>
      </c>
      <c r="P9" s="4168">
        <v>1424993</v>
      </c>
      <c r="Q9" s="4168">
        <v>1652918</v>
      </c>
      <c r="R9" s="4168">
        <v>328373.1945014511</v>
      </c>
      <c r="S9" s="4168">
        <v>1254606</v>
      </c>
      <c r="T9" s="4168">
        <v>673774</v>
      </c>
      <c r="U9" s="4168">
        <v>2598888.395</v>
      </c>
      <c r="V9" s="4168">
        <v>39773342.199999996</v>
      </c>
      <c r="W9" s="4168">
        <v>46989.481999999996</v>
      </c>
      <c r="X9" s="4169">
        <v>172418</v>
      </c>
    </row>
    <row r="10" spans="2:24" ht="18" customHeight="1" thickTop="1" x14ac:dyDescent="0.2">
      <c r="B10" s="430" t="s">
        <v>1226</v>
      </c>
      <c r="C10" s="374"/>
      <c r="D10" s="431"/>
      <c r="E10" s="431"/>
      <c r="F10" s="4137">
        <f>IF(SUM(F11:F14)=0,"NO",SUM(F11:F14))</f>
        <v>6895.6222805345533</v>
      </c>
      <c r="G10" s="4138">
        <f>IF(SUM($F10)=0,"NA",I10/$F10*1000)</f>
        <v>1.8815876907504996</v>
      </c>
      <c r="H10" s="4139">
        <f>IF(SUM($F10)=0,"NA",J10/$F10*1000)</f>
        <v>7.5688049828160311E-2</v>
      </c>
      <c r="I10" s="3161">
        <f>IF(SUM(I11:I14)=0,"NO",SUM(I11:I14))</f>
        <v>12.974718003118705</v>
      </c>
      <c r="J10" s="416">
        <f>IF(SUM(J11:J14)=0,"NO",SUM(J11:J14))</f>
        <v>0.52191620276527173</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4112.4834969092444</v>
      </c>
      <c r="G11" s="4141">
        <f>IF(SUM($F11)=0,"NA",I11/$F11*1000)</f>
        <v>1.8666666666666674</v>
      </c>
      <c r="H11" s="4142">
        <f>IF(SUM($F11)=0,"NA",J11/$F11*1000)</f>
        <v>7.1657142857142878E-2</v>
      </c>
      <c r="I11" s="3291">
        <v>7.6766358608972585</v>
      </c>
      <c r="J11" s="3292">
        <v>0.29468881743566822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1012.8665008044202</v>
      </c>
      <c r="G12" s="4143">
        <f t="shared" ref="G12:G28" si="0">IF(SUM($F12)=0,"NA",I12/$F12*1000)</f>
        <v>1.8666666666666663</v>
      </c>
      <c r="H12" s="4142">
        <f t="shared" ref="H12:H28" si="1">IF(SUM($F12)=0,"NA",J12/$F12*1000)</f>
        <v>8.3599999999999994E-2</v>
      </c>
      <c r="I12" s="3149">
        <v>1.8906841348349173</v>
      </c>
      <c r="J12" s="3292">
        <v>8.4675639467249528E-2</v>
      </c>
      <c r="L12" s="1323" t="s">
        <v>1231</v>
      </c>
      <c r="M12" s="4165">
        <v>0.28313518660951581</v>
      </c>
      <c r="N12" s="4165">
        <v>0.28879319280799048</v>
      </c>
      <c r="O12" s="4165">
        <v>0.28022954092494828</v>
      </c>
      <c r="P12" s="4166">
        <v>0.21897401798485522</v>
      </c>
      <c r="Q12" s="4166">
        <v>0.29622162501871863</v>
      </c>
      <c r="R12" s="4166">
        <v>0.28130522751957682</v>
      </c>
      <c r="S12" s="4166">
        <v>0.81499999999999984</v>
      </c>
      <c r="T12" s="4166">
        <v>0.3220830159144541</v>
      </c>
      <c r="U12" s="4166">
        <v>0.27337054036330366</v>
      </c>
      <c r="V12" s="4166">
        <v>0.46552060942969986</v>
      </c>
      <c r="W12" s="4166">
        <v>0.17412559711264997</v>
      </c>
      <c r="X12" s="4140">
        <v>0.3015756792423181</v>
      </c>
    </row>
    <row r="13" spans="2:24" ht="18" customHeight="1" thickBot="1" x14ac:dyDescent="0.25">
      <c r="B13" s="432" t="s">
        <v>1232</v>
      </c>
      <c r="C13" s="433" t="s">
        <v>205</v>
      </c>
      <c r="D13" s="433" t="s">
        <v>205</v>
      </c>
      <c r="E13" s="433" t="s">
        <v>205</v>
      </c>
      <c r="F13" s="4140">
        <v>73.669423358128526</v>
      </c>
      <c r="G13" s="4143">
        <f t="shared" si="0"/>
        <v>1.96</v>
      </c>
      <c r="H13" s="4142">
        <f t="shared" si="1"/>
        <v>5.9714285714285713E-2</v>
      </c>
      <c r="I13" s="3149">
        <v>0.14439206978193192</v>
      </c>
      <c r="J13" s="3292">
        <v>4.3991169948139602E-3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1696.6028594627608</v>
      </c>
      <c r="G14" s="4145">
        <f t="shared" si="0"/>
        <v>1.9232585395016062</v>
      </c>
      <c r="H14" s="4146">
        <f t="shared" si="1"/>
        <v>8.1428973254994347E-2</v>
      </c>
      <c r="I14" s="3168">
        <f>IF(SUM(I15:I19)=0,"NO",SUM(I15:I19))</f>
        <v>3.2630059376045981</v>
      </c>
      <c r="J14" s="3064">
        <f>IF(SUM(J15:J19)=0,"NO",SUM(J15:J19))</f>
        <v>0.13815262886754007</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179.73299105872869</v>
      </c>
      <c r="G15" s="4147">
        <f t="shared" si="0"/>
        <v>1.8666666666666663</v>
      </c>
      <c r="H15" s="4148">
        <f t="shared" si="1"/>
        <v>9.5542857142857152E-2</v>
      </c>
      <c r="I15" s="3293">
        <v>0.33550158330962682</v>
      </c>
      <c r="J15" s="3292">
        <v>1.7172203488582536E-2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293.68402461886546</v>
      </c>
      <c r="G16" s="4149">
        <f t="shared" si="0"/>
        <v>1.8666666666666667</v>
      </c>
      <c r="H16" s="4150">
        <f t="shared" si="1"/>
        <v>7.1657142857142864E-2</v>
      </c>
      <c r="I16" s="3294">
        <v>0.54821017928854887</v>
      </c>
      <c r="J16" s="3292">
        <v>2.1044558106974701E-2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56.966857913103702</v>
      </c>
      <c r="G17" s="4149">
        <f t="shared" si="0"/>
        <v>1.8666666666666669</v>
      </c>
      <c r="H17" s="4150">
        <f t="shared" si="1"/>
        <v>7.1657142857142864E-2</v>
      </c>
      <c r="I17" s="3294">
        <v>0.10633813477112693</v>
      </c>
      <c r="J17" s="3292">
        <v>4.0820822756018312E-3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1028.7207136512002</v>
      </c>
      <c r="G18" s="4149">
        <f t="shared" si="0"/>
        <v>1.9599999999999995</v>
      </c>
      <c r="H18" s="4150">
        <f t="shared" si="1"/>
        <v>8.3599999999999994E-2</v>
      </c>
      <c r="I18" s="3294">
        <v>2.016292598756352</v>
      </c>
      <c r="J18" s="3292">
        <v>8.6001051661240335E-2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137.49827222086265</v>
      </c>
      <c r="G19" s="4149">
        <f t="shared" si="0"/>
        <v>1.8666666666666676</v>
      </c>
      <c r="H19" s="4150">
        <f t="shared" si="1"/>
        <v>7.1657142857142878E-2</v>
      </c>
      <c r="I19" s="3294">
        <v>0.25666344147894371</v>
      </c>
      <c r="J19" s="3292">
        <v>9.8527333351406746E-3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406.46241970104666</v>
      </c>
      <c r="G20" s="4153">
        <f t="shared" si="0"/>
        <v>1.8666666666666667</v>
      </c>
      <c r="H20" s="4154">
        <f t="shared" si="1"/>
        <v>0.10748571428571427</v>
      </c>
      <c r="I20" s="3187">
        <f>I21</f>
        <v>0.75872985010862037</v>
      </c>
      <c r="J20" s="442">
        <f>J21</f>
        <v>4.3688903511866779E-2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406.46241970104666</v>
      </c>
      <c r="G21" s="4156">
        <f t="shared" si="0"/>
        <v>1.8666666666666667</v>
      </c>
      <c r="H21" s="4146">
        <f t="shared" si="1"/>
        <v>0.10748571428571427</v>
      </c>
      <c r="I21" s="3168">
        <f>I22</f>
        <v>0.75872985010862037</v>
      </c>
      <c r="J21" s="3064">
        <f>J22</f>
        <v>4.3688903511866779E-2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406.46241970104666</v>
      </c>
      <c r="G22" s="4158">
        <f t="shared" si="0"/>
        <v>1.8666666666666667</v>
      </c>
      <c r="H22" s="4159">
        <f t="shared" si="1"/>
        <v>0.10748571428571427</v>
      </c>
      <c r="I22" s="3295">
        <v>0.75872985010862037</v>
      </c>
      <c r="J22" s="3296">
        <v>4.3688903511866779E-2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888.73490399999991</v>
      </c>
      <c r="G26" s="4163">
        <f t="shared" si="0"/>
        <v>1.8666666666666665</v>
      </c>
      <c r="H26" s="4164">
        <f t="shared" si="1"/>
        <v>5.9714285714285713E-2</v>
      </c>
      <c r="I26" s="3297">
        <v>1.6589718207999997</v>
      </c>
      <c r="J26" s="3298">
        <v>5.307016998171428E-2</v>
      </c>
      <c r="L26" s="159"/>
    </row>
    <row r="27" spans="2:24" ht="18" customHeight="1" x14ac:dyDescent="0.2">
      <c r="B27" s="439" t="s">
        <v>1242</v>
      </c>
      <c r="C27" s="440"/>
      <c r="D27" s="441"/>
      <c r="E27" s="441"/>
      <c r="F27" s="4152">
        <f>IF(SUM(F28:F29)=0,"NO",SUM(F28:F29))</f>
        <v>231.16488635206494</v>
      </c>
      <c r="G27" s="4153">
        <f t="shared" si="0"/>
        <v>1.8680240208598471</v>
      </c>
      <c r="H27" s="4154">
        <f t="shared" si="1"/>
        <v>0.10870151582732016</v>
      </c>
      <c r="I27" s="3187">
        <f>IF(SUM(I28:I29)=0,"NO",SUM(I28:I29))</f>
        <v>0.43182156048499393</v>
      </c>
      <c r="J27" s="442">
        <f>IF(SUM(J28:J29)=0,"NO",SUM(J28:J29))</f>
        <v>2.5127973552519649E-2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3.361849583636201</v>
      </c>
      <c r="G28" s="4149">
        <f t="shared" si="0"/>
        <v>1.96</v>
      </c>
      <c r="H28" s="4150">
        <f t="shared" si="1"/>
        <v>0.19108571428571428</v>
      </c>
      <c r="I28" s="3294">
        <v>6.5892251839269533E-3</v>
      </c>
      <c r="J28" s="3292">
        <v>6.4240142901025464E-4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227.80303676842874</v>
      </c>
      <c r="G29" s="4149">
        <f t="shared" ref="G29" si="2">IF(SUM($F29)=0,"NA",I29/$F29*1000)</f>
        <v>1.8666666666666667</v>
      </c>
      <c r="H29" s="4150">
        <f t="shared" ref="H29" si="3">IF(SUM($F29)=0,"NA",J29/$F29*1000)</f>
        <v>0.10748571428571427</v>
      </c>
      <c r="I29" s="3294">
        <v>0.42523233530106697</v>
      </c>
      <c r="J29" s="3292">
        <v>2.4485572123509394E-2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485.71530671337609</v>
      </c>
    </row>
    <row r="11" spans="2:5" s="83" customFormat="1" ht="18" customHeight="1" x14ac:dyDescent="0.2">
      <c r="B11" s="1858" t="s">
        <v>1361</v>
      </c>
      <c r="C11" s="4175">
        <v>1080621.290075493</v>
      </c>
      <c r="D11" s="3534">
        <f>IF(SUM(C11)=0,"NA",E11*1000/(44/12)/C11)</f>
        <v>0.10800000000000001</v>
      </c>
      <c r="E11" s="3395">
        <v>427.92603086989527</v>
      </c>
    </row>
    <row r="12" spans="2:5" s="83" customFormat="1" ht="18" customHeight="1" x14ac:dyDescent="0.2">
      <c r="B12" s="1858" t="s">
        <v>1362</v>
      </c>
      <c r="C12" s="4175">
        <v>127617.09792450699</v>
      </c>
      <c r="D12" s="3534">
        <f t="shared" ref="D12:D16" si="0">IF(SUM(C12)=0,"NA",E12*1000/(44/12)/C12)</f>
        <v>0.12349999999999987</v>
      </c>
      <c r="E12" s="3395">
        <v>57.789275843480851</v>
      </c>
    </row>
    <row r="13" spans="2:5" s="83" customFormat="1" ht="18" customHeight="1" x14ac:dyDescent="0.2">
      <c r="B13" s="853" t="s">
        <v>1363</v>
      </c>
      <c r="C13" s="4176">
        <v>910869.56521739135</v>
      </c>
      <c r="D13" s="4177">
        <f t="shared" si="0"/>
        <v>0.20000000000000004</v>
      </c>
      <c r="E13" s="3396">
        <v>667.97101449275374</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20070.184448754575</v>
      </c>
      <c r="D10" s="4269">
        <f t="shared" ref="D10:H10" si="0">IF(SUM(D11,D14,D17,D20,D23,D26,D29:D30)=0,"NO",SUM(D11,D14,D17,D20,D23,D26,D29:D30))</f>
        <v>639.89687490486892</v>
      </c>
      <c r="E10" s="4269">
        <f t="shared" si="0"/>
        <v>14.446979675196147</v>
      </c>
      <c r="F10" s="4269">
        <f t="shared" si="0"/>
        <v>842.50158827546556</v>
      </c>
      <c r="G10" s="4269">
        <f t="shared" si="0"/>
        <v>22075.002535724401</v>
      </c>
      <c r="H10" s="4270">
        <f t="shared" si="0"/>
        <v>587.16126918048008</v>
      </c>
      <c r="I10" s="4271">
        <f>IF(SUM(C10:E10)=0,"NO",SUM(C10)+28*SUM(D10)+265*SUM(E10))</f>
        <v>41815.746560017884</v>
      </c>
      <c r="J10" s="4259"/>
    </row>
    <row r="11" spans="2:10" ht="18" customHeight="1" x14ac:dyDescent="0.2">
      <c r="B11" s="464" t="s">
        <v>1252</v>
      </c>
      <c r="C11" s="4272">
        <f>IF(SUM(C12:C13)=0,"NO",SUM(C12:C13))</f>
        <v>-41260.607239294819</v>
      </c>
      <c r="D11" s="4272">
        <f t="shared" ref="D11:H11" si="1">IF(SUM(D12:D13)=0,"NO",SUM(D12:D13))</f>
        <v>215.46067450390416</v>
      </c>
      <c r="E11" s="4272">
        <f t="shared" si="1"/>
        <v>4.6070512651177884</v>
      </c>
      <c r="F11" s="4272">
        <f t="shared" si="1"/>
        <v>241.26713767827607</v>
      </c>
      <c r="G11" s="4272">
        <f t="shared" si="1"/>
        <v>6388.5460021916479</v>
      </c>
      <c r="H11" s="4273">
        <f t="shared" si="1"/>
        <v>191.1496503230926</v>
      </c>
      <c r="I11" s="4274">
        <f t="shared" ref="I11:I32" si="2">IF(SUM(C11:E11)=0,"NO",SUM(C11)+28*SUM(D11)+265*SUM(E11))</f>
        <v>-34006.83976792929</v>
      </c>
    </row>
    <row r="12" spans="2:10" ht="18" customHeight="1" x14ac:dyDescent="0.2">
      <c r="B12" s="465" t="s">
        <v>1253</v>
      </c>
      <c r="C12" s="4275">
        <f>IF(SUM(Table4.A!U11,'Table4(IV)'!J12)=0,"NO",SUM(Table4.A!U11,'Table4(IV)'!J12))</f>
        <v>-24589.523702966246</v>
      </c>
      <c r="D12" s="4275">
        <f>'Table4(IV)'!K12</f>
        <v>214.16675194590346</v>
      </c>
      <c r="E12" s="4275">
        <f>IF(SUM('Table4(III)'!I12,'Table4(IV)'!L12)=0,"NO",SUM('Table4(III)'!I12,'Table4(IV)'!L12))</f>
        <v>4.0103047077798966</v>
      </c>
      <c r="F12" s="4276">
        <v>240.3707538224545</v>
      </c>
      <c r="G12" s="4276">
        <v>6357.2591132997468</v>
      </c>
      <c r="H12" s="4277">
        <v>188.09303429969452</v>
      </c>
      <c r="I12" s="4278">
        <f t="shared" si="2"/>
        <v>-17530.123900919276</v>
      </c>
    </row>
    <row r="13" spans="2:10" ht="18" customHeight="1" thickBot="1" x14ac:dyDescent="0.25">
      <c r="B13" s="466" t="s">
        <v>1254</v>
      </c>
      <c r="C13" s="4279">
        <f>IF(SUM(Table4.A!U16,'Table4(IV)'!J19)=0,"NO",SUM(Table4.A!U16,'Table4(IV)'!J19))</f>
        <v>-16671.083536328573</v>
      </c>
      <c r="D13" s="4279">
        <f>'Table4(IV)'!K19</f>
        <v>1.2939225580006917</v>
      </c>
      <c r="E13" s="4279">
        <f>IF(SUM('Table4(III)'!I13,'Table4(IV)'!L19)=0,"NO",SUM('Table4(III)'!I13,'Table4(IV)'!L19))</f>
        <v>0.5967465573378915</v>
      </c>
      <c r="F13" s="4280">
        <v>0.89638385582156932</v>
      </c>
      <c r="G13" s="4280">
        <v>31.286888891901391</v>
      </c>
      <c r="H13" s="4281">
        <v>3.056616023398087</v>
      </c>
      <c r="I13" s="4282">
        <f t="shared" si="2"/>
        <v>-16476.715867010014</v>
      </c>
    </row>
    <row r="14" spans="2:10" ht="18" customHeight="1" x14ac:dyDescent="0.2">
      <c r="B14" s="464" t="s">
        <v>1255</v>
      </c>
      <c r="C14" s="4272">
        <f>IF(SUM(C15:C16)=0,"NO",SUM(C15:C16))</f>
        <v>7370.6323877009927</v>
      </c>
      <c r="D14" s="4272">
        <f t="shared" ref="D14" si="3">IF(SUM(D15:D16)=0,"NO",SUM(D15:D16))</f>
        <v>5.6829143958953345</v>
      </c>
      <c r="E14" s="4272">
        <f t="shared" ref="E14" si="4">IF(SUM(E15:E16)=0,"NO",SUM(E15:E16))</f>
        <v>0.19151287850847243</v>
      </c>
      <c r="F14" s="4272">
        <f t="shared" ref="F14" si="5">IF(SUM(F15:F16)=0,"NO",SUM(F15:F16))</f>
        <v>4.2790992326235697</v>
      </c>
      <c r="G14" s="4272">
        <f t="shared" ref="G14" si="6">IF(SUM(G15:G16)=0,"NO",SUM(G15:G16))</f>
        <v>167.59335510117259</v>
      </c>
      <c r="H14" s="4273">
        <f t="shared" ref="H14" si="7">IF(SUM(H15:H16)=0,"NO",SUM(H15:H16))</f>
        <v>20.258537429812069</v>
      </c>
      <c r="I14" s="4283">
        <f t="shared" si="2"/>
        <v>7580.5049035908069</v>
      </c>
    </row>
    <row r="15" spans="2:10" ht="18" customHeight="1" x14ac:dyDescent="0.2">
      <c r="B15" s="465" t="s">
        <v>1256</v>
      </c>
      <c r="C15" s="4275">
        <f>IF(SUM(Table4.B!S11,'Table4(IV)'!J26)=0,"NO",SUM(Table4.B!S11,'Table4(IV)'!J26))</f>
        <v>2386.0302394359665</v>
      </c>
      <c r="D15" s="4275" t="str">
        <f>'Table4(IV)'!K26</f>
        <v>IE</v>
      </c>
      <c r="E15" s="4275" t="str">
        <f>'Table4(IV)'!L26</f>
        <v>IE</v>
      </c>
      <c r="F15" s="4276" t="s">
        <v>274</v>
      </c>
      <c r="G15" s="4276" t="s">
        <v>274</v>
      </c>
      <c r="H15" s="4277" t="s">
        <v>274</v>
      </c>
      <c r="I15" s="4278">
        <f t="shared" si="2"/>
        <v>2386.0302394359665</v>
      </c>
    </row>
    <row r="16" spans="2:10" ht="18" customHeight="1" thickBot="1" x14ac:dyDescent="0.25">
      <c r="B16" s="466" t="s">
        <v>1257</v>
      </c>
      <c r="C16" s="4279">
        <f>IF(SUM(Table4.B!S13,'Table4(IV)'!J31)=0,"IE",SUM(Table4.B!S13,'Table4(IV)'!J31))</f>
        <v>4984.6021482650267</v>
      </c>
      <c r="D16" s="4279">
        <f>'Table4(IV)'!K31</f>
        <v>5.6829143958953345</v>
      </c>
      <c r="E16" s="4279">
        <f>IF(SUM('Table4(III)'!I21,'Table4(IV)'!L31)=0,"IE",SUM('Table4(III)'!I21,'Table4(IV)'!L31))</f>
        <v>0.19151287850847243</v>
      </c>
      <c r="F16" s="4280">
        <v>4.2790992326235697</v>
      </c>
      <c r="G16" s="4280">
        <v>167.59335510117259</v>
      </c>
      <c r="H16" s="4281">
        <v>20.258537429812069</v>
      </c>
      <c r="I16" s="4282">
        <f t="shared" si="2"/>
        <v>5194.4746641548409</v>
      </c>
    </row>
    <row r="17" spans="2:9" ht="18" customHeight="1" x14ac:dyDescent="0.2">
      <c r="B17" s="464" t="s">
        <v>1258</v>
      </c>
      <c r="C17" s="4272">
        <f>IF(SUM(C18:C19)=0,"NO",SUM(C18:C19))</f>
        <v>53306.60912101654</v>
      </c>
      <c r="D17" s="4272">
        <f t="shared" ref="D17" si="8">IF(SUM(D18:D19)=0,"NO",SUM(D18:D19))</f>
        <v>331.74685781944299</v>
      </c>
      <c r="E17" s="4272">
        <f t="shared" ref="E17" si="9">IF(SUM(E18:E19)=0,"NO",SUM(E18:E19))</f>
        <v>9.2004231383396089</v>
      </c>
      <c r="F17" s="4272">
        <f t="shared" ref="F17" si="10">IF(SUM(F18:F19)=0,"NO",SUM(F18:F19))</f>
        <v>570.67324314548273</v>
      </c>
      <c r="G17" s="4272">
        <f t="shared" ref="G17" si="11">IF(SUM(G18:G19)=0,"NO",SUM(G18:G19))</f>
        <v>14847.197518694615</v>
      </c>
      <c r="H17" s="4273">
        <f t="shared" ref="H17" si="12">IF(SUM(H18:H19)=0,"NO",SUM(H18:H19))</f>
        <v>362.46930790424506</v>
      </c>
      <c r="I17" s="4283">
        <f t="shared" si="2"/>
        <v>65033.633271620936</v>
      </c>
    </row>
    <row r="18" spans="2:9" ht="18" customHeight="1" x14ac:dyDescent="0.2">
      <c r="B18" s="465" t="s">
        <v>1259</v>
      </c>
      <c r="C18" s="4275">
        <f>IF(SUM(Table4.C!S11,'Table4(IV)'!J37)=0,"IE",SUM(Table4.C!S11,'Table4(IV)'!J37))</f>
        <v>-5585.9289046987269</v>
      </c>
      <c r="D18" s="4275">
        <f>'Table4(IV)'!K37</f>
        <v>252.03207888939517</v>
      </c>
      <c r="E18" s="4275">
        <f>IF(SUM('Table4(III)'!I29,'Table4(IV)'!L37)=0,"NO",SUM('Table4(III)'!I29,'Table4(IV)'!L37))</f>
        <v>7.7096729864861206</v>
      </c>
      <c r="F18" s="4276">
        <v>509.74773590206155</v>
      </c>
      <c r="G18" s="4276">
        <v>12486.436830085293</v>
      </c>
      <c r="H18" s="4277">
        <v>81.928858784362205</v>
      </c>
      <c r="I18" s="4278">
        <f t="shared" si="2"/>
        <v>3514.0326456231601</v>
      </c>
    </row>
    <row r="19" spans="2:9" ht="18" customHeight="1" thickBot="1" x14ac:dyDescent="0.25">
      <c r="B19" s="466" t="s">
        <v>1260</v>
      </c>
      <c r="C19" s="4279">
        <f>IF(SUM(Table4.C!S15,'Table4(IV)'!J42)=0,"IE",SUM(Table4.C!S15,'Table4(IV)'!J42))</f>
        <v>58892.538025715265</v>
      </c>
      <c r="D19" s="4279">
        <f>'Table4(IV)'!K42</f>
        <v>79.714778930047856</v>
      </c>
      <c r="E19" s="4279">
        <f>IF(SUM('Table4(III)'!I30,'Table4(IV)'!L42)=0,"NO",SUM('Table4(III)'!I30,'Table4(IV)'!L42))</f>
        <v>1.490750151853488</v>
      </c>
      <c r="F19" s="4280">
        <v>60.925507243421194</v>
      </c>
      <c r="G19" s="4280">
        <v>2360.7606886093213</v>
      </c>
      <c r="H19" s="4281">
        <v>280.54044911988285</v>
      </c>
      <c r="I19" s="4282">
        <f t="shared" si="2"/>
        <v>61519.60062599778</v>
      </c>
    </row>
    <row r="20" spans="2:9" ht="18" customHeight="1" x14ac:dyDescent="0.2">
      <c r="B20" s="464" t="s">
        <v>1261</v>
      </c>
      <c r="C20" s="4272">
        <f>IF(SUM(C21:C22)=0,"NO",SUM(C21:C22))</f>
        <v>1451.8113940927544</v>
      </c>
      <c r="D20" s="4272">
        <f t="shared" ref="D20" si="13">IF(SUM(D21:D22)=0,"NO",SUM(D21:D22))</f>
        <v>83.381729648206544</v>
      </c>
      <c r="E20" s="4272">
        <f t="shared" ref="E20" si="14">IF(SUM(E21:E22)=0,"NO",SUM(E21:E22))</f>
        <v>0.33190858053478117</v>
      </c>
      <c r="F20" s="4272">
        <f t="shared" ref="F20" si="15">IF(SUM(F21:F22)=0,"NO",SUM(F21:F22))</f>
        <v>23.552796522752161</v>
      </c>
      <c r="G20" s="4272">
        <f t="shared" ref="G20" si="16">IF(SUM(G21:G22)=0,"NO",SUM(G21:G22))</f>
        <v>564.77061490657377</v>
      </c>
      <c r="H20" s="4273">
        <f t="shared" ref="H20" si="17">IF(SUM(H21:H22)=0,"NO",SUM(H21:H22))</f>
        <v>0.3623944778983848</v>
      </c>
      <c r="I20" s="4283">
        <f t="shared" si="2"/>
        <v>3874.4555980842542</v>
      </c>
    </row>
    <row r="21" spans="2:9" ht="18" customHeight="1" x14ac:dyDescent="0.2">
      <c r="B21" s="465" t="s">
        <v>1262</v>
      </c>
      <c r="C21" s="4275">
        <f>IF(SUM(Table4.D!S11,'Table4(IV)'!J49)=0,"IE",SUM(Table4.D!S11,'Table4(IV)'!J49))</f>
        <v>1181.7353696341509</v>
      </c>
      <c r="D21" s="4275">
        <f>IF(SUM('Table4(IV)'!K49,'Table4(II)'!J270)=0,"NO",SUM('Table4(IV)'!K49,'Table4(II)'!J270))</f>
        <v>70.447327094439188</v>
      </c>
      <c r="E21" s="4275">
        <f>IF(SUM('Table4(II)'!I270,'Table4(III)'!I38,'Table4(IV)'!L49)=0,"NO",SUM('Table4(II)'!I270,'Table4(III)'!I38,'Table4(IV)'!L49))</f>
        <v>0.33190858053478117</v>
      </c>
      <c r="F21" s="4276">
        <v>23.552796522752161</v>
      </c>
      <c r="G21" s="4276">
        <v>564.77061490657377</v>
      </c>
      <c r="H21" s="4277">
        <v>0.3623944778983848</v>
      </c>
      <c r="I21" s="4278">
        <f t="shared" si="2"/>
        <v>3242.216302120165</v>
      </c>
    </row>
    <row r="22" spans="2:9" ht="18" customHeight="1" thickBot="1" x14ac:dyDescent="0.25">
      <c r="B22" s="466" t="s">
        <v>1263</v>
      </c>
      <c r="C22" s="4279">
        <f>IF(SUM(Table4.D!S23,'Table4(II)'!H320,'Table4(IV)'!J54)=0,"NO",SUM(Table4.D!S23,'Table4(II)'!H320,'Table4(IV)'!J54))</f>
        <v>270.07602445860363</v>
      </c>
      <c r="D22" s="4279">
        <f>IF(SUM('Table4(IV)'!K54,'Table4(II)'!J320)=0,"NO",SUM('Table4(IV)'!K54,'Table4(II)'!J320))</f>
        <v>12.934402553767359</v>
      </c>
      <c r="E22" s="4279" t="str">
        <f>IF(SUM('Table4(II)'!I320,'Table4(III)'!I39,'Table4(IV)'!L54)=0,"NO",SUM('Table4(II)'!I320,'Table4(III)'!I39,'Table4(IV)'!L54))</f>
        <v>NO</v>
      </c>
      <c r="F22" s="4280" t="s">
        <v>274</v>
      </c>
      <c r="G22" s="4280" t="s">
        <v>274</v>
      </c>
      <c r="H22" s="4281" t="s">
        <v>274</v>
      </c>
      <c r="I22" s="4282">
        <f t="shared" si="2"/>
        <v>632.23929596408971</v>
      </c>
    </row>
    <row r="23" spans="2:9" ht="18" customHeight="1" x14ac:dyDescent="0.2">
      <c r="B23" s="464" t="s">
        <v>1264</v>
      </c>
      <c r="C23" s="4272">
        <f>IF(SUM(C24:C25)=0,"NO",SUM(C24:C25))</f>
        <v>5552.4542556861061</v>
      </c>
      <c r="D23" s="4272">
        <f t="shared" ref="D23" si="18">IF(SUM(D24:D25)=0,"NO",SUM(D24:D25))</f>
        <v>3.6246985374198863</v>
      </c>
      <c r="E23" s="4272">
        <f t="shared" ref="E23" si="19">IF(SUM(E24:E25)=0,"NO",SUM(E24:E25))</f>
        <v>7.929420269549585E-2</v>
      </c>
      <c r="F23" s="4272">
        <f>IF(SUM(F24:F25)=0,"NO",SUM(F24:F25))</f>
        <v>2.7293116963310444</v>
      </c>
      <c r="G23" s="4272">
        <f t="shared" ref="G23" si="20">IF(SUM(G24:G25)=0,"NO",SUM(G24:G25))</f>
        <v>106.89504483039201</v>
      </c>
      <c r="H23" s="4273">
        <f t="shared" ref="H23" si="21">IF(SUM(H24:H25)=0,"NO",SUM(H24:H25))</f>
        <v>12.921379045431999</v>
      </c>
      <c r="I23" s="4283">
        <f t="shared" si="2"/>
        <v>5674.9587784481691</v>
      </c>
    </row>
    <row r="24" spans="2:9" ht="18" customHeight="1" thickBot="1" x14ac:dyDescent="0.25">
      <c r="B24" s="465" t="s">
        <v>1265</v>
      </c>
      <c r="C24" s="4275">
        <f>IF(SUM(Table4.E!S11,'Table4(IV)'!J60)=0,"IE",SUM(Table4.E!S11,'Table4(IV)'!J60))</f>
        <v>24.137452224578116</v>
      </c>
      <c r="D24" s="4275" t="str">
        <f>'Table4(IV)'!K60</f>
        <v>IE</v>
      </c>
      <c r="E24" s="4275">
        <f>IF(SUM('Table4(III)'!I47,'Table4(IV)'!L60)=0,"IE",SUM('Table4(III)'!I47,'Table4(IV)'!L60))</f>
        <v>9.6574380852281361E-4</v>
      </c>
      <c r="F24" s="4280" t="s">
        <v>274</v>
      </c>
      <c r="G24" s="4280" t="s">
        <v>274</v>
      </c>
      <c r="H24" s="4281" t="s">
        <v>274</v>
      </c>
      <c r="I24" s="4278">
        <f t="shared" si="2"/>
        <v>24.393374333836661</v>
      </c>
    </row>
    <row r="25" spans="2:9" ht="18" customHeight="1" thickBot="1" x14ac:dyDescent="0.25">
      <c r="B25" s="466" t="s">
        <v>1266</v>
      </c>
      <c r="C25" s="4279">
        <f>IF(SUM(Table4.E!S13,'Table4(IV)'!J65)=0,"IE",SUM(Table4.E!S13,'Table4(IV)'!J65))</f>
        <v>5528.3168034615283</v>
      </c>
      <c r="D25" s="4279">
        <f>'Table4(IV)'!K65</f>
        <v>3.6246985374198863</v>
      </c>
      <c r="E25" s="4279">
        <f>IF(SUM('Table4(III)'!I48,'Table4(IV)'!L65)=0,"NO",SUM('Table4(III)'!I48,'Table4(IV)'!L65))</f>
        <v>7.832845888697304E-2</v>
      </c>
      <c r="F25" s="4280">
        <v>2.7293116963310444</v>
      </c>
      <c r="G25" s="4280">
        <v>106.89504483039201</v>
      </c>
      <c r="H25" s="4281">
        <v>12.921379045431999</v>
      </c>
      <c r="I25" s="4282">
        <f t="shared" si="2"/>
        <v>5650.5654041143325</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-6351.2423647902106</v>
      </c>
      <c r="D29" s="4288"/>
      <c r="E29" s="4288"/>
      <c r="F29" s="4288"/>
      <c r="G29" s="4288"/>
      <c r="H29" s="4289"/>
      <c r="I29" s="4290">
        <f t="shared" si="2"/>
        <v>-6351.2423647902106</v>
      </c>
    </row>
    <row r="30" spans="2:9" ht="18" customHeight="1" x14ac:dyDescent="0.2">
      <c r="B30" s="1167" t="s">
        <v>1271</v>
      </c>
      <c r="C30" s="4291">
        <f>IF(SUM(C31:C32)=0,"NO",SUM(C31:C32))</f>
        <v>0.52689434321333339</v>
      </c>
      <c r="D30" s="4291" t="str">
        <f t="shared" ref="D30" si="27">IF(SUM(D31:D32)=0,"NO",SUM(D31:D32))</f>
        <v>NO</v>
      </c>
      <c r="E30" s="4291">
        <f t="shared" ref="E30" si="28">IF(SUM(E31:E32)=0,"NO",SUM(E31:E32))</f>
        <v>3.6789610000000007E-2</v>
      </c>
      <c r="F30" s="4291" t="str">
        <f t="shared" ref="F30" si="29">IF(SUM(F31:F32)=0,"NO",SUM(F31:F32))</f>
        <v>NO</v>
      </c>
      <c r="G30" s="4291" t="str">
        <f t="shared" ref="G30" si="30">IF(SUM(G31:G32)=0,"NO",SUM(G31:G32))</f>
        <v>NO</v>
      </c>
      <c r="H30" s="4292" t="str">
        <f t="shared" ref="H30" si="31">IF(SUM(H31:H32)=0,"NO",SUM(H31:H32))</f>
        <v>NO</v>
      </c>
      <c r="I30" s="4293">
        <f t="shared" si="2"/>
        <v>10.276140993213335</v>
      </c>
    </row>
    <row r="31" spans="2:9" ht="18" customHeight="1" x14ac:dyDescent="0.2">
      <c r="B31" s="2693" t="s">
        <v>1272</v>
      </c>
      <c r="C31" s="4294" t="s">
        <v>199</v>
      </c>
      <c r="D31" s="4294" t="s">
        <v>199</v>
      </c>
      <c r="E31" s="4294">
        <v>3.6789610000000007E-2</v>
      </c>
      <c r="F31" s="4294" t="s">
        <v>199</v>
      </c>
      <c r="G31" s="4294" t="s">
        <v>199</v>
      </c>
      <c r="H31" s="4295" t="s">
        <v>199</v>
      </c>
      <c r="I31" s="4296">
        <f t="shared" si="2"/>
        <v>9.7492466500000017</v>
      </c>
    </row>
    <row r="32" spans="2:9" ht="18" customHeight="1" thickBot="1" x14ac:dyDescent="0.25">
      <c r="B32" s="2692" t="s">
        <v>1273</v>
      </c>
      <c r="C32" s="4297">
        <v>0.52689434321333339</v>
      </c>
      <c r="D32" s="4297" t="s">
        <v>199</v>
      </c>
      <c r="E32" s="4297" t="s">
        <v>199</v>
      </c>
      <c r="F32" s="4298" t="s">
        <v>199</v>
      </c>
      <c r="G32" s="4298" t="s">
        <v>199</v>
      </c>
      <c r="H32" s="4298" t="s">
        <v>199</v>
      </c>
      <c r="I32" s="4282">
        <f t="shared" si="2"/>
        <v>0.52689434321333339</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298077.30084264063</v>
      </c>
      <c r="D10" s="4489">
        <f t="shared" ref="D10:I10" si="0">IF(SUM(D11,D37,D47)=0,"NO",SUM(D11,D37,D47))</f>
        <v>1406.3443411403673</v>
      </c>
      <c r="E10" s="4489">
        <f t="shared" si="0"/>
        <v>8.8342105942418439</v>
      </c>
      <c r="F10" s="4489">
        <f t="shared" si="0"/>
        <v>1717.0711127650457</v>
      </c>
      <c r="G10" s="4489">
        <f t="shared" si="0"/>
        <v>5668.6501249274161</v>
      </c>
      <c r="H10" s="4489">
        <f t="shared" si="0"/>
        <v>799.30353040640057</v>
      </c>
      <c r="I10" s="4490">
        <f t="shared" si="0"/>
        <v>630.54789855287822</v>
      </c>
      <c r="J10" s="4427">
        <f t="shared" ref="J10:J40" si="1">IF(SUM(C10:E10)=0,"NO",SUM(C10,IFERROR(28*D10,0),IFERROR(265*E10,0)))</f>
        <v>339796.00820204499</v>
      </c>
    </row>
    <row r="11" spans="2:10" s="83" customFormat="1" ht="18" customHeight="1" thickBot="1" x14ac:dyDescent="0.25">
      <c r="B11" s="18" t="s">
        <v>174</v>
      </c>
      <c r="C11" s="3010">
        <f>IF(SUM(C12,C16,C24,C30,C34)=0,"NO",SUM(C12,C16,C24,C30,C34))</f>
        <v>291389.68945926498</v>
      </c>
      <c r="D11" s="3010">
        <f t="shared" ref="D11:I11" si="2">IF(SUM(D12,D16,D24,D30,D34)=0,"NO",SUM(D12,D16,D24,D30,D34))</f>
        <v>128.54219617695563</v>
      </c>
      <c r="E11" s="3010">
        <f t="shared" si="2"/>
        <v>8.7468410505869389</v>
      </c>
      <c r="F11" s="3010">
        <f t="shared" si="2"/>
        <v>1714.1466095243122</v>
      </c>
      <c r="G11" s="3010">
        <f t="shared" si="2"/>
        <v>5651.6882061311626</v>
      </c>
      <c r="H11" s="3010">
        <f t="shared" si="2"/>
        <v>616.67057311473366</v>
      </c>
      <c r="I11" s="3011">
        <f t="shared" si="2"/>
        <v>630.54789855287822</v>
      </c>
      <c r="J11" s="3012">
        <f t="shared" si="1"/>
        <v>297306.7838306253</v>
      </c>
    </row>
    <row r="12" spans="2:10" s="83" customFormat="1" ht="18" customHeight="1" x14ac:dyDescent="0.2">
      <c r="B12" s="26" t="s">
        <v>175</v>
      </c>
      <c r="C12" s="3010">
        <f>IF(SUM(C13:C15)=0,"NO",SUM(C13:C15))</f>
        <v>168676.2909260561</v>
      </c>
      <c r="D12" s="3010">
        <f t="shared" ref="D12:I12" si="3">IF(SUM(D13:D15)=0,"NO",SUM(D13:D15))</f>
        <v>7.0619913656581117</v>
      </c>
      <c r="E12" s="3010">
        <f t="shared" si="3"/>
        <v>2.0352450444763979</v>
      </c>
      <c r="F12" s="3010">
        <f t="shared" si="3"/>
        <v>528.98965156409986</v>
      </c>
      <c r="G12" s="3010">
        <f t="shared" si="3"/>
        <v>83.158180930304781</v>
      </c>
      <c r="H12" s="3010">
        <f>IF(SUM(H13:H15)=0,"NO",SUM(H13:H15))</f>
        <v>13.037331770635623</v>
      </c>
      <c r="I12" s="3011">
        <f t="shared" si="3"/>
        <v>495.2528213780094</v>
      </c>
      <c r="J12" s="3012">
        <f t="shared" si="1"/>
        <v>169413.36662108076</v>
      </c>
    </row>
    <row r="13" spans="2:10" s="83" customFormat="1" ht="18" customHeight="1" x14ac:dyDescent="0.2">
      <c r="B13" s="20" t="s">
        <v>176</v>
      </c>
      <c r="C13" s="3013">
        <f>'Table1.A(a)s1'!H24</f>
        <v>152192.98492193437</v>
      </c>
      <c r="D13" s="3013">
        <f>'Table1.A(a)s1'!I24</f>
        <v>1.5518762256586114</v>
      </c>
      <c r="E13" s="3013">
        <f>'Table1.A(a)s1'!J24</f>
        <v>1.7790945331887134</v>
      </c>
      <c r="F13" s="3014">
        <v>403.1956697875234</v>
      </c>
      <c r="G13" s="3014">
        <v>52.547304456826247</v>
      </c>
      <c r="H13" s="3014">
        <v>3.6449958416900787</v>
      </c>
      <c r="I13" s="3015">
        <v>478.41212862252968</v>
      </c>
      <c r="J13" s="3016">
        <f t="shared" si="1"/>
        <v>152707.89750754781</v>
      </c>
    </row>
    <row r="14" spans="2:10" s="83" customFormat="1" ht="18" customHeight="1" x14ac:dyDescent="0.2">
      <c r="B14" s="20" t="s">
        <v>177</v>
      </c>
      <c r="C14" s="3013">
        <f>'Table1.A(a)s1'!H53</f>
        <v>5802.5892480104394</v>
      </c>
      <c r="D14" s="3013">
        <f>'Table1.A(a)s1'!I53</f>
        <v>6.5806317922077848E-2</v>
      </c>
      <c r="E14" s="3013">
        <f>'Table1.A(a)s1'!J53</f>
        <v>4.7803753108225058E-2</v>
      </c>
      <c r="F14" s="3014">
        <v>33.452060422510797</v>
      </c>
      <c r="G14" s="3014">
        <v>4.549388732467528</v>
      </c>
      <c r="H14" s="3014">
        <v>7.7551525991341907E-2</v>
      </c>
      <c r="I14" s="3015">
        <v>4.5406719298245566</v>
      </c>
      <c r="J14" s="3016">
        <f t="shared" si="1"/>
        <v>5817.0998194859376</v>
      </c>
    </row>
    <row r="15" spans="2:10" s="83" customFormat="1" ht="18" customHeight="1" thickBot="1" x14ac:dyDescent="0.25">
      <c r="B15" s="21" t="s">
        <v>178</v>
      </c>
      <c r="C15" s="3017">
        <f>'Table1.A(a)s1'!H60</f>
        <v>10680.716756111278</v>
      </c>
      <c r="D15" s="3017">
        <f>'Table1.A(a)s1'!I60</f>
        <v>5.4443088220774225</v>
      </c>
      <c r="E15" s="3017">
        <f>'Table1.A(a)s1'!J60</f>
        <v>0.20834675817945952</v>
      </c>
      <c r="F15" s="3018">
        <v>92.341921354065732</v>
      </c>
      <c r="G15" s="3018">
        <v>26.061487741011003</v>
      </c>
      <c r="H15" s="3018">
        <v>9.3147844029542028</v>
      </c>
      <c r="I15" s="3019">
        <v>12.300020825655157</v>
      </c>
      <c r="J15" s="3020">
        <f t="shared" si="1"/>
        <v>10888.369294047003</v>
      </c>
    </row>
    <row r="16" spans="2:10" s="83" customFormat="1" ht="18" customHeight="1" x14ac:dyDescent="0.2">
      <c r="B16" s="25" t="s">
        <v>179</v>
      </c>
      <c r="C16" s="3010">
        <f>IF(SUM(C17:C23)=0,"NO",SUM(C17:C23))</f>
        <v>37342.362579876841</v>
      </c>
      <c r="D16" s="3010">
        <f t="shared" ref="D16:I16" si="4">IF(SUM(D17:D23)=0,"NO",SUM(D17:D23))</f>
        <v>2.2444637673842891</v>
      </c>
      <c r="E16" s="3010">
        <f t="shared" si="4"/>
        <v>1.316378999783244</v>
      </c>
      <c r="F16" s="3010">
        <f t="shared" si="4"/>
        <v>519.97937411684711</v>
      </c>
      <c r="G16" s="3010">
        <f t="shared" si="4"/>
        <v>167.92946236106135</v>
      </c>
      <c r="H16" s="3010">
        <f t="shared" si="4"/>
        <v>66.064699160187473</v>
      </c>
      <c r="I16" s="3011">
        <f t="shared" si="4"/>
        <v>95.936402632047574</v>
      </c>
      <c r="J16" s="3012">
        <f t="shared" si="1"/>
        <v>37754.04800030616</v>
      </c>
    </row>
    <row r="17" spans="2:10" s="83" customFormat="1" ht="18" customHeight="1" x14ac:dyDescent="0.2">
      <c r="B17" s="20" t="s">
        <v>180</v>
      </c>
      <c r="C17" s="3013">
        <f>'Table1.A(a)s2'!H17</f>
        <v>2817.6324883629732</v>
      </c>
      <c r="D17" s="3013">
        <f>'Table1.A(a)s2'!I17</f>
        <v>0.10882471399879215</v>
      </c>
      <c r="E17" s="3013">
        <f>'Table1.A(a)s2'!J17</f>
        <v>3.5373567700475644E-2</v>
      </c>
      <c r="F17" s="3014">
        <v>31.796503878739614</v>
      </c>
      <c r="G17" s="3014">
        <v>8.7715829208360656</v>
      </c>
      <c r="H17" s="3014">
        <v>4.0960885268088303</v>
      </c>
      <c r="I17" s="3015">
        <v>11.232918282430049</v>
      </c>
      <c r="J17" s="3016">
        <f t="shared" si="1"/>
        <v>2830.0535757955654</v>
      </c>
    </row>
    <row r="18" spans="2:10" s="83" customFormat="1" ht="18" customHeight="1" x14ac:dyDescent="0.2">
      <c r="B18" s="20" t="s">
        <v>181</v>
      </c>
      <c r="C18" s="3013">
        <f>'Table1.A(a)s2'!H24</f>
        <v>12488.50413632076</v>
      </c>
      <c r="D18" s="3013">
        <f>'Table1.A(a)s2'!I24</f>
        <v>0.22999461761072054</v>
      </c>
      <c r="E18" s="3013">
        <f>'Table1.A(a)s2'!J24</f>
        <v>0.13461914770887942</v>
      </c>
      <c r="F18" s="3014">
        <v>76.732486413762473</v>
      </c>
      <c r="G18" s="3014">
        <v>12.226888421925219</v>
      </c>
      <c r="H18" s="3014">
        <v>1.0433514824235317</v>
      </c>
      <c r="I18" s="3015">
        <v>53.450551332849201</v>
      </c>
      <c r="J18" s="3016">
        <f t="shared" si="1"/>
        <v>12530.618059756713</v>
      </c>
    </row>
    <row r="19" spans="2:10" s="83" customFormat="1" ht="18" customHeight="1" x14ac:dyDescent="0.2">
      <c r="B19" s="20" t="s">
        <v>182</v>
      </c>
      <c r="C19" s="3013">
        <f>'Table1.A(a)s2'!H31</f>
        <v>5473.7449184233501</v>
      </c>
      <c r="D19" s="3013">
        <f>'Table1.A(a)s2'!I31</f>
        <v>0.22823681200665064</v>
      </c>
      <c r="E19" s="3013">
        <f>'Table1.A(a)s2'!J31</f>
        <v>6.3826187427368619E-2</v>
      </c>
      <c r="F19" s="3014">
        <v>40.783219195280317</v>
      </c>
      <c r="G19" s="3014">
        <v>16.828830363989582</v>
      </c>
      <c r="H19" s="3014">
        <v>11.634740280743989</v>
      </c>
      <c r="I19" s="3015">
        <v>4.1839197529495102</v>
      </c>
      <c r="J19" s="3016">
        <f t="shared" si="1"/>
        <v>5497.049488827789</v>
      </c>
    </row>
    <row r="20" spans="2:10" s="83" customFormat="1" ht="18" customHeight="1" x14ac:dyDescent="0.2">
      <c r="B20" s="20" t="s">
        <v>183</v>
      </c>
      <c r="C20" s="3013">
        <f>'Table1.A(a)s2'!H38</f>
        <v>1376.4848288244136</v>
      </c>
      <c r="D20" s="3013">
        <f>'Table1.A(a)s2'!I38</f>
        <v>0.20296928571428574</v>
      </c>
      <c r="E20" s="3013">
        <f>'Table1.A(a)s2'!J38</f>
        <v>0.13581410952380954</v>
      </c>
      <c r="F20" s="3014">
        <v>5.7602796190476191</v>
      </c>
      <c r="G20" s="3014">
        <v>4.7958292857142863</v>
      </c>
      <c r="H20" s="3014">
        <v>0.16358437619047617</v>
      </c>
      <c r="I20" s="3015">
        <v>1.377382672064777</v>
      </c>
      <c r="J20" s="3016">
        <f t="shared" si="1"/>
        <v>1418.1587078482232</v>
      </c>
    </row>
    <row r="21" spans="2:10" s="83" customFormat="1" ht="18" customHeight="1" x14ac:dyDescent="0.2">
      <c r="B21" s="20" t="s">
        <v>184</v>
      </c>
      <c r="C21" s="3013">
        <f>'Table1.A(a)s2'!H45</f>
        <v>3144.0937136586517</v>
      </c>
      <c r="D21" s="3013">
        <f>'Table1.A(a)s2'!I45</f>
        <v>0.94456898852833571</v>
      </c>
      <c r="E21" s="3013">
        <f>'Table1.A(a)s2'!J45</f>
        <v>0.62013011363619297</v>
      </c>
      <c r="F21" s="3014">
        <v>24.065785394667735</v>
      </c>
      <c r="G21" s="3014">
        <v>23.673112188512036</v>
      </c>
      <c r="H21" s="3014">
        <v>1.0769493507347883</v>
      </c>
      <c r="I21" s="3015">
        <v>6.5398716302608033</v>
      </c>
      <c r="J21" s="3016">
        <f t="shared" si="1"/>
        <v>3334.8761254510364</v>
      </c>
    </row>
    <row r="22" spans="2:10" s="83" customFormat="1" ht="18" customHeight="1" x14ac:dyDescent="0.2">
      <c r="B22" s="20" t="s">
        <v>185</v>
      </c>
      <c r="C22" s="3013">
        <f>'Table1.A(a)s2'!H52</f>
        <v>4844.6514108042948</v>
      </c>
      <c r="D22" s="3013">
        <f>'Table1.A(a)s2'!I52</f>
        <v>0.15731109038178831</v>
      </c>
      <c r="E22" s="3013">
        <f>'Table1.A(a)s2'!J52</f>
        <v>3.6994166806259561E-2</v>
      </c>
      <c r="F22" s="3014">
        <v>67.368034423060436</v>
      </c>
      <c r="G22" s="3014">
        <v>12.689485724192462</v>
      </c>
      <c r="H22" s="3014">
        <v>5.9359665334484371</v>
      </c>
      <c r="I22" s="3015">
        <v>8.5337687179487194</v>
      </c>
      <c r="J22" s="3016">
        <f t="shared" si="1"/>
        <v>4858.8595755386432</v>
      </c>
    </row>
    <row r="23" spans="2:10" s="83" customFormat="1" ht="18" customHeight="1" thickBot="1" x14ac:dyDescent="0.25">
      <c r="B23" s="3039" t="s">
        <v>186</v>
      </c>
      <c r="C23" s="3013">
        <f>'Table1.A(a)s2'!H59</f>
        <v>7197.251083482397</v>
      </c>
      <c r="D23" s="3013">
        <f>'Table1.A(a)s2'!I59</f>
        <v>0.37255825914371593</v>
      </c>
      <c r="E23" s="3013">
        <f>'Table1.A(a)s2'!J59</f>
        <v>0.28962170698025824</v>
      </c>
      <c r="F23" s="3014">
        <v>273.47306519228897</v>
      </c>
      <c r="G23" s="3014">
        <v>88.943733455891703</v>
      </c>
      <c r="H23" s="3014">
        <v>42.114018609837416</v>
      </c>
      <c r="I23" s="3015">
        <v>10.617990243544517</v>
      </c>
      <c r="J23" s="3016">
        <f t="shared" si="1"/>
        <v>7284.4324670881897</v>
      </c>
    </row>
    <row r="24" spans="2:10" s="83" customFormat="1" ht="18" customHeight="1" x14ac:dyDescent="0.2">
      <c r="B24" s="25" t="s">
        <v>187</v>
      </c>
      <c r="C24" s="3010">
        <f>IF(SUM(C25:C29)=0,"NO",SUM(C25:C29))</f>
        <v>69276.048857972593</v>
      </c>
      <c r="D24" s="3010">
        <f t="shared" ref="D24:I24" si="5">IF(SUM(D25:D29)=0,"NO",SUM(D25:D29))</f>
        <v>30.23862509934867</v>
      </c>
      <c r="E24" s="3010">
        <f t="shared" si="5"/>
        <v>4.7758348071430996</v>
      </c>
      <c r="F24" s="3010">
        <f t="shared" si="5"/>
        <v>418.68254242453781</v>
      </c>
      <c r="G24" s="3010">
        <f t="shared" si="5"/>
        <v>4322.7202803998407</v>
      </c>
      <c r="H24" s="3010">
        <f t="shared" si="5"/>
        <v>381.22662548398228</v>
      </c>
      <c r="I24" s="3011">
        <f t="shared" si="5"/>
        <v>32.643787933069547</v>
      </c>
      <c r="J24" s="3012">
        <f t="shared" si="1"/>
        <v>71388.326584647279</v>
      </c>
    </row>
    <row r="25" spans="2:10" s="83" customFormat="1" ht="18" customHeight="1" x14ac:dyDescent="0.2">
      <c r="B25" s="20" t="s">
        <v>188</v>
      </c>
      <c r="C25" s="1884">
        <f>'Table1.A(a)s3'!H16</f>
        <v>5405.2930099354598</v>
      </c>
      <c r="D25" s="1884">
        <f>'Table1.A(a)s3'!I16</f>
        <v>3.3368142167805405E-2</v>
      </c>
      <c r="E25" s="1884">
        <f>'Table1.A(a)s3'!J16</f>
        <v>4.7530772208231563E-2</v>
      </c>
      <c r="F25" s="3014">
        <v>18.378082908911157</v>
      </c>
      <c r="G25" s="3014">
        <v>12.298481664804894</v>
      </c>
      <c r="H25" s="3014">
        <v>1.2074106673312794</v>
      </c>
      <c r="I25" s="3015">
        <v>0.63783794811689298</v>
      </c>
      <c r="J25" s="3016">
        <f t="shared" si="1"/>
        <v>5418.8229725513402</v>
      </c>
    </row>
    <row r="26" spans="2:10" s="83" customFormat="1" ht="18" customHeight="1" x14ac:dyDescent="0.2">
      <c r="B26" s="20" t="s">
        <v>189</v>
      </c>
      <c r="C26" s="1884">
        <f>'Table1.A(a)s3'!H20</f>
        <v>59341.882938720446</v>
      </c>
      <c r="D26" s="1884">
        <f>'Table1.A(a)s3'!I20</f>
        <v>26.126517766683616</v>
      </c>
      <c r="E26" s="1884">
        <f>'Table1.A(a)s3'!J20</f>
        <v>4.0031889196286921</v>
      </c>
      <c r="F26" s="3014">
        <v>327.09597645486895</v>
      </c>
      <c r="G26" s="3014">
        <v>4095.1179934285924</v>
      </c>
      <c r="H26" s="3014">
        <v>342.91561238822987</v>
      </c>
      <c r="I26" s="3015">
        <v>11.396892634016245</v>
      </c>
      <c r="J26" s="3016">
        <f t="shared" si="1"/>
        <v>61134.270499889193</v>
      </c>
    </row>
    <row r="27" spans="2:10" s="83" customFormat="1" ht="18" customHeight="1" x14ac:dyDescent="0.2">
      <c r="B27" s="20" t="s">
        <v>190</v>
      </c>
      <c r="C27" s="1884">
        <f>'Table1.A(a)s3'!H81</f>
        <v>1566.0892383667854</v>
      </c>
      <c r="D27" s="1884">
        <f>'Table1.A(a)s3'!I81</f>
        <v>8.9560000000000001E-2</v>
      </c>
      <c r="E27" s="1884">
        <f>'Table1.A(a)s3'!J81</f>
        <v>0.67169999999999996</v>
      </c>
      <c r="F27" s="3014">
        <v>34.256699999999995</v>
      </c>
      <c r="G27" s="3014">
        <v>4.52278</v>
      </c>
      <c r="H27" s="3014">
        <v>1.5896899999999998</v>
      </c>
      <c r="I27" s="3015">
        <v>1.2766688070175436</v>
      </c>
      <c r="J27" s="3016">
        <f t="shared" si="1"/>
        <v>1746.5974183667854</v>
      </c>
    </row>
    <row r="28" spans="2:10" s="83" customFormat="1" ht="18" customHeight="1" x14ac:dyDescent="0.2">
      <c r="B28" s="20" t="s">
        <v>191</v>
      </c>
      <c r="C28" s="1884">
        <f>'Table1.A(a)s3'!H88</f>
        <v>2479.3973764430052</v>
      </c>
      <c r="D28" s="1884">
        <f>'Table1.A(a)s3'!I88</f>
        <v>3.8919238333644945</v>
      </c>
      <c r="E28" s="1884">
        <f>'Table1.A(a)s3'!J88</f>
        <v>5.2435953238375695E-2</v>
      </c>
      <c r="F28" s="3014">
        <v>37.115200815235674</v>
      </c>
      <c r="G28" s="3014">
        <v>206.21475293342851</v>
      </c>
      <c r="H28" s="3014">
        <v>34.84962054997002</v>
      </c>
      <c r="I28" s="3015">
        <v>19.327483119139046</v>
      </c>
      <c r="J28" s="3016">
        <f t="shared" si="1"/>
        <v>2602.2667713853807</v>
      </c>
    </row>
    <row r="29" spans="2:10" s="83" customFormat="1" ht="18" customHeight="1" thickBot="1" x14ac:dyDescent="0.25">
      <c r="B29" s="22" t="s">
        <v>192</v>
      </c>
      <c r="C29" s="1888">
        <f>'Table1.A(a)s3'!H99</f>
        <v>483.38629450690138</v>
      </c>
      <c r="D29" s="1888">
        <f>'Table1.A(a)s3'!I99</f>
        <v>9.7255357132755405E-2</v>
      </c>
      <c r="E29" s="1888">
        <f>'Table1.A(a)s3'!J99</f>
        <v>9.7916206780042782E-4</v>
      </c>
      <c r="F29" s="3021">
        <v>1.8365822455221179</v>
      </c>
      <c r="G29" s="3021">
        <v>4.5662723730149786</v>
      </c>
      <c r="H29" s="3021">
        <v>0.66429187845107818</v>
      </c>
      <c r="I29" s="3022">
        <v>4.9054247798175467E-3</v>
      </c>
      <c r="J29" s="3023">
        <f t="shared" si="1"/>
        <v>486.36892245458563</v>
      </c>
    </row>
    <row r="30" spans="2:10" ht="18" customHeight="1" x14ac:dyDescent="0.2">
      <c r="B30" s="26" t="s">
        <v>193</v>
      </c>
      <c r="C30" s="3010">
        <f>IF(SUM(C31:C33)=0,"NO",SUM(C31:C33))</f>
        <v>15281.499188238162</v>
      </c>
      <c r="D30" s="3010">
        <f t="shared" ref="D30" si="6">IF(SUM(D31:D33)=0,"NO",SUM(D31:D33))</f>
        <v>88.953625740979518</v>
      </c>
      <c r="E30" s="3010">
        <f t="shared" ref="E30" si="7">IF(SUM(E31:E33)=0,"NO",SUM(E31:E33))</f>
        <v>0.59697391044693204</v>
      </c>
      <c r="F30" s="3010">
        <f t="shared" ref="F30" si="8">IF(SUM(F31:F33)=0,"NO",SUM(F31:F33))</f>
        <v>237.97721274387172</v>
      </c>
      <c r="G30" s="3010">
        <f t="shared" ref="G30" si="9">IF(SUM(G31:G33)=0,"NO",SUM(G31:G33))</f>
        <v>1071.6710136625416</v>
      </c>
      <c r="H30" s="3010">
        <f t="shared" ref="H30" si="10">IF(SUM(H31:H33)=0,"NO",SUM(H31:H33))</f>
        <v>155.65782466249959</v>
      </c>
      <c r="I30" s="3011">
        <f t="shared" ref="I30" si="11">IF(SUM(I31:I33)=0,"NO",SUM(I31:I33))</f>
        <v>6.3801784430890134</v>
      </c>
      <c r="J30" s="3024">
        <f t="shared" si="1"/>
        <v>17930.398795254023</v>
      </c>
    </row>
    <row r="31" spans="2:10" ht="18" customHeight="1" x14ac:dyDescent="0.2">
      <c r="B31" s="20" t="s">
        <v>194</v>
      </c>
      <c r="C31" s="3013">
        <f>'Table1.A(a)s4'!H17</f>
        <v>4115.4206136061903</v>
      </c>
      <c r="D31" s="3013">
        <f>'Table1.A(a)s4'!I17</f>
        <v>6.9556263095238102E-2</v>
      </c>
      <c r="E31" s="3013">
        <f>'Table1.A(a)s4'!J17</f>
        <v>8.1926401190476172E-2</v>
      </c>
      <c r="F31" s="3014">
        <v>12.588418668290043</v>
      </c>
      <c r="G31" s="3014">
        <v>3.6354538971861472</v>
      </c>
      <c r="H31" s="3014">
        <v>1.2436738065476194</v>
      </c>
      <c r="I31" s="3015">
        <v>2.3540716531713888</v>
      </c>
      <c r="J31" s="3016">
        <f t="shared" si="1"/>
        <v>4139.078685288333</v>
      </c>
    </row>
    <row r="32" spans="2:10" ht="18" customHeight="1" x14ac:dyDescent="0.2">
      <c r="B32" s="20" t="s">
        <v>195</v>
      </c>
      <c r="C32" s="3013">
        <f>'Table1.A(a)s4'!H38</f>
        <v>7143.7016827980442</v>
      </c>
      <c r="D32" s="3013">
        <f>'Table1.A(a)s4'!I38</f>
        <v>88.659097616412424</v>
      </c>
      <c r="E32" s="3013">
        <f>'Table1.A(a)s4'!J38</f>
        <v>0.30145736207030865</v>
      </c>
      <c r="F32" s="3014">
        <v>10.130563339650976</v>
      </c>
      <c r="G32" s="3014">
        <v>999.46152210301784</v>
      </c>
      <c r="H32" s="3014">
        <v>124.37398805075715</v>
      </c>
      <c r="I32" s="3015">
        <v>0.80549909623341254</v>
      </c>
      <c r="J32" s="3016">
        <f t="shared" si="1"/>
        <v>9706.0426170062237</v>
      </c>
    </row>
    <row r="33" spans="2:10" ht="18" customHeight="1" thickBot="1" x14ac:dyDescent="0.25">
      <c r="B33" s="20" t="s">
        <v>196</v>
      </c>
      <c r="C33" s="3013">
        <f>'Table1.A(a)s4'!H59</f>
        <v>4022.3768918339274</v>
      </c>
      <c r="D33" s="3013">
        <f>'Table1.A(a)s4'!I59</f>
        <v>0.22497186147186149</v>
      </c>
      <c r="E33" s="3013">
        <f>'Table1.A(a)s4'!J59</f>
        <v>0.21359014718614722</v>
      </c>
      <c r="F33" s="3014">
        <v>215.25823073593071</v>
      </c>
      <c r="G33" s="3014">
        <v>68.574037662337673</v>
      </c>
      <c r="H33" s="3014">
        <v>30.040162805194814</v>
      </c>
      <c r="I33" s="3015">
        <v>3.2206076936842116</v>
      </c>
      <c r="J33" s="3016">
        <f t="shared" si="1"/>
        <v>4085.2774929594684</v>
      </c>
    </row>
    <row r="34" spans="2:10" ht="18" customHeight="1" x14ac:dyDescent="0.2">
      <c r="B34" s="25" t="s">
        <v>197</v>
      </c>
      <c r="C34" s="3010">
        <f>IF(SUM(C35:C36)=0,"NO",SUM(C35:C36))</f>
        <v>813.48790712126572</v>
      </c>
      <c r="D34" s="3010">
        <f t="shared" ref="D34:E34" si="12">IF(SUM(D35:D36)=0,"NO",SUM(D35:D36))</f>
        <v>4.3490203585043824E-2</v>
      </c>
      <c r="E34" s="3010">
        <f t="shared" si="12"/>
        <v>2.2408288737265684E-2</v>
      </c>
      <c r="F34" s="3010">
        <f t="shared" ref="F34:I34" si="13">IF(SUM(F35:F36)=0,"NO",SUM(F35:F36))</f>
        <v>8.5178286749558065</v>
      </c>
      <c r="G34" s="3010">
        <f t="shared" si="13"/>
        <v>6.2092687774141648</v>
      </c>
      <c r="H34" s="3010">
        <f t="shared" si="13"/>
        <v>0.68409203742877411</v>
      </c>
      <c r="I34" s="3011">
        <f t="shared" si="13"/>
        <v>0.33470816666269676</v>
      </c>
      <c r="J34" s="3012">
        <f t="shared" si="1"/>
        <v>820.64382933702234</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813.48790712126572</v>
      </c>
      <c r="D36" s="3025">
        <f>'Table1.A(a)s4'!I108</f>
        <v>4.3490203585043824E-2</v>
      </c>
      <c r="E36" s="3025">
        <f>'Table1.A(a)s4'!J108</f>
        <v>2.2408288737265684E-2</v>
      </c>
      <c r="F36" s="3021">
        <v>8.5178286749558065</v>
      </c>
      <c r="G36" s="3021">
        <v>6.2092687774141648</v>
      </c>
      <c r="H36" s="3021">
        <v>0.68409203742877411</v>
      </c>
      <c r="I36" s="3022">
        <v>0.33470816666269676</v>
      </c>
      <c r="J36" s="3023">
        <f t="shared" si="1"/>
        <v>820.64382933702234</v>
      </c>
    </row>
    <row r="37" spans="2:10" ht="18" customHeight="1" thickBot="1" x14ac:dyDescent="0.25">
      <c r="B37" s="18" t="s">
        <v>201</v>
      </c>
      <c r="C37" s="3010">
        <f>IF(SUM(C38,C42)=0,"NO",SUM(C38,C42))</f>
        <v>6687.6113833756262</v>
      </c>
      <c r="D37" s="3010">
        <f t="shared" ref="D37:I37" si="14">IF(SUM(D38,D42)=0,"NO",SUM(D38,D42))</f>
        <v>1277.8021449634116</v>
      </c>
      <c r="E37" s="3010">
        <f t="shared" si="14"/>
        <v>8.7369543654904458E-2</v>
      </c>
      <c r="F37" s="3010">
        <f t="shared" si="14"/>
        <v>2.9245032407334035</v>
      </c>
      <c r="G37" s="3010">
        <f t="shared" si="14"/>
        <v>16.961918796253737</v>
      </c>
      <c r="H37" s="3010">
        <f t="shared" si="14"/>
        <v>182.63295729166694</v>
      </c>
      <c r="I37" s="3011" t="str">
        <f t="shared" si="14"/>
        <v>NO</v>
      </c>
      <c r="J37" s="3012">
        <f t="shared" si="1"/>
        <v>42489.224371419703</v>
      </c>
    </row>
    <row r="38" spans="2:10" ht="18" customHeight="1" x14ac:dyDescent="0.2">
      <c r="B38" s="26" t="s">
        <v>202</v>
      </c>
      <c r="C38" s="3010">
        <f>IF(SUM(C39:C41)=0,"NO",SUM(C39:C41))</f>
        <v>1333.0836919676028</v>
      </c>
      <c r="D38" s="3010">
        <f t="shared" ref="D38" si="15">IF(SUM(D39:D41)=0,"NO",SUM(D39:D41))</f>
        <v>973.656088470236</v>
      </c>
      <c r="E38" s="3010">
        <f t="shared" ref="E38" si="16">IF(SUM(E39:E41)=0,"NO",SUM(E39:E41))</f>
        <v>1.4331691445815465E-5</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28595.457967032446</v>
      </c>
    </row>
    <row r="39" spans="2:10" ht="18" customHeight="1" x14ac:dyDescent="0.2">
      <c r="B39" s="20" t="s">
        <v>203</v>
      </c>
      <c r="C39" s="3013">
        <f>'Table1.B.1'!G10</f>
        <v>1333.0836919676028</v>
      </c>
      <c r="D39" s="3013">
        <f>'Table1.B.1'!F10</f>
        <v>973.656088470236</v>
      </c>
      <c r="E39" s="3014">
        <v>1.4331691445815465E-5</v>
      </c>
      <c r="F39" s="3014" t="s">
        <v>199</v>
      </c>
      <c r="G39" s="3014" t="s">
        <v>199</v>
      </c>
      <c r="H39" s="3014" t="s">
        <v>199</v>
      </c>
      <c r="I39" s="2940"/>
      <c r="J39" s="3016">
        <f t="shared" si="1"/>
        <v>28595.457967032446</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5354.5276914080232</v>
      </c>
      <c r="D42" s="3010">
        <f t="shared" ref="D42:I42" si="21">IF(SUM(D43:D46)=0,"NO",SUM(D43:D46))</f>
        <v>304.14605649317554</v>
      </c>
      <c r="E42" s="4491">
        <f t="shared" si="21"/>
        <v>8.7355211963458648E-2</v>
      </c>
      <c r="F42" s="3010">
        <f t="shared" si="21"/>
        <v>2.9245032407334035</v>
      </c>
      <c r="G42" s="3010">
        <f t="shared" si="21"/>
        <v>16.961918796253737</v>
      </c>
      <c r="H42" s="3010">
        <f t="shared" si="21"/>
        <v>182.63295729166694</v>
      </c>
      <c r="I42" s="3011" t="str">
        <f t="shared" si="21"/>
        <v>NO</v>
      </c>
      <c r="J42" s="3012">
        <f t="shared" ref="J42:J59" si="22">IF(SUM(C42:E42)=0,"NO",SUM(C42,IFERROR(28*D42,0),IFERROR(265*E42,0)))</f>
        <v>13893.766404387256</v>
      </c>
    </row>
    <row r="43" spans="2:10" ht="18" customHeight="1" x14ac:dyDescent="0.2">
      <c r="B43" s="20" t="s">
        <v>208</v>
      </c>
      <c r="C43" s="3013">
        <f>'Table1.B.2'!I10</f>
        <v>466.09257603839899</v>
      </c>
      <c r="D43" s="3013">
        <f>'Table1.B.2'!J10</f>
        <v>3.2384042393280743</v>
      </c>
      <c r="E43" s="4492">
        <f>'Table1.B.2'!K10</f>
        <v>1.4056337786448528E-2</v>
      </c>
      <c r="F43" s="3014">
        <v>0.25928533333333331</v>
      </c>
      <c r="G43" s="3014">
        <v>1.5038549333333333</v>
      </c>
      <c r="H43" s="3014">
        <v>95.18570196666667</v>
      </c>
      <c r="I43" s="3015" t="s">
        <v>199</v>
      </c>
      <c r="J43" s="3016">
        <f t="shared" si="22"/>
        <v>560.49282425299384</v>
      </c>
    </row>
    <row r="44" spans="2:10" ht="18" customHeight="1" x14ac:dyDescent="0.2">
      <c r="B44" s="20" t="s">
        <v>209</v>
      </c>
      <c r="C44" s="3013">
        <f>SUM('Table1.B.2'!I21)</f>
        <v>18.79922000121238</v>
      </c>
      <c r="D44" s="3013">
        <f>'Table1.B.2'!J21</f>
        <v>148.59469688650688</v>
      </c>
      <c r="E44" s="4492">
        <f>'Table1.B.2'!K21</f>
        <v>2.6137308332577333E-4</v>
      </c>
      <c r="F44" s="3014">
        <v>4.8402422838106163E-3</v>
      </c>
      <c r="G44" s="3014">
        <v>2.8073405246101572E-2</v>
      </c>
      <c r="H44" s="3014">
        <v>60.844478673837671</v>
      </c>
      <c r="I44" s="3015" t="s">
        <v>199</v>
      </c>
      <c r="J44" s="3016">
        <f t="shared" si="22"/>
        <v>4179.5199966904866</v>
      </c>
    </row>
    <row r="45" spans="2:10" ht="18" customHeight="1" x14ac:dyDescent="0.2">
      <c r="B45" s="20" t="s">
        <v>210</v>
      </c>
      <c r="C45" s="3013">
        <f>'Table1.B.2'!I31</f>
        <v>4869.6358953684121</v>
      </c>
      <c r="D45" s="3013">
        <f>'Table1.B.2'!J31</f>
        <v>152.31295536734058</v>
      </c>
      <c r="E45" s="4492">
        <f>'Table1.B.2'!K31</f>
        <v>7.3037501093684343E-2</v>
      </c>
      <c r="F45" s="3014">
        <v>2.6603776651162594</v>
      </c>
      <c r="G45" s="3014">
        <v>15.429990457674304</v>
      </c>
      <c r="H45" s="3014">
        <v>26.602776651162593</v>
      </c>
      <c r="I45" s="3015" t="s">
        <v>199</v>
      </c>
      <c r="J45" s="3016">
        <f t="shared" si="22"/>
        <v>9153.7535834437749</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9141.9429999999993</v>
      </c>
      <c r="D52" s="3013">
        <f t="shared" ref="D52:I52" si="23">IF(SUM(D53:D54)=0,"NO",SUM(D53:D54))</f>
        <v>0.25615829499999998</v>
      </c>
      <c r="E52" s="3013">
        <f t="shared" si="23"/>
        <v>0.10435733409736841</v>
      </c>
      <c r="F52" s="3013">
        <f t="shared" si="23"/>
        <v>100.53891086552632</v>
      </c>
      <c r="G52" s="3013">
        <f t="shared" si="23"/>
        <v>12.741734088684211</v>
      </c>
      <c r="H52" s="3013">
        <f t="shared" si="23"/>
        <v>7.1281166662894737</v>
      </c>
      <c r="I52" s="3034">
        <f t="shared" si="23"/>
        <v>37.546874458839412</v>
      </c>
      <c r="J52" s="3016">
        <f t="shared" si="22"/>
        <v>9176.7701257958015</v>
      </c>
    </row>
    <row r="53" spans="2:10" ht="18" customHeight="1" x14ac:dyDescent="0.2">
      <c r="B53" s="164" t="s">
        <v>218</v>
      </c>
      <c r="C53" s="3013">
        <f>Table1.D!G10</f>
        <v>6595.9919999999984</v>
      </c>
      <c r="D53" s="3013">
        <f>Table1.D!H10</f>
        <v>1.1718295E-2</v>
      </c>
      <c r="E53" s="3013">
        <f>Table1.D!I10</f>
        <v>3.4517334097368416E-2</v>
      </c>
      <c r="F53" s="3014">
        <v>33.441510865526311</v>
      </c>
      <c r="G53" s="3014">
        <v>10.42818408868421</v>
      </c>
      <c r="H53" s="3014">
        <v>5.0391666662894741</v>
      </c>
      <c r="I53" s="3015">
        <v>0.77711399999999986</v>
      </c>
      <c r="J53" s="3016">
        <f t="shared" si="22"/>
        <v>6605.4672057958014</v>
      </c>
    </row>
    <row r="54" spans="2:10" ht="18" customHeight="1" x14ac:dyDescent="0.2">
      <c r="B54" s="164" t="s">
        <v>219</v>
      </c>
      <c r="C54" s="3013">
        <f>Table1.D!G14</f>
        <v>2545.951</v>
      </c>
      <c r="D54" s="3013">
        <f>Table1.D!H14</f>
        <v>0.24443999999999999</v>
      </c>
      <c r="E54" s="3013">
        <f>Table1.D!I14</f>
        <v>6.9839999999999999E-2</v>
      </c>
      <c r="F54" s="3014">
        <v>67.097400000000007</v>
      </c>
      <c r="G54" s="3014">
        <v>2.3135500000000002</v>
      </c>
      <c r="H54" s="3014">
        <v>2.0889500000000001</v>
      </c>
      <c r="I54" s="3015">
        <v>36.769760458839414</v>
      </c>
      <c r="J54" s="3016">
        <f t="shared" si="22"/>
        <v>2571.3029200000001</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19020.636109999999</v>
      </c>
      <c r="D56" s="3035"/>
      <c r="E56" s="3035"/>
      <c r="F56" s="3035"/>
      <c r="G56" s="3035"/>
      <c r="H56" s="3035"/>
      <c r="I56" s="2976"/>
      <c r="J56" s="3020">
        <f t="shared" si="22"/>
        <v>19020.636109999999</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136950.17876975701</v>
      </c>
      <c r="D10" s="3491" t="s">
        <v>199</v>
      </c>
      <c r="E10" s="3491">
        <v>32.702706208999999</v>
      </c>
      <c r="F10" s="3491">
        <v>456.32697050000002</v>
      </c>
      <c r="G10" s="3491" t="s">
        <v>199</v>
      </c>
      <c r="H10" s="3491">
        <v>0.80834425300000001</v>
      </c>
      <c r="I10" s="3491" t="s">
        <v>199</v>
      </c>
      <c r="J10" s="3491">
        <v>22.927631731000002</v>
      </c>
      <c r="K10" s="3491" t="s">
        <v>199</v>
      </c>
      <c r="L10" s="3491" t="s">
        <v>199</v>
      </c>
      <c r="M10" s="3492">
        <f>IF(SUM(C10:L10)=0,"NO",SUM(C10:L10))</f>
        <v>137462.94442245</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7.2576534339999998</v>
      </c>
      <c r="D12" s="3491" t="s">
        <v>199</v>
      </c>
      <c r="E12" s="3491">
        <v>39772.965839634999</v>
      </c>
      <c r="F12" s="3491" t="s">
        <v>274</v>
      </c>
      <c r="G12" s="3491" t="s">
        <v>199</v>
      </c>
      <c r="H12" s="3491" t="s">
        <v>274</v>
      </c>
      <c r="I12" s="3491" t="s">
        <v>199</v>
      </c>
      <c r="J12" s="3491" t="s">
        <v>274</v>
      </c>
      <c r="K12" s="3491" t="s">
        <v>199</v>
      </c>
      <c r="L12" s="3491" t="s">
        <v>199</v>
      </c>
      <c r="M12" s="3492">
        <f t="shared" si="0"/>
        <v>39780.223493068996</v>
      </c>
    </row>
    <row r="13" spans="2:13" ht="18" customHeight="1" x14ac:dyDescent="0.2">
      <c r="B13" s="2303" t="s">
        <v>1296</v>
      </c>
      <c r="C13" s="3491">
        <v>351.84013574099998</v>
      </c>
      <c r="D13" s="3491" t="s">
        <v>199</v>
      </c>
      <c r="E13" s="3491" t="s">
        <v>274</v>
      </c>
      <c r="F13" s="3491">
        <v>515894.08614733798</v>
      </c>
      <c r="G13" s="3491" t="s">
        <v>199</v>
      </c>
      <c r="H13" s="3491" t="s">
        <v>274</v>
      </c>
      <c r="I13" s="3491" t="s">
        <v>199</v>
      </c>
      <c r="J13" s="3491" t="s">
        <v>274</v>
      </c>
      <c r="K13" s="3491" t="s">
        <v>199</v>
      </c>
      <c r="L13" s="3491" t="s">
        <v>199</v>
      </c>
      <c r="M13" s="3492">
        <f t="shared" si="0"/>
        <v>516245.92628307897</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6.3561984359999997</v>
      </c>
      <c r="D15" s="3491" t="s">
        <v>199</v>
      </c>
      <c r="E15" s="3491">
        <v>0.63304705100000003</v>
      </c>
      <c r="F15" s="3491">
        <v>2.443871627</v>
      </c>
      <c r="G15" s="3491" t="s">
        <v>199</v>
      </c>
      <c r="H15" s="3491">
        <v>13404.560301771</v>
      </c>
      <c r="I15" s="3491" t="s">
        <v>199</v>
      </c>
      <c r="J15" s="3491" t="s">
        <v>199</v>
      </c>
      <c r="K15" s="3491" t="s">
        <v>199</v>
      </c>
      <c r="L15" s="3491" t="s">
        <v>199</v>
      </c>
      <c r="M15" s="3492">
        <f t="shared" si="0"/>
        <v>13413.993418885</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4.7153435960000003</v>
      </c>
      <c r="D17" s="3491" t="s">
        <v>199</v>
      </c>
      <c r="E17" s="3491" t="s">
        <v>199</v>
      </c>
      <c r="F17" s="3491" t="s">
        <v>199</v>
      </c>
      <c r="G17" s="3491" t="s">
        <v>199</v>
      </c>
      <c r="H17" s="3491" t="s">
        <v>199</v>
      </c>
      <c r="I17" s="3491" t="s">
        <v>199</v>
      </c>
      <c r="J17" s="3491">
        <v>1228.5681931009999</v>
      </c>
      <c r="K17" s="3491" t="s">
        <v>199</v>
      </c>
      <c r="L17" s="3491" t="s">
        <v>199</v>
      </c>
      <c r="M17" s="3492">
        <f t="shared" si="0"/>
        <v>1233.2835366969998</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137320.34810096401</v>
      </c>
      <c r="D20" s="3493" t="str">
        <f t="shared" ref="D20:L20" si="1">IF(SUM(D10:D19)=0,"NO",SUM(D10:D19))</f>
        <v>NO</v>
      </c>
      <c r="E20" s="3493">
        <f t="shared" si="1"/>
        <v>39806.301592894997</v>
      </c>
      <c r="F20" s="3493">
        <f t="shared" si="1"/>
        <v>516352.85698946496</v>
      </c>
      <c r="G20" s="3493" t="str">
        <f t="shared" si="1"/>
        <v>NO</v>
      </c>
      <c r="H20" s="3493">
        <f t="shared" si="1"/>
        <v>13405.368646024001</v>
      </c>
      <c r="I20" s="3493" t="str">
        <f t="shared" si="1"/>
        <v>NO</v>
      </c>
      <c r="J20" s="3493">
        <f t="shared" si="1"/>
        <v>1251.4958248319999</v>
      </c>
      <c r="K20" s="3493">
        <f t="shared" si="1"/>
        <v>60692.328845821001</v>
      </c>
      <c r="L20" s="3493" t="str">
        <f t="shared" si="1"/>
        <v>NO</v>
      </c>
      <c r="M20" s="3492">
        <f t="shared" si="0"/>
        <v>768828.700000001</v>
      </c>
    </row>
    <row r="21" spans="2:13" ht="18" customHeight="1" thickBot="1" x14ac:dyDescent="0.25">
      <c r="B21" s="2305" t="s">
        <v>1304</v>
      </c>
      <c r="C21" s="3494">
        <f>IF(SUM(C20)=0,"NO",C20-M10)</f>
        <v>-142.59632148599485</v>
      </c>
      <c r="D21" s="3494" t="str">
        <f>IF(SUM(D20)=0,"NO",D20-M11)</f>
        <v>NO</v>
      </c>
      <c r="E21" s="3494">
        <f>IF(SUM(E20)=0,"NO",E20-M12)</f>
        <v>26.078099826001562</v>
      </c>
      <c r="F21" s="3494">
        <f>IF(SUM(F20)=0,"NO",F20-M13)</f>
        <v>106.93070638598874</v>
      </c>
      <c r="G21" s="3494" t="str">
        <f>IF(SUM(G20)=0,"NO",G20-M14)</f>
        <v>NO</v>
      </c>
      <c r="H21" s="3494">
        <f>IF(SUM(H20)=0,"NO",H20-M15)</f>
        <v>-8.6247728609996557</v>
      </c>
      <c r="I21" s="3494" t="str">
        <f>IF(SUM(I20)=0,"NO",I20-M16)</f>
        <v>NO</v>
      </c>
      <c r="J21" s="3494">
        <f>IF(SUM(J20)=0,"NO",J20-M17)</f>
        <v>18.212288135000108</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137433.30943207425</v>
      </c>
      <c r="E10" s="3498">
        <f t="shared" ref="E10:U10" si="0">IF(SUM(E11,E16)=0,"IE",SUM(E11,E16))</f>
        <v>137320.34810096317</v>
      </c>
      <c r="F10" s="3499">
        <f t="shared" si="0"/>
        <v>112.96133111109167</v>
      </c>
      <c r="G10" s="3500">
        <f t="shared" ref="G10:K11" si="1">IFERROR(IF(SUM($D10)=0,"NA",N10/$D10),"NA")</f>
        <v>7.2186116432107456E-2</v>
      </c>
      <c r="H10" s="3057">
        <f t="shared" si="1"/>
        <v>-3.0662538414173946E-3</v>
      </c>
      <c r="I10" s="3057">
        <f t="shared" si="1"/>
        <v>6.9119862590690057E-2</v>
      </c>
      <c r="J10" s="3057">
        <f t="shared" si="1"/>
        <v>7.6681485491293597E-3</v>
      </c>
      <c r="K10" s="3057">
        <f t="shared" si="1"/>
        <v>1.0478939661455433E-2</v>
      </c>
      <c r="L10" s="3057">
        <f>IFERROR(IF(SUM(E10)=0,"NA",S10/E10),"NA")</f>
        <v>-5.401814900904146E-3</v>
      </c>
      <c r="M10" s="3106">
        <f>IFERROR(IF(SUM(F10)=0,"NA",T10/F10),"NA")</f>
        <v>1.1385607227812051E-2</v>
      </c>
      <c r="N10" s="3501">
        <f t="shared" si="0"/>
        <v>9920.7768763135646</v>
      </c>
      <c r="O10" s="3502">
        <f t="shared" si="0"/>
        <v>-421.40541298480315</v>
      </c>
      <c r="P10" s="3502">
        <f t="shared" si="0"/>
        <v>9499.37146332876</v>
      </c>
      <c r="Q10" s="3502">
        <f t="shared" si="0"/>
        <v>1053.8590323236065</v>
      </c>
      <c r="R10" s="3502">
        <f t="shared" si="0"/>
        <v>1440.1553570128399</v>
      </c>
      <c r="S10" s="3502">
        <f t="shared" si="0"/>
        <v>-741.77910256912719</v>
      </c>
      <c r="T10" s="3503">
        <f t="shared" si="0"/>
        <v>1.2861333479617156</v>
      </c>
      <c r="U10" s="4260">
        <f t="shared" si="0"/>
        <v>-41260.607239294819</v>
      </c>
      <c r="W10" s="2422"/>
    </row>
    <row r="11" spans="2:23" ht="18" customHeight="1" x14ac:dyDescent="0.2">
      <c r="B11" s="492" t="s">
        <v>1253</v>
      </c>
      <c r="C11" s="2282"/>
      <c r="D11" s="3504">
        <f>IF(SUM(D12:D15)=0,"IE",SUM(D12:D15))</f>
        <v>131111.404604718</v>
      </c>
      <c r="E11" s="3505">
        <f t="shared" ref="E11:U11" si="2">IF(SUM(E12:E15)=0,"IE",SUM(E12:E15))</f>
        <v>131111.404604718</v>
      </c>
      <c r="F11" s="3506" t="str">
        <f t="shared" si="2"/>
        <v>IE</v>
      </c>
      <c r="G11" s="3500">
        <f t="shared" si="1"/>
        <v>2.9691470638575426E-2</v>
      </c>
      <c r="H11" s="3057">
        <f t="shared" si="1"/>
        <v>-3.1947511051102404E-3</v>
      </c>
      <c r="I11" s="3057">
        <f t="shared" si="1"/>
        <v>2.6496719533465184E-2</v>
      </c>
      <c r="J11" s="3057">
        <f t="shared" si="1"/>
        <v>5.000383095067955E-3</v>
      </c>
      <c r="K11" s="3057">
        <f t="shared" si="1"/>
        <v>8.5189483776461281E-3</v>
      </c>
      <c r="L11" s="3057">
        <f t="shared" ref="L11:L28" si="3">IFERROR(IF(SUM(E11)=0,"NA",S11/E11),"NA")</f>
        <v>1.1133074864227972E-2</v>
      </c>
      <c r="M11" s="3106" t="str">
        <f t="shared" ref="M11:M28" si="4">IFERROR(IF(SUM(F11)=0,"NA",T11/F11),"NA")</f>
        <v>NA</v>
      </c>
      <c r="N11" s="3087">
        <f t="shared" si="2"/>
        <v>3892.8904202033673</v>
      </c>
      <c r="O11" s="3087">
        <f t="shared" si="2"/>
        <v>-418.8683047534787</v>
      </c>
      <c r="P11" s="3087">
        <f t="shared" si="2"/>
        <v>3474.0221154498886</v>
      </c>
      <c r="Q11" s="3087">
        <f t="shared" si="2"/>
        <v>655.60725115604669</v>
      </c>
      <c r="R11" s="3507">
        <f t="shared" si="2"/>
        <v>1116.9312875482674</v>
      </c>
      <c r="S11" s="3507">
        <f t="shared" si="2"/>
        <v>1459.6730830184097</v>
      </c>
      <c r="T11" s="3507" t="str">
        <f t="shared" si="2"/>
        <v>IE</v>
      </c>
      <c r="U11" s="4261">
        <f t="shared" si="2"/>
        <v>-24589.523702966246</v>
      </c>
      <c r="W11" s="2423"/>
    </row>
    <row r="12" spans="2:23" ht="18" customHeight="1" x14ac:dyDescent="0.2">
      <c r="B12" s="490"/>
      <c r="C12" s="498" t="s">
        <v>1339</v>
      </c>
      <c r="D12" s="3509">
        <f>IF(SUM(E12:F12)=0,E12,SUM(E12:F12))</f>
        <v>17563.009447646695</v>
      </c>
      <c r="E12" s="3510">
        <v>17563.009447646695</v>
      </c>
      <c r="F12" s="3496" t="s">
        <v>274</v>
      </c>
      <c r="G12" s="3500">
        <f>IFERROR(IF(SUM($D12)=0,"NA",N12/$D12),"NA")</f>
        <v>0.14636671453950095</v>
      </c>
      <c r="H12" s="3057" t="str">
        <f>IFERROR(IF(SUM($D12)=0,"NA",O12/$D12),"NA")</f>
        <v>NA</v>
      </c>
      <c r="I12" s="3057">
        <f>IFERROR(IF(SUM($D12)=0,"NA",P12/$D12),"NA")</f>
        <v>0.14636671453950095</v>
      </c>
      <c r="J12" s="3057">
        <f>IFERROR(IF(SUM($D12)=0,"NA",Q12/$D12),"NA")</f>
        <v>1.3353506862331645E-2</v>
      </c>
      <c r="K12" s="3057">
        <f>IFERROR(IF(SUM($D12)=0,"NA",R12/$D12),"NA")</f>
        <v>2.6643726180733244E-2</v>
      </c>
      <c r="L12" s="3057">
        <f t="shared" si="3"/>
        <v>4.6332482996204946E-2</v>
      </c>
      <c r="M12" s="3106" t="str">
        <f t="shared" si="4"/>
        <v>NA</v>
      </c>
      <c r="N12" s="2917">
        <v>2570.6399902782623</v>
      </c>
      <c r="O12" s="2917" t="s">
        <v>274</v>
      </c>
      <c r="P12" s="3087">
        <f>IF(SUM(N12:O12)=0,N12,SUM(N12:O12))</f>
        <v>2570.6399902782623</v>
      </c>
      <c r="Q12" s="2917">
        <v>234.52776718234566</v>
      </c>
      <c r="R12" s="2918">
        <v>467.94401463272953</v>
      </c>
      <c r="S12" s="2918">
        <v>813.73783659527726</v>
      </c>
      <c r="T12" s="2918" t="s">
        <v>274</v>
      </c>
      <c r="U12" s="4262">
        <f>IF(SUM(P12:T12)=0,P12,SUM(P12:T12)*-44/12)</f>
        <v>-14985.115231858254</v>
      </c>
      <c r="W12" s="2424"/>
    </row>
    <row r="13" spans="2:23" ht="18" customHeight="1" x14ac:dyDescent="0.2">
      <c r="B13" s="490"/>
      <c r="C13" s="498" t="s">
        <v>1340</v>
      </c>
      <c r="D13" s="3509">
        <f t="shared" ref="D13:D15" si="5">IF(SUM(E13:F13)=0,E13,SUM(E13:F13))</f>
        <v>681.45988290814864</v>
      </c>
      <c r="E13" s="3510">
        <v>681.45988290814864</v>
      </c>
      <c r="F13" s="3496" t="s">
        <v>274</v>
      </c>
      <c r="G13" s="3500">
        <f t="shared" ref="G13:K28" si="6">IFERROR(IF(SUM($D13)=0,"NA",N13/$D13),"NA")</f>
        <v>1.366865464725477</v>
      </c>
      <c r="H13" s="3057" t="str">
        <f t="shared" si="6"/>
        <v>NA</v>
      </c>
      <c r="I13" s="3057">
        <f t="shared" si="6"/>
        <v>1.366865464725477</v>
      </c>
      <c r="J13" s="3057">
        <f t="shared" si="6"/>
        <v>0.35440053157110807</v>
      </c>
      <c r="K13" s="3057">
        <f t="shared" si="6"/>
        <v>0.3136226102249558</v>
      </c>
      <c r="L13" s="3057">
        <f t="shared" si="3"/>
        <v>0.94786980514037922</v>
      </c>
      <c r="M13" s="3106" t="str">
        <f t="shared" si="4"/>
        <v>NA</v>
      </c>
      <c r="N13" s="2917">
        <v>931.46397954301574</v>
      </c>
      <c r="O13" s="2917" t="s">
        <v>274</v>
      </c>
      <c r="P13" s="3087">
        <f t="shared" ref="P13:P15" si="7">IF(SUM(N13:O13)=0,N13,SUM(N13:O13))</f>
        <v>931.46397954301574</v>
      </c>
      <c r="Q13" s="2917">
        <v>241.50974474703293</v>
      </c>
      <c r="R13" s="2918">
        <v>213.72122724124631</v>
      </c>
      <c r="S13" s="2918">
        <v>645.93524642313253</v>
      </c>
      <c r="T13" s="2918" t="s">
        <v>274</v>
      </c>
      <c r="U13" s="4262">
        <f t="shared" ref="U13:U15" si="8">IF(SUM(P13:T13)=0,P13,SUM(P13:T13)*-44/12)</f>
        <v>-7452.977392499567</v>
      </c>
      <c r="W13" s="2424"/>
    </row>
    <row r="14" spans="2:23" ht="18" customHeight="1" x14ac:dyDescent="0.2">
      <c r="B14" s="490"/>
      <c r="C14" s="498" t="s">
        <v>1341</v>
      </c>
      <c r="D14" s="3509">
        <f t="shared" si="5"/>
        <v>112866.93527416316</v>
      </c>
      <c r="E14" s="3510">
        <v>112866.93527416316</v>
      </c>
      <c r="F14" s="3496" t="s">
        <v>274</v>
      </c>
      <c r="G14" s="3500">
        <f t="shared" si="6"/>
        <v>3.4623643269203366E-3</v>
      </c>
      <c r="H14" s="3057" t="str">
        <f t="shared" si="6"/>
        <v>NA</v>
      </c>
      <c r="I14" s="3057">
        <f t="shared" si="6"/>
        <v>3.4623643269203366E-3</v>
      </c>
      <c r="J14" s="3057">
        <f t="shared" si="6"/>
        <v>4.0456230273810982E-3</v>
      </c>
      <c r="K14" s="3057">
        <f t="shared" si="6"/>
        <v>3.8564531287838552E-3</v>
      </c>
      <c r="L14" s="3057" t="str">
        <f t="shared" si="3"/>
        <v>NA</v>
      </c>
      <c r="M14" s="3106" t="str">
        <f t="shared" si="4"/>
        <v>NA</v>
      </c>
      <c r="N14" s="2917">
        <v>390.78645038208913</v>
      </c>
      <c r="O14" s="2917" t="s">
        <v>274</v>
      </c>
      <c r="P14" s="3087">
        <f t="shared" si="7"/>
        <v>390.78645038208913</v>
      </c>
      <c r="Q14" s="2917">
        <v>456.61707237508642</v>
      </c>
      <c r="R14" s="2918">
        <v>435.26604567429138</v>
      </c>
      <c r="S14" s="2918" t="s">
        <v>205</v>
      </c>
      <c r="T14" s="2918" t="s">
        <v>205</v>
      </c>
      <c r="U14" s="4262">
        <f t="shared" si="8"/>
        <v>-4703.1217509153785</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-418.8683047534787</v>
      </c>
      <c r="P15" s="3087">
        <f t="shared" si="7"/>
        <v>-418.8683047534787</v>
      </c>
      <c r="Q15" s="2917">
        <v>-277.04733314841843</v>
      </c>
      <c r="R15" s="2918" t="s">
        <v>205</v>
      </c>
      <c r="S15" s="2918" t="s">
        <v>205</v>
      </c>
      <c r="T15" s="2918" t="s">
        <v>205</v>
      </c>
      <c r="U15" s="4262">
        <f t="shared" si="8"/>
        <v>2551.690672306956</v>
      </c>
      <c r="W15" s="2424"/>
    </row>
    <row r="16" spans="2:23" ht="18" customHeight="1" x14ac:dyDescent="0.2">
      <c r="B16" s="475" t="s">
        <v>1343</v>
      </c>
      <c r="C16" s="494"/>
      <c r="D16" s="3509">
        <f>IF(SUM(D17,D19,D23,D25,D27)=0,"IE",SUM(D17,D19,D23,D25,D27))</f>
        <v>6321.9048273562439</v>
      </c>
      <c r="E16" s="3512">
        <f t="shared" ref="E16:T16" si="9">IF(SUM(E17,E19,E23,E25,E27)=0,"IE",SUM(E17,E19,E23,E25,E27))</f>
        <v>6208.9434962451523</v>
      </c>
      <c r="F16" s="3513">
        <f t="shared" si="9"/>
        <v>112.96133111109167</v>
      </c>
      <c r="G16" s="3500">
        <f t="shared" si="6"/>
        <v>0.95349212313767095</v>
      </c>
      <c r="H16" s="3057">
        <f t="shared" si="6"/>
        <v>-4.0132021923927906E-4</v>
      </c>
      <c r="I16" s="3057">
        <f t="shared" si="6"/>
        <v>0.95309080291843173</v>
      </c>
      <c r="J16" s="3057">
        <f t="shared" si="6"/>
        <v>6.2995535687952547E-2</v>
      </c>
      <c r="K16" s="3057">
        <f t="shared" si="6"/>
        <v>5.1127639262443854E-2</v>
      </c>
      <c r="L16" s="3057">
        <f t="shared" si="3"/>
        <v>-0.35456147844135821</v>
      </c>
      <c r="M16" s="3106">
        <f t="shared" si="4"/>
        <v>1.1385607227812051E-2</v>
      </c>
      <c r="N16" s="3057">
        <f t="shared" si="9"/>
        <v>6027.8864561101964</v>
      </c>
      <c r="O16" s="3057">
        <f t="shared" si="9"/>
        <v>-2.5371082313244644</v>
      </c>
      <c r="P16" s="3057">
        <f t="shared" si="9"/>
        <v>6025.3493478788723</v>
      </c>
      <c r="Q16" s="3057">
        <f t="shared" si="9"/>
        <v>398.25178116755978</v>
      </c>
      <c r="R16" s="3514">
        <f t="shared" si="9"/>
        <v>323.22406946457244</v>
      </c>
      <c r="S16" s="3514">
        <f t="shared" si="9"/>
        <v>-2201.4521855875369</v>
      </c>
      <c r="T16" s="3514">
        <f t="shared" si="9"/>
        <v>1.2861333479617156</v>
      </c>
      <c r="U16" s="4262">
        <f>IF(SUM(U17,U19,U23,U25,U27)=0,"IE",SUM(U17,U19,U23,U25,U27))</f>
        <v>-16671.083536328573</v>
      </c>
      <c r="W16" s="2048"/>
    </row>
    <row r="17" spans="2:23" ht="18" customHeight="1" x14ac:dyDescent="0.2">
      <c r="B17" s="477" t="s">
        <v>1344</v>
      </c>
      <c r="C17" s="494"/>
      <c r="D17" s="3509">
        <f>D18</f>
        <v>61.415367731964643</v>
      </c>
      <c r="E17" s="3512">
        <f t="shared" ref="E17:U17" si="10">E18</f>
        <v>61.415367731964643</v>
      </c>
      <c r="F17" s="3513" t="str">
        <f t="shared" si="10"/>
        <v>NO</v>
      </c>
      <c r="G17" s="3500">
        <f t="shared" si="6"/>
        <v>1.52752934063434</v>
      </c>
      <c r="H17" s="3057" t="str">
        <f t="shared" si="6"/>
        <v>NA</v>
      </c>
      <c r="I17" s="3057">
        <f t="shared" si="6"/>
        <v>1.52752934063434</v>
      </c>
      <c r="J17" s="3057">
        <f t="shared" si="6"/>
        <v>-2.4766574189594572E-2</v>
      </c>
      <c r="K17" s="3057">
        <f t="shared" si="6"/>
        <v>-1.939354544976479E-3</v>
      </c>
      <c r="L17" s="3057">
        <f t="shared" si="3"/>
        <v>-0.42496370246970577</v>
      </c>
      <c r="M17" s="3106" t="str">
        <f t="shared" si="4"/>
        <v>NA</v>
      </c>
      <c r="N17" s="3057">
        <f t="shared" si="10"/>
        <v>93.813776176423474</v>
      </c>
      <c r="O17" s="3057" t="str">
        <f t="shared" si="10"/>
        <v>IE</v>
      </c>
      <c r="P17" s="3057">
        <f t="shared" si="10"/>
        <v>93.813776176423474</v>
      </c>
      <c r="Q17" s="3057">
        <f t="shared" si="10"/>
        <v>-1.521048261314935</v>
      </c>
      <c r="R17" s="3514">
        <f t="shared" si="10"/>
        <v>-0.11910617254238742</v>
      </c>
      <c r="S17" s="3514">
        <f t="shared" si="10"/>
        <v>-26.099302059914191</v>
      </c>
      <c r="T17" s="3514" t="str">
        <f t="shared" si="10"/>
        <v>NO</v>
      </c>
      <c r="U17" s="4262">
        <f t="shared" si="10"/>
        <v>-242.2725055030572</v>
      </c>
      <c r="W17" s="2048"/>
    </row>
    <row r="18" spans="2:23" ht="18" customHeight="1" x14ac:dyDescent="0.2">
      <c r="B18" s="478"/>
      <c r="C18" s="498" t="s">
        <v>409</v>
      </c>
      <c r="D18" s="3509">
        <f>IF(SUM(E18:F18)=0,E18,SUM(E18:F18))</f>
        <v>61.415367731964643</v>
      </c>
      <c r="E18" s="3510">
        <v>61.415367731964643</v>
      </c>
      <c r="F18" s="3496" t="s">
        <v>199</v>
      </c>
      <c r="G18" s="3500">
        <f t="shared" si="6"/>
        <v>1.52752934063434</v>
      </c>
      <c r="H18" s="3057" t="str">
        <f t="shared" si="6"/>
        <v>NA</v>
      </c>
      <c r="I18" s="3057">
        <f t="shared" si="6"/>
        <v>1.52752934063434</v>
      </c>
      <c r="J18" s="3057">
        <f t="shared" si="6"/>
        <v>-2.4766574189594572E-2</v>
      </c>
      <c r="K18" s="3057">
        <f t="shared" si="6"/>
        <v>-1.939354544976479E-3</v>
      </c>
      <c r="L18" s="3057">
        <f t="shared" si="3"/>
        <v>-0.42496370246970577</v>
      </c>
      <c r="M18" s="3106" t="str">
        <f t="shared" si="4"/>
        <v>NA</v>
      </c>
      <c r="N18" s="2917">
        <v>93.813776176423474</v>
      </c>
      <c r="O18" s="2917" t="s">
        <v>274</v>
      </c>
      <c r="P18" s="3087">
        <f>IF(SUM(N18:O18)=0,N18,SUM(N18:O18))</f>
        <v>93.813776176423474</v>
      </c>
      <c r="Q18" s="2917">
        <v>-1.521048261314935</v>
      </c>
      <c r="R18" s="2918">
        <v>-0.11910617254238742</v>
      </c>
      <c r="S18" s="2918">
        <v>-26.099302059914191</v>
      </c>
      <c r="T18" s="2918" t="s">
        <v>199</v>
      </c>
      <c r="U18" s="4262">
        <f t="shared" ref="U18" si="11">IF(SUM(P18:T18)=0,P18,SUM(P18:T18)*-44/12)</f>
        <v>-242.2725055030572</v>
      </c>
      <c r="W18" s="2424"/>
    </row>
    <row r="19" spans="2:23" ht="18" customHeight="1" x14ac:dyDescent="0.2">
      <c r="B19" s="477" t="s">
        <v>1345</v>
      </c>
      <c r="C19" s="494"/>
      <c r="D19" s="3504">
        <f>IF(SUM(D20:D22)=0,"IE",SUM(D20:D22))</f>
        <v>6111.7614746899189</v>
      </c>
      <c r="E19" s="3512">
        <f t="shared" ref="E19:U19" si="12">IF(SUM(E20:E22)=0,"IE",SUM(E20:E22))</f>
        <v>6111.7614746899189</v>
      </c>
      <c r="F19" s="3513" t="str">
        <f t="shared" si="12"/>
        <v>IE</v>
      </c>
      <c r="G19" s="3500">
        <f t="shared" si="6"/>
        <v>0.79448255002193968</v>
      </c>
      <c r="H19" s="3057">
        <f t="shared" si="6"/>
        <v>-4.1511898686346965E-4</v>
      </c>
      <c r="I19" s="3057">
        <f t="shared" si="6"/>
        <v>0.79406743103507638</v>
      </c>
      <c r="J19" s="3057">
        <f t="shared" si="6"/>
        <v>8.2020318139411547E-2</v>
      </c>
      <c r="K19" s="3057">
        <f t="shared" si="6"/>
        <v>5.037492636798261E-2</v>
      </c>
      <c r="L19" s="3057">
        <f t="shared" si="3"/>
        <v>-0.35060861511054525</v>
      </c>
      <c r="M19" s="3106" t="str">
        <f t="shared" si="4"/>
        <v>NA</v>
      </c>
      <c r="N19" s="3057">
        <f t="shared" si="12"/>
        <v>4855.6878415374977</v>
      </c>
      <c r="O19" s="3057">
        <f t="shared" si="12"/>
        <v>-2.5371082313244644</v>
      </c>
      <c r="P19" s="3057">
        <f t="shared" si="12"/>
        <v>4853.1507333061736</v>
      </c>
      <c r="Q19" s="3057">
        <f t="shared" si="12"/>
        <v>501.28862054626626</v>
      </c>
      <c r="R19" s="3514">
        <f t="shared" si="12"/>
        <v>307.87953426617747</v>
      </c>
      <c r="S19" s="3514">
        <f t="shared" si="12"/>
        <v>-2142.8362265270162</v>
      </c>
      <c r="T19" s="3514" t="str">
        <f t="shared" si="12"/>
        <v>IE</v>
      </c>
      <c r="U19" s="4262">
        <f t="shared" si="12"/>
        <v>-12904.769759169205</v>
      </c>
      <c r="W19" s="2048"/>
    </row>
    <row r="20" spans="2:23" ht="18" customHeight="1" x14ac:dyDescent="0.2">
      <c r="B20" s="486"/>
      <c r="C20" s="498" t="s">
        <v>1346</v>
      </c>
      <c r="D20" s="3509">
        <f>IF(SUM(E20:F20)=0,E20,SUM(E20:F20))</f>
        <v>1586.4475780741532</v>
      </c>
      <c r="E20" s="3510">
        <v>1586.4475780741532</v>
      </c>
      <c r="F20" s="3496" t="s">
        <v>199</v>
      </c>
      <c r="G20" s="3500">
        <f t="shared" si="6"/>
        <v>1.4561571659065606</v>
      </c>
      <c r="H20" s="3057" t="str">
        <f t="shared" si="6"/>
        <v>NA</v>
      </c>
      <c r="I20" s="3057">
        <f t="shared" si="6"/>
        <v>1.4561571659065606</v>
      </c>
      <c r="J20" s="3057">
        <f t="shared" si="6"/>
        <v>-1.2309399421356598E-2</v>
      </c>
      <c r="K20" s="3057">
        <f t="shared" si="6"/>
        <v>8.2925412478793824E-3</v>
      </c>
      <c r="L20" s="3057">
        <f t="shared" si="3"/>
        <v>-0.51823433250157847</v>
      </c>
      <c r="M20" s="3106" t="str">
        <f t="shared" si="4"/>
        <v>NA</v>
      </c>
      <c r="N20" s="2917">
        <v>2310.1170091477861</v>
      </c>
      <c r="O20" s="2917" t="s">
        <v>274</v>
      </c>
      <c r="P20" s="3087">
        <f>IF(SUM(N20:O20)=0,N20,SUM(N20:O20))</f>
        <v>2310.1170091477861</v>
      </c>
      <c r="Q20" s="2917">
        <v>-19.528216899558558</v>
      </c>
      <c r="R20" s="2918">
        <v>13.155681978778262</v>
      </c>
      <c r="S20" s="2918">
        <v>-822.15160167200452</v>
      </c>
      <c r="T20" s="2918" t="s">
        <v>199</v>
      </c>
      <c r="U20" s="4262">
        <f t="shared" ref="U20:U22" si="13">IF(SUM(P20:T20)=0,P20,SUM(P20:T20)*-44/12)</f>
        <v>-5432.5071993683387</v>
      </c>
      <c r="W20" s="2424"/>
    </row>
    <row r="21" spans="2:23" ht="18" customHeight="1" x14ac:dyDescent="0.2">
      <c r="B21" s="490"/>
      <c r="C21" s="498" t="s">
        <v>1347</v>
      </c>
      <c r="D21" s="3509">
        <f>IF(SUM(E21:F21)=0,E21,SUM(E21:F21))</f>
        <v>4525.3138966157658</v>
      </c>
      <c r="E21" s="3510">
        <v>4525.3138966157658</v>
      </c>
      <c r="F21" s="3496" t="s">
        <v>199</v>
      </c>
      <c r="G21" s="3500">
        <f t="shared" si="6"/>
        <v>0.56251806847993568</v>
      </c>
      <c r="H21" s="3057" t="str">
        <f t="shared" si="6"/>
        <v>NA</v>
      </c>
      <c r="I21" s="3057">
        <f t="shared" si="6"/>
        <v>0.56251806847993568</v>
      </c>
      <c r="J21" s="3057">
        <f t="shared" si="6"/>
        <v>0.11511432559460928</v>
      </c>
      <c r="K21" s="3057">
        <f t="shared" si="6"/>
        <v>6.5127825167621417E-2</v>
      </c>
      <c r="L21" s="3057">
        <f t="shared" si="3"/>
        <v>-0.29184376046105426</v>
      </c>
      <c r="M21" s="3106" t="str">
        <f t="shared" si="4"/>
        <v>NA</v>
      </c>
      <c r="N21" s="2917">
        <v>2545.570832389712</v>
      </c>
      <c r="O21" s="2917" t="s">
        <v>274</v>
      </c>
      <c r="P21" s="3087">
        <f t="shared" ref="P21:P28" si="14">IF(SUM(N21:O21)=0,N21,SUM(N21:O21))</f>
        <v>2545.570832389712</v>
      </c>
      <c r="Q21" s="2917">
        <v>520.92845731283728</v>
      </c>
      <c r="R21" s="2918">
        <v>294.72385228739921</v>
      </c>
      <c r="S21" s="2918">
        <v>-1320.6846248550116</v>
      </c>
      <c r="T21" s="2918" t="s">
        <v>199</v>
      </c>
      <c r="U21" s="4262">
        <f t="shared" si="13"/>
        <v>-7481.9745628281016</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-2.5371082313244644</v>
      </c>
      <c r="P22" s="3087">
        <f t="shared" si="14"/>
        <v>-2.5371082313244644</v>
      </c>
      <c r="Q22" s="2917">
        <v>-0.11161986701244642</v>
      </c>
      <c r="R22" s="2918" t="s">
        <v>205</v>
      </c>
      <c r="S22" s="2918" t="s">
        <v>205</v>
      </c>
      <c r="T22" s="2918" t="s">
        <v>205</v>
      </c>
      <c r="U22" s="4262">
        <f t="shared" si="13"/>
        <v>9.7120030272353386</v>
      </c>
      <c r="W22" s="2424"/>
    </row>
    <row r="23" spans="2:23" ht="18" customHeight="1" x14ac:dyDescent="0.2">
      <c r="B23" s="477" t="s">
        <v>1348</v>
      </c>
      <c r="C23" s="494"/>
      <c r="D23" s="3509">
        <f>D24</f>
        <v>112.96133111109167</v>
      </c>
      <c r="E23" s="3512" t="str">
        <f t="shared" ref="E23" si="15">E24</f>
        <v>NO</v>
      </c>
      <c r="F23" s="3513">
        <f t="shared" ref="F23" si="16">F24</f>
        <v>112.96133111109167</v>
      </c>
      <c r="G23" s="3500">
        <f t="shared" si="6"/>
        <v>8.972753293244951</v>
      </c>
      <c r="H23" s="3057" t="str">
        <f t="shared" si="6"/>
        <v>NA</v>
      </c>
      <c r="I23" s="3057">
        <f t="shared" si="6"/>
        <v>8.972753293244951</v>
      </c>
      <c r="J23" s="3057">
        <f t="shared" si="6"/>
        <v>-0.88443177114484994</v>
      </c>
      <c r="K23" s="3057">
        <f t="shared" si="6"/>
        <v>0.13574475885013254</v>
      </c>
      <c r="L23" s="3057" t="str">
        <f t="shared" si="3"/>
        <v>NA</v>
      </c>
      <c r="M23" s="3106">
        <f t="shared" si="4"/>
        <v>1.1385607227812051E-2</v>
      </c>
      <c r="N23" s="3057">
        <f t="shared" ref="N23" si="17">N24</f>
        <v>1013.574155736381</v>
      </c>
      <c r="O23" s="3057" t="str">
        <f t="shared" ref="O23" si="18">O24</f>
        <v>IE</v>
      </c>
      <c r="P23" s="3057">
        <f t="shared" ref="P23" si="19">P24</f>
        <v>1013.574155736381</v>
      </c>
      <c r="Q23" s="3057">
        <f t="shared" ref="Q23" si="20">Q24</f>
        <v>-99.906590145462644</v>
      </c>
      <c r="R23" s="3514">
        <f t="shared" ref="R23" si="21">R24</f>
        <v>15.333908651065114</v>
      </c>
      <c r="S23" s="3514" t="str">
        <f t="shared" ref="S23" si="22">S24</f>
        <v>NO</v>
      </c>
      <c r="T23" s="3514">
        <f t="shared" ref="T23" si="23">T24</f>
        <v>1.2861333479617156</v>
      </c>
      <c r="U23" s="4262">
        <f t="shared" ref="U23" si="24">U24</f>
        <v>-3411.0545611631328</v>
      </c>
      <c r="W23" s="2048"/>
    </row>
    <row r="24" spans="2:23" ht="18" customHeight="1" x14ac:dyDescent="0.2">
      <c r="B24" s="478"/>
      <c r="C24" s="498" t="s">
        <v>409</v>
      </c>
      <c r="D24" s="3509">
        <f>IF(SUM(E24:F24)=0,E24,SUM(E24:F24))</f>
        <v>112.96133111109167</v>
      </c>
      <c r="E24" s="3510" t="s">
        <v>199</v>
      </c>
      <c r="F24" s="3496">
        <v>112.96133111109167</v>
      </c>
      <c r="G24" s="3500">
        <f t="shared" si="6"/>
        <v>8.972753293244951</v>
      </c>
      <c r="H24" s="3057" t="str">
        <f t="shared" si="6"/>
        <v>NA</v>
      </c>
      <c r="I24" s="3057">
        <f t="shared" si="6"/>
        <v>8.972753293244951</v>
      </c>
      <c r="J24" s="3057">
        <f t="shared" si="6"/>
        <v>-0.88443177114484994</v>
      </c>
      <c r="K24" s="3057">
        <f t="shared" si="6"/>
        <v>0.13574475885013254</v>
      </c>
      <c r="L24" s="3057" t="str">
        <f t="shared" si="3"/>
        <v>NA</v>
      </c>
      <c r="M24" s="3106">
        <f t="shared" si="4"/>
        <v>1.1385607227812051E-2</v>
      </c>
      <c r="N24" s="2917">
        <v>1013.574155736381</v>
      </c>
      <c r="O24" s="2917" t="s">
        <v>274</v>
      </c>
      <c r="P24" s="3087">
        <f t="shared" si="14"/>
        <v>1013.574155736381</v>
      </c>
      <c r="Q24" s="2917">
        <v>-99.906590145462644</v>
      </c>
      <c r="R24" s="2918">
        <v>15.333908651065114</v>
      </c>
      <c r="S24" s="2918" t="s">
        <v>199</v>
      </c>
      <c r="T24" s="2918">
        <v>1.2861333479617156</v>
      </c>
      <c r="U24" s="4262">
        <f t="shared" ref="U24" si="25">IF(SUM(P24:T24)=0,P24,SUM(P24:T24)*-44/12)</f>
        <v>-3411.0545611631328</v>
      </c>
      <c r="W24" s="2424"/>
    </row>
    <row r="25" spans="2:23" ht="18" customHeight="1" x14ac:dyDescent="0.2">
      <c r="B25" s="477" t="s">
        <v>1349</v>
      </c>
      <c r="C25" s="494"/>
      <c r="D25" s="3509">
        <f>D26</f>
        <v>35.766653823269138</v>
      </c>
      <c r="E25" s="3512">
        <f t="shared" ref="E25" si="26">E26</f>
        <v>35.766653823269138</v>
      </c>
      <c r="F25" s="3513" t="str">
        <f t="shared" ref="F25" si="27">F26</f>
        <v>NO</v>
      </c>
      <c r="G25" s="3500">
        <f t="shared" si="6"/>
        <v>1.8120421043617234</v>
      </c>
      <c r="H25" s="3057" t="str">
        <f t="shared" si="6"/>
        <v>NA</v>
      </c>
      <c r="I25" s="3057">
        <f t="shared" si="6"/>
        <v>1.8120421043617234</v>
      </c>
      <c r="J25" s="3057">
        <f t="shared" si="6"/>
        <v>-4.4991655632094431E-2</v>
      </c>
      <c r="K25" s="3057">
        <f t="shared" si="6"/>
        <v>3.627197571048377E-3</v>
      </c>
      <c r="L25" s="3057">
        <f t="shared" si="3"/>
        <v>-0.90913332740820951</v>
      </c>
      <c r="M25" s="3106" t="str">
        <f t="shared" si="4"/>
        <v>NA</v>
      </c>
      <c r="N25" s="3057">
        <f t="shared" ref="N25" si="28">N26</f>
        <v>64.810682659893885</v>
      </c>
      <c r="O25" s="3057" t="str">
        <f t="shared" ref="O25" si="29">O26</f>
        <v>IE</v>
      </c>
      <c r="P25" s="3057">
        <f t="shared" ref="P25" si="30">P26</f>
        <v>64.810682659893885</v>
      </c>
      <c r="Q25" s="3057">
        <f t="shared" ref="Q25" si="31">Q26</f>
        <v>-1.6092009719288587</v>
      </c>
      <c r="R25" s="3514">
        <f t="shared" ref="R25" si="32">R26</f>
        <v>0.12973271987228996</v>
      </c>
      <c r="S25" s="3514">
        <f t="shared" ref="S25" si="33">S26</f>
        <v>-32.51665700060623</v>
      </c>
      <c r="T25" s="3514" t="str">
        <f t="shared" ref="T25" si="34">T26</f>
        <v>NO</v>
      </c>
      <c r="U25" s="4262">
        <f t="shared" ref="U25" si="35">U26</f>
        <v>-112.98671049318064</v>
      </c>
      <c r="W25" s="2048"/>
    </row>
    <row r="26" spans="2:23" ht="18" customHeight="1" x14ac:dyDescent="0.2">
      <c r="B26" s="478"/>
      <c r="C26" s="498" t="s">
        <v>409</v>
      </c>
      <c r="D26" s="3509">
        <f>IF(SUM(E26:F26)=0,E26,SUM(E26:F26))</f>
        <v>35.766653823269138</v>
      </c>
      <c r="E26" s="3510">
        <v>35.766653823269138</v>
      </c>
      <c r="F26" s="3496" t="s">
        <v>199</v>
      </c>
      <c r="G26" s="3500">
        <f t="shared" si="6"/>
        <v>1.8120421043617234</v>
      </c>
      <c r="H26" s="3057" t="str">
        <f t="shared" si="6"/>
        <v>NA</v>
      </c>
      <c r="I26" s="3057">
        <f t="shared" si="6"/>
        <v>1.8120421043617234</v>
      </c>
      <c r="J26" s="3057">
        <f t="shared" si="6"/>
        <v>-4.4991655632094431E-2</v>
      </c>
      <c r="K26" s="3057">
        <f t="shared" si="6"/>
        <v>3.627197571048377E-3</v>
      </c>
      <c r="L26" s="3057">
        <f t="shared" si="3"/>
        <v>-0.90913332740820951</v>
      </c>
      <c r="M26" s="3106" t="str">
        <f t="shared" si="4"/>
        <v>NA</v>
      </c>
      <c r="N26" s="2917">
        <v>64.810682659893885</v>
      </c>
      <c r="O26" s="2917" t="s">
        <v>274</v>
      </c>
      <c r="P26" s="3087">
        <f t="shared" si="14"/>
        <v>64.810682659893885</v>
      </c>
      <c r="Q26" s="2917">
        <v>-1.6092009719288587</v>
      </c>
      <c r="R26" s="2918">
        <v>0.12973271987228996</v>
      </c>
      <c r="S26" s="2918">
        <v>-32.51665700060623</v>
      </c>
      <c r="T26" s="2918" t="s">
        <v>199</v>
      </c>
      <c r="U26" s="4262">
        <f t="shared" ref="U26" si="36">IF(SUM(P26:T26)=0,P26,SUM(P26:T26)*-44/12)</f>
        <v>-112.98671049318064</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39806.30159289555</v>
      </c>
      <c r="E10" s="3523">
        <f t="shared" ref="E10:F10" si="0">IF(SUM(E11,E13)=0,"IE",SUM(E11,E13))</f>
        <v>39803.30159289555</v>
      </c>
      <c r="F10" s="3524">
        <f t="shared" si="0"/>
        <v>3</v>
      </c>
      <c r="G10" s="3500">
        <f>IFERROR(IF(SUM($D10)=0,"NA",M10/$D10),"NA")</f>
        <v>7.750438899096746E-4</v>
      </c>
      <c r="H10" s="3523">
        <f t="shared" ref="H10:J10" si="1">IFERROR(IF(SUM($D10)=0,"NA",N10/$D10),"NA")</f>
        <v>-1.5111058591907735E-2</v>
      </c>
      <c r="I10" s="3523">
        <f t="shared" si="1"/>
        <v>-1.4336014701998061E-2</v>
      </c>
      <c r="J10" s="3523">
        <f t="shared" si="1"/>
        <v>-9.3398655453924163E-3</v>
      </c>
      <c r="K10" s="3525">
        <f>IFERROR(IF(SUM(E10)=0,"NA",Q10/E10),"NA")</f>
        <v>-2.5884743188037226E-2</v>
      </c>
      <c r="L10" s="3524">
        <f>IFERROR(IF(SUM(F10)=0,"NA",R10/F10),"NA")</f>
        <v>-12.475</v>
      </c>
      <c r="M10" s="3526">
        <f>IF(SUM(M11,M13)=0,"IE",SUM(M11,M13))</f>
        <v>30.851630829475443</v>
      </c>
      <c r="N10" s="3523">
        <f t="shared" ref="N10:S10" si="2">IF(SUM(N11,N13)=0,"IE",SUM(N11,N13))</f>
        <v>-601.51535569739485</v>
      </c>
      <c r="O10" s="3527">
        <f t="shared" si="2"/>
        <v>-570.66372486791943</v>
      </c>
      <c r="P10" s="3523">
        <f t="shared" si="2"/>
        <v>-371.78550473698442</v>
      </c>
      <c r="Q10" s="3525">
        <f t="shared" si="2"/>
        <v>-1030.2982397680944</v>
      </c>
      <c r="R10" s="3525">
        <f t="shared" si="2"/>
        <v>-37.424999999999997</v>
      </c>
      <c r="S10" s="3528">
        <f t="shared" si="2"/>
        <v>7370.6323877009927</v>
      </c>
      <c r="U10" s="2287"/>
    </row>
    <row r="11" spans="2:21" ht="18" customHeight="1" x14ac:dyDescent="0.2">
      <c r="B11" s="489" t="s">
        <v>1256</v>
      </c>
      <c r="C11" s="2282"/>
      <c r="D11" s="3529">
        <f>D12</f>
        <v>37691.519328109003</v>
      </c>
      <c r="E11" s="3057">
        <f t="shared" ref="E11" si="3">E12</f>
        <v>37691.519328109003</v>
      </c>
      <c r="F11" s="3057" t="str">
        <f t="shared" ref="F11" si="4">F12</f>
        <v>IE</v>
      </c>
      <c r="G11" s="3500">
        <f t="shared" ref="G11:G23" si="5">IFERROR(IF(SUM($D11)=0,"NA",M11/$D11),"NA")</f>
        <v>8.1852977485222743E-4</v>
      </c>
      <c r="H11" s="3057" t="str">
        <f t="shared" ref="H11:H23" si="6">IFERROR(IF(SUM($D11)=0,"NA",N11/$D11),"NA")</f>
        <v>NA</v>
      </c>
      <c r="I11" s="3057">
        <f t="shared" ref="I11:I23" si="7">IFERROR(IF(SUM($D11)=0,"NA",O11/$D11),"NA")</f>
        <v>8.1852977485222743E-4</v>
      </c>
      <c r="J11" s="3057" t="str">
        <f t="shared" ref="J11:J23" si="8">IFERROR(IF(SUM($D11)=0,"NA",P11/$D11),"NA")</f>
        <v>NA</v>
      </c>
      <c r="K11" s="3514">
        <f t="shared" ref="K11:K23" si="9">IFERROR(IF(SUM(E11)=0,"NA",Q11/E11),"NA")</f>
        <v>-1.808330263214793E-2</v>
      </c>
      <c r="L11" s="3106" t="str">
        <f t="shared" ref="L11:L23" si="10">IFERROR(IF(SUM(F11)=0,"NA",R11/F11),"NA")</f>
        <v>NA</v>
      </c>
      <c r="M11" s="3530">
        <f t="shared" ref="M11" si="11">M12</f>
        <v>30.851630829475443</v>
      </c>
      <c r="N11" s="3531" t="str">
        <f t="shared" ref="N11" si="12">N12</f>
        <v>IE</v>
      </c>
      <c r="O11" s="3532">
        <f t="shared" ref="O11" si="13">O12</f>
        <v>30.851630829475443</v>
      </c>
      <c r="P11" s="3531" t="str">
        <f t="shared" ref="P11" si="14">P12</f>
        <v>NA</v>
      </c>
      <c r="Q11" s="3533">
        <f t="shared" ref="Q11" si="15">Q12</f>
        <v>-681.5871506756481</v>
      </c>
      <c r="R11" s="3533" t="str">
        <f t="shared" ref="R11" si="16">R12</f>
        <v>IE</v>
      </c>
      <c r="S11" s="3534">
        <f t="shared" ref="S11" si="17">S12</f>
        <v>2386.0302394359665</v>
      </c>
      <c r="U11" s="2284"/>
    </row>
    <row r="12" spans="2:21" ht="18" customHeight="1" x14ac:dyDescent="0.2">
      <c r="B12" s="491"/>
      <c r="C12" s="498" t="s">
        <v>409</v>
      </c>
      <c r="D12" s="3509">
        <f>IF(SUM(E12:F12)=0,E12,SUM(E12:F12))</f>
        <v>37691.519328109003</v>
      </c>
      <c r="E12" s="3510">
        <v>37691.519328109003</v>
      </c>
      <c r="F12" s="3496" t="s">
        <v>274</v>
      </c>
      <c r="G12" s="3500">
        <f t="shared" si="5"/>
        <v>8.1852977485222743E-4</v>
      </c>
      <c r="H12" s="3057" t="str">
        <f t="shared" si="6"/>
        <v>NA</v>
      </c>
      <c r="I12" s="3057">
        <f t="shared" si="7"/>
        <v>8.1852977485222743E-4</v>
      </c>
      <c r="J12" s="3057" t="str">
        <f t="shared" si="8"/>
        <v>NA</v>
      </c>
      <c r="K12" s="3514">
        <f t="shared" si="9"/>
        <v>-1.808330263214793E-2</v>
      </c>
      <c r="L12" s="3106" t="str">
        <f t="shared" si="10"/>
        <v>NA</v>
      </c>
      <c r="M12" s="2917">
        <v>30.851630829475443</v>
      </c>
      <c r="N12" s="2917" t="s">
        <v>274</v>
      </c>
      <c r="O12" s="3087">
        <f>IF(SUM(M12:N12)=0,M12,SUM(M12:N12))</f>
        <v>30.851630829475443</v>
      </c>
      <c r="P12" s="2917" t="s">
        <v>205</v>
      </c>
      <c r="Q12" s="2918">
        <v>-681.5871506756481</v>
      </c>
      <c r="R12" s="2918" t="s">
        <v>274</v>
      </c>
      <c r="S12" s="3534">
        <f>IF(SUM(O12:R12)=0,Q12,SUM(O12:R12)*-44/12)</f>
        <v>2386.0302394359665</v>
      </c>
      <c r="U12" s="2424"/>
    </row>
    <row r="13" spans="2:21" ht="18" customHeight="1" x14ac:dyDescent="0.2">
      <c r="B13" s="475" t="s">
        <v>1375</v>
      </c>
      <c r="C13" s="494"/>
      <c r="D13" s="3529">
        <f>IF(SUM(D14,D16,D18,D20,D22)=0,"IE",SUM(D14,D16,D18,D20,D22))</f>
        <v>2114.7822647865491</v>
      </c>
      <c r="E13" s="3531">
        <f t="shared" ref="E13:F13" si="18">IF(SUM(E14,E16,E18,E20,E22)=0,"IE",SUM(E14,E16,E18,E20,E22))</f>
        <v>2111.7822647865491</v>
      </c>
      <c r="F13" s="3535">
        <f t="shared" si="18"/>
        <v>3</v>
      </c>
      <c r="G13" s="3500" t="str">
        <f t="shared" si="5"/>
        <v>NA</v>
      </c>
      <c r="H13" s="3057">
        <f t="shared" si="6"/>
        <v>-0.28443370540470625</v>
      </c>
      <c r="I13" s="3057">
        <f t="shared" si="7"/>
        <v>-0.28443370540470625</v>
      </c>
      <c r="J13" s="3057">
        <f t="shared" si="8"/>
        <v>-0.17580320722734535</v>
      </c>
      <c r="K13" s="3514">
        <f t="shared" si="9"/>
        <v>-0.16512644078280134</v>
      </c>
      <c r="L13" s="3106">
        <f t="shared" si="10"/>
        <v>-12.475</v>
      </c>
      <c r="M13" s="3530" t="str">
        <f>IF(SUM(M14,M16,M18,M20,M22)=0,"IE",SUM(M14,M16,M18,M20,M22))</f>
        <v>IE</v>
      </c>
      <c r="N13" s="3531">
        <f t="shared" ref="N13" si="19">IF(SUM(N14,N16,N18,N20,N22)=0,"IE",SUM(N14,N16,N18,N20,N22))</f>
        <v>-601.51535569739485</v>
      </c>
      <c r="O13" s="3532">
        <f t="shared" ref="O13" si="20">IF(SUM(O14,O16,O18,O20,O22)=0,"IE",SUM(O14,O16,O18,O20,O22))</f>
        <v>-601.51535569739485</v>
      </c>
      <c r="P13" s="3532">
        <f t="shared" ref="P13" si="21">IF(SUM(P14,P16,P18,P20,P22)=0,"IE",SUM(P14,P16,P18,P20,P22))</f>
        <v>-371.78550473698442</v>
      </c>
      <c r="Q13" s="3532">
        <f t="shared" ref="Q13" si="22">IF(SUM(Q14,Q16,Q18,Q20,Q22)=0,"IE",SUM(Q14,Q16,Q18,Q20,Q22))</f>
        <v>-348.71108909244623</v>
      </c>
      <c r="R13" s="3532">
        <f t="shared" ref="R13" si="23">IF(SUM(R14,R16,R18,R20,R22)=0,"IE",SUM(R14,R16,R18,R20,R22))</f>
        <v>-37.424999999999997</v>
      </c>
      <c r="S13" s="3534">
        <f t="shared" ref="S13" si="24">IF(SUM(S14,S16,S18,S20,S22)=0,"IE",SUM(S14,S16,S18,S20,S22))</f>
        <v>4984.6021482650267</v>
      </c>
      <c r="U13" s="493"/>
    </row>
    <row r="14" spans="2:21" ht="18" customHeight="1" x14ac:dyDescent="0.2">
      <c r="B14" s="477" t="s">
        <v>1376</v>
      </c>
      <c r="C14" s="494"/>
      <c r="D14" s="3529">
        <f>D15</f>
        <v>2102.1213237587372</v>
      </c>
      <c r="E14" s="3057">
        <f t="shared" ref="E14" si="25">E15</f>
        <v>2102.1213237587372</v>
      </c>
      <c r="F14" s="3057" t="str">
        <f t="shared" ref="F14" si="26">F15</f>
        <v>IE</v>
      </c>
      <c r="G14" s="3500" t="str">
        <f t="shared" si="5"/>
        <v>NA</v>
      </c>
      <c r="H14" s="3057">
        <f t="shared" si="6"/>
        <v>-0.28614683125036955</v>
      </c>
      <c r="I14" s="3057">
        <f t="shared" si="7"/>
        <v>-0.28614683125036955</v>
      </c>
      <c r="J14" s="3057">
        <f t="shared" si="8"/>
        <v>-0.17686205859527004</v>
      </c>
      <c r="K14" s="3514">
        <f t="shared" si="9"/>
        <v>-0.15245899981419225</v>
      </c>
      <c r="L14" s="3106" t="str">
        <f t="shared" si="10"/>
        <v>NA</v>
      </c>
      <c r="M14" s="3530" t="str">
        <f t="shared" ref="M14" si="27">M15</f>
        <v>IE</v>
      </c>
      <c r="N14" s="3531">
        <f t="shared" ref="N14" si="28">N15</f>
        <v>-601.51535569739485</v>
      </c>
      <c r="O14" s="3532">
        <f t="shared" ref="O14" si="29">O15</f>
        <v>-601.51535569739485</v>
      </c>
      <c r="P14" s="3531">
        <f t="shared" ref="P14" si="30">P15</f>
        <v>-371.78550473698442</v>
      </c>
      <c r="Q14" s="3533">
        <f t="shared" ref="Q14" si="31">Q15</f>
        <v>-320.48731450834288</v>
      </c>
      <c r="R14" s="3533" t="str">
        <f t="shared" ref="R14" si="32">R15</f>
        <v>IE</v>
      </c>
      <c r="S14" s="3534">
        <f t="shared" ref="S14" si="33">S15</f>
        <v>4743.8899747899814</v>
      </c>
      <c r="U14" s="493"/>
    </row>
    <row r="15" spans="2:21" ht="18" customHeight="1" x14ac:dyDescent="0.2">
      <c r="B15" s="491"/>
      <c r="C15" s="498" t="s">
        <v>409</v>
      </c>
      <c r="D15" s="3509">
        <f>IF(SUM(E15:F15)=0,E15,SUM(E15:F15))</f>
        <v>2102.1213237587372</v>
      </c>
      <c r="E15" s="3510">
        <v>2102.1213237587372</v>
      </c>
      <c r="F15" s="3496" t="s">
        <v>274</v>
      </c>
      <c r="G15" s="3500" t="str">
        <f t="shared" si="5"/>
        <v>NA</v>
      </c>
      <c r="H15" s="3057">
        <f t="shared" si="6"/>
        <v>-0.28614683125036955</v>
      </c>
      <c r="I15" s="3057">
        <f t="shared" si="7"/>
        <v>-0.28614683125036955</v>
      </c>
      <c r="J15" s="3057">
        <f t="shared" si="8"/>
        <v>-0.17686205859527004</v>
      </c>
      <c r="K15" s="3514">
        <f t="shared" si="9"/>
        <v>-0.15245899981419225</v>
      </c>
      <c r="L15" s="3106" t="str">
        <f t="shared" si="10"/>
        <v>NA</v>
      </c>
      <c r="M15" s="2917" t="s">
        <v>274</v>
      </c>
      <c r="N15" s="2917">
        <v>-601.51535569739485</v>
      </c>
      <c r="O15" s="3087">
        <f>IF(SUM(M15:N15)=0,M15,SUM(M15:N15))</f>
        <v>-601.51535569739485</v>
      </c>
      <c r="P15" s="2917">
        <v>-371.78550473698442</v>
      </c>
      <c r="Q15" s="2918">
        <v>-320.48731450834288</v>
      </c>
      <c r="R15" s="2918" t="s">
        <v>274</v>
      </c>
      <c r="S15" s="3534">
        <f>IF(SUM(O15:R15)=0,Q15,SUM(O15:R15)*-44/12)</f>
        <v>4743.8899747899814</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516352.85698946536</v>
      </c>
      <c r="E10" s="3523">
        <f t="shared" ref="E10:F10" si="0">IF(SUM(E11,E15)=0,"IE",SUM(E11,E15))</f>
        <v>516351.85698946536</v>
      </c>
      <c r="F10" s="3524">
        <f t="shared" si="0"/>
        <v>1</v>
      </c>
      <c r="G10" s="3500" t="str">
        <f>IFERROR(IF(SUM($D10)=0,"NA",M10/$D10),"NA")</f>
        <v>NA</v>
      </c>
      <c r="H10" s="3523">
        <f t="shared" ref="H10:J10" si="1">IFERROR(IF(SUM($D10)=0,"NA",N10/$D10),"NA")</f>
        <v>-3.3346419079637396E-2</v>
      </c>
      <c r="I10" s="3523">
        <f t="shared" si="1"/>
        <v>-3.3346419079637396E-2</v>
      </c>
      <c r="J10" s="3523">
        <f t="shared" si="1"/>
        <v>-5.0870007332119637E-3</v>
      </c>
      <c r="K10" s="3525">
        <f>IFERROR(IF(SUM(E10)=0,"NA",Q10/E10),"NA")</f>
        <v>1.0294850165388563E-2</v>
      </c>
      <c r="L10" s="3524">
        <f>IFERROR(IF(SUM(F10)=0,"NA",R10/F10),"NA")</f>
        <v>-8.7249999999999996</v>
      </c>
      <c r="M10" s="3526" t="str">
        <f>IF(SUM(M11,M15)=0,"IE",SUM(M11,M15))</f>
        <v>IE</v>
      </c>
      <c r="N10" s="3523">
        <f t="shared" ref="N10:S10" si="2">IF(SUM(N11,N15)=0,"IE",SUM(N11,N15))</f>
        <v>-17218.518762138789</v>
      </c>
      <c r="O10" s="3527">
        <f t="shared" si="2"/>
        <v>-17218.518762138789</v>
      </c>
      <c r="P10" s="3523">
        <f t="shared" si="2"/>
        <v>-2626.6873621015025</v>
      </c>
      <c r="Q10" s="3525">
        <f t="shared" si="2"/>
        <v>5315.765000326689</v>
      </c>
      <c r="R10" s="3525">
        <f t="shared" si="2"/>
        <v>-8.7249999999999996</v>
      </c>
      <c r="S10" s="3528">
        <f t="shared" si="2"/>
        <v>53306.60912101654</v>
      </c>
      <c r="U10" s="2287"/>
    </row>
    <row r="11" spans="2:21" ht="18" customHeight="1" x14ac:dyDescent="0.2">
      <c r="B11" s="483" t="s">
        <v>1259</v>
      </c>
      <c r="C11" s="473"/>
      <c r="D11" s="3539">
        <f>IF(SUM(D12:D14)=0,"IE",SUM(D12:D14))</f>
        <v>507007.37511375197</v>
      </c>
      <c r="E11" s="3505">
        <f t="shared" ref="E11:F11" si="3">IF(SUM(E12:E14)=0,"IE",SUM(E12:E14))</f>
        <v>507007.37511375197</v>
      </c>
      <c r="F11" s="3506" t="str">
        <f t="shared" si="3"/>
        <v>IE</v>
      </c>
      <c r="G11" s="3539" t="str">
        <f t="shared" ref="G11:G26" si="4">IFERROR(IF(SUM($D11)=0,"NA",M11/$D11),"NA")</f>
        <v>NA</v>
      </c>
      <c r="H11" s="3087">
        <f t="shared" ref="H11:H26" si="5">IFERROR(IF(SUM($D11)=0,"NA",N11/$D11),"NA")</f>
        <v>-6.2407289400893927E-3</v>
      </c>
      <c r="I11" s="3087">
        <f t="shared" ref="I11:I26" si="6">IFERROR(IF(SUM($D11)=0,"NA",O11/$D11),"NA")</f>
        <v>-6.2407289400893927E-3</v>
      </c>
      <c r="J11" s="3087">
        <f t="shared" ref="J11:J26" si="7">IFERROR(IF(SUM($D11)=0,"NA",P11/$D11),"NA")</f>
        <v>-8.4809802137184097E-4</v>
      </c>
      <c r="K11" s="3507">
        <f t="shared" ref="K11:K26" si="8">IFERROR(IF(SUM(E11)=0,"NA",Q11/E11),"NA")</f>
        <v>1.0093586321194666E-2</v>
      </c>
      <c r="L11" s="3216" t="str">
        <f t="shared" ref="L11:L26" si="9">IFERROR(IF(SUM(F11)=0,"NA",R11/F11),"NA")</f>
        <v>NA</v>
      </c>
      <c r="M11" s="3087" t="str">
        <f>IF(SUM(M12:M14)=0,"IE",SUM(M12:M14))</f>
        <v>IE</v>
      </c>
      <c r="N11" s="3087">
        <f t="shared" ref="N11:O11" si="10">IF(SUM(N12:N14)=0,"IE",SUM(N12:N14))</f>
        <v>-3164.0955987111506</v>
      </c>
      <c r="O11" s="3087">
        <f t="shared" si="10"/>
        <v>-3164.0955987111506</v>
      </c>
      <c r="P11" s="3087">
        <f t="shared" ref="P11" si="11">IF(SUM(P12:P14)=0,"IE",SUM(P12:P14))</f>
        <v>-429.9919516549038</v>
      </c>
      <c r="Q11" s="3507">
        <f t="shared" ref="Q11" si="12">IF(SUM(Q12:Q14)=0,"IE",SUM(Q12:Q14))</f>
        <v>5117.52270619298</v>
      </c>
      <c r="R11" s="3507" t="str">
        <f t="shared" ref="R11" si="13">IF(SUM(R12:R14)=0,"IE",SUM(R12:R14))</f>
        <v>IE</v>
      </c>
      <c r="S11" s="3508">
        <f t="shared" ref="S11" si="14">IF(SUM(S12:S14)=0,"IE",SUM(S12:S14))</f>
        <v>-5585.9289046987269</v>
      </c>
      <c r="U11" s="2423"/>
    </row>
    <row r="12" spans="2:21" ht="18" customHeight="1" x14ac:dyDescent="0.2">
      <c r="B12" s="489"/>
      <c r="C12" s="474" t="s">
        <v>1391</v>
      </c>
      <c r="D12" s="3500">
        <f>IF(SUM(E12:F12)=0,E12,SUM(E12:F12))</f>
        <v>69820.727480068104</v>
      </c>
      <c r="E12" s="3510">
        <v>69820.727480068104</v>
      </c>
      <c r="F12" s="3496" t="s">
        <v>274</v>
      </c>
      <c r="G12" s="3500" t="str">
        <f t="shared" si="4"/>
        <v>NA</v>
      </c>
      <c r="H12" s="3057">
        <f t="shared" si="5"/>
        <v>-2.681687657622949E-3</v>
      </c>
      <c r="I12" s="3057">
        <f t="shared" si="6"/>
        <v>-2.681687657622949E-3</v>
      </c>
      <c r="J12" s="3057">
        <f t="shared" si="7"/>
        <v>-5.363375315245902E-4</v>
      </c>
      <c r="K12" s="3514">
        <f t="shared" si="8"/>
        <v>-2.1453501260983608E-3</v>
      </c>
      <c r="L12" s="3106" t="str">
        <f t="shared" si="9"/>
        <v>NA</v>
      </c>
      <c r="M12" s="2917" t="s">
        <v>274</v>
      </c>
      <c r="N12" s="2917">
        <v>-187.2373831295541</v>
      </c>
      <c r="O12" s="3087">
        <f>IF(SUM(M12:N12)=0,M12,SUM(M12:N12))</f>
        <v>-187.2373831295541</v>
      </c>
      <c r="P12" s="2917">
        <v>-37.447476625910845</v>
      </c>
      <c r="Q12" s="2918">
        <v>-149.78990650364338</v>
      </c>
      <c r="R12" s="2918" t="s">
        <v>274</v>
      </c>
      <c r="S12" s="3511">
        <f>IF(SUM(O12:R12)=0,Q12,SUM(O12:R12)*-44/12)</f>
        <v>1373.0741429500638</v>
      </c>
      <c r="U12" s="2424"/>
    </row>
    <row r="13" spans="2:21" ht="18" customHeight="1" x14ac:dyDescent="0.2">
      <c r="B13" s="489"/>
      <c r="C13" s="474" t="s">
        <v>1392</v>
      </c>
      <c r="D13" s="3500">
        <f>IF(SUM(E13:F13)=0,E13,SUM(E13:F13))</f>
        <v>437186.64763368387</v>
      </c>
      <c r="E13" s="3510">
        <v>437186.64763368387</v>
      </c>
      <c r="F13" s="3496" t="s">
        <v>274</v>
      </c>
      <c r="G13" s="3500" t="str">
        <f t="shared" si="4"/>
        <v>NA</v>
      </c>
      <c r="H13" s="3057" t="str">
        <f t="shared" si="5"/>
        <v>NA</v>
      </c>
      <c r="I13" s="3057" t="str">
        <f t="shared" si="6"/>
        <v>NA</v>
      </c>
      <c r="J13" s="3057" t="str">
        <f t="shared" si="7"/>
        <v>NA</v>
      </c>
      <c r="K13" s="3514">
        <f t="shared" si="8"/>
        <v>1.2048201017131872E-2</v>
      </c>
      <c r="L13" s="3106" t="str">
        <f t="shared" si="9"/>
        <v>NA</v>
      </c>
      <c r="M13" s="2917" t="s">
        <v>205</v>
      </c>
      <c r="N13" s="2917" t="s">
        <v>205</v>
      </c>
      <c r="O13" s="3087" t="str">
        <f>IF(SUM(M13:N13)=0,M13,SUM(M13:N13))</f>
        <v>NA</v>
      </c>
      <c r="P13" s="2917" t="s">
        <v>205</v>
      </c>
      <c r="Q13" s="2918">
        <v>5267.3126126966235</v>
      </c>
      <c r="R13" s="2918" t="s">
        <v>274</v>
      </c>
      <c r="S13" s="3511">
        <f>IF(SUM(O13:R13)=0,Q13,SUM(O13:R13)*-44/12)</f>
        <v>-19313.479579887618</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-2976.8582155815966</v>
      </c>
      <c r="O14" s="3087">
        <f>IF(SUM(M14:N14)=0,M14,SUM(M14:N14))</f>
        <v>-2976.8582155815966</v>
      </c>
      <c r="P14" s="2917">
        <v>-392.54447502899296</v>
      </c>
      <c r="Q14" s="2918" t="s">
        <v>205</v>
      </c>
      <c r="R14" s="2918" t="s">
        <v>205</v>
      </c>
      <c r="S14" s="3511">
        <f>IF(SUM(O14:R14)=0,Q14,SUM(O14:R14)*-44/12)</f>
        <v>12354.476532238828</v>
      </c>
      <c r="U14" s="2424"/>
    </row>
    <row r="15" spans="2:21" ht="18" customHeight="1" x14ac:dyDescent="0.2">
      <c r="B15" s="475" t="s">
        <v>1394</v>
      </c>
      <c r="C15" s="476"/>
      <c r="D15" s="3529">
        <f>IF(SUM(D16,D19,D21,D23,D25)=0,"IE",SUM(D16,D19,D21,D23,D25))</f>
        <v>9345.4818757133744</v>
      </c>
      <c r="E15" s="3531">
        <f t="shared" ref="E15:F15" si="15">IF(SUM(E16,E19,E21,E23,E25)=0,"IE",SUM(E16,E19,E21,E23,E25))</f>
        <v>9344.4818757133744</v>
      </c>
      <c r="F15" s="3535">
        <f t="shared" si="15"/>
        <v>1</v>
      </c>
      <c r="G15" s="3500" t="str">
        <f t="shared" si="4"/>
        <v>NA</v>
      </c>
      <c r="H15" s="3057">
        <f t="shared" si="5"/>
        <v>-1.5038735669641232</v>
      </c>
      <c r="I15" s="3057">
        <f t="shared" si="6"/>
        <v>-1.5038735669641232</v>
      </c>
      <c r="J15" s="3057">
        <f t="shared" si="7"/>
        <v>-0.23505426896768947</v>
      </c>
      <c r="K15" s="3514">
        <f t="shared" si="8"/>
        <v>2.121490487866938E-2</v>
      </c>
      <c r="L15" s="3106">
        <f t="shared" si="9"/>
        <v>-8.7249999999999996</v>
      </c>
      <c r="M15" s="3530" t="str">
        <f>IF(SUM(M16,M19,M21,M23,M25)=0,"IE",SUM(M16,M19,M21,M23,M25))</f>
        <v>IE</v>
      </c>
      <c r="N15" s="3531">
        <f t="shared" ref="N15:S15" si="16">IF(SUM(N16,N19,N21,N23,N25)=0,"IE",SUM(N16,N19,N21,N23,N25))</f>
        <v>-14054.423163427637</v>
      </c>
      <c r="O15" s="3532">
        <f t="shared" si="16"/>
        <v>-14054.423163427637</v>
      </c>
      <c r="P15" s="3532">
        <f t="shared" si="16"/>
        <v>-2196.6954104465985</v>
      </c>
      <c r="Q15" s="3532">
        <f t="shared" si="16"/>
        <v>198.24229413370927</v>
      </c>
      <c r="R15" s="3532">
        <f t="shared" si="16"/>
        <v>-8.7249999999999996</v>
      </c>
      <c r="S15" s="3534">
        <f t="shared" si="16"/>
        <v>58892.538025715265</v>
      </c>
      <c r="U15" s="2048"/>
    </row>
    <row r="16" spans="2:21" ht="18" customHeight="1" x14ac:dyDescent="0.2">
      <c r="B16" s="490" t="s">
        <v>1395</v>
      </c>
      <c r="C16" s="476"/>
      <c r="D16" s="3539">
        <f>IF(SUM(D17:D18)=0,"IE",SUM(D17:D18))</f>
        <v>9296.6044431768278</v>
      </c>
      <c r="E16" s="3505">
        <f t="shared" ref="E16:F16" si="17">IF(SUM(E17:E18)=0,"IE",SUM(E17:E18))</f>
        <v>9296.6044431768278</v>
      </c>
      <c r="F16" s="3506" t="str">
        <f t="shared" si="17"/>
        <v>IE</v>
      </c>
      <c r="G16" s="3500" t="str">
        <f t="shared" si="4"/>
        <v>NA</v>
      </c>
      <c r="H16" s="3057">
        <f t="shared" si="5"/>
        <v>-1.5117802687348685</v>
      </c>
      <c r="I16" s="3057">
        <f t="shared" si="6"/>
        <v>-1.5117802687348685</v>
      </c>
      <c r="J16" s="3057">
        <f t="shared" si="7"/>
        <v>-0.23629008030548684</v>
      </c>
      <c r="K16" s="3514">
        <f t="shared" si="8"/>
        <v>3.4059327046671868E-2</v>
      </c>
      <c r="L16" s="3106" t="str">
        <f t="shared" si="9"/>
        <v>NA</v>
      </c>
      <c r="M16" s="3057" t="str">
        <f>IF(SUM(M17:M18)=0,"IE",SUM(M17:M18))</f>
        <v>IE</v>
      </c>
      <c r="N16" s="3057">
        <f t="shared" ref="N16:O16" si="18">IF(SUM(N17:N18)=0,"IE",SUM(N17:N18))</f>
        <v>-14054.423163427637</v>
      </c>
      <c r="O16" s="3057">
        <f t="shared" si="18"/>
        <v>-14054.423163427637</v>
      </c>
      <c r="P16" s="3057">
        <f t="shared" ref="P16" si="19">IF(SUM(P17:P18)=0,"IE",SUM(P17:P18))</f>
        <v>-2196.6954104465985</v>
      </c>
      <c r="Q16" s="3514">
        <f t="shared" ref="Q16" si="20">IF(SUM(Q17:Q18)=0,"IE",SUM(Q17:Q18))</f>
        <v>316.63609115370241</v>
      </c>
      <c r="R16" s="3514" t="str">
        <f t="shared" ref="R16" si="21">IF(SUM(R17:R18)=0,"IE",SUM(R17:R18))</f>
        <v>IE</v>
      </c>
      <c r="S16" s="3511">
        <f t="shared" ref="S16" si="22">IF(SUM(S17:S18)=0,"IE",SUM(S17:S18))</f>
        <v>58426.435769975287</v>
      </c>
      <c r="U16" s="2048"/>
    </row>
    <row r="17" spans="2:21" ht="18" customHeight="1" x14ac:dyDescent="0.2">
      <c r="B17" s="490"/>
      <c r="C17" s="474" t="s">
        <v>1396</v>
      </c>
      <c r="D17" s="3500">
        <f>IF(SUM(E17:F17)=0,E17,SUM(E17:F17))</f>
        <v>9296.6044431768278</v>
      </c>
      <c r="E17" s="3510">
        <v>9296.6044431768278</v>
      </c>
      <c r="F17" s="3496" t="s">
        <v>274</v>
      </c>
      <c r="G17" s="3500" t="str">
        <f t="shared" si="4"/>
        <v>NA</v>
      </c>
      <c r="H17" s="3057">
        <f t="shared" si="5"/>
        <v>-1.5106558356426574</v>
      </c>
      <c r="I17" s="3057">
        <f t="shared" si="6"/>
        <v>-1.5106558356426574</v>
      </c>
      <c r="J17" s="3057">
        <f t="shared" si="7"/>
        <v>-0.235877935894378</v>
      </c>
      <c r="K17" s="3514">
        <f t="shared" si="8"/>
        <v>3.4059327046671868E-2</v>
      </c>
      <c r="L17" s="3106" t="str">
        <f t="shared" si="9"/>
        <v>NA</v>
      </c>
      <c r="M17" s="2917" t="s">
        <v>274</v>
      </c>
      <c r="N17" s="2917">
        <v>-14043.969753746533</v>
      </c>
      <c r="O17" s="3087">
        <f>IF(SUM(M17:N17)=0,M17,SUM(M17:N17))</f>
        <v>-14043.969753746533</v>
      </c>
      <c r="P17" s="2917">
        <v>-2192.8638668830536</v>
      </c>
      <c r="Q17" s="2918">
        <v>316.63609115370241</v>
      </c>
      <c r="R17" s="2918" t="s">
        <v>274</v>
      </c>
      <c r="S17" s="3511">
        <f>IF(SUM(O17:R17)=0,Q17,SUM(O17:R17)*-44/12)</f>
        <v>58374.057608078234</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-10.453409681104803</v>
      </c>
      <c r="O18" s="3087">
        <f>IF(SUM(M18:N18)=0,M18,SUM(M18:N18))</f>
        <v>-10.453409681104803</v>
      </c>
      <c r="P18" s="2917">
        <v>-3.8315435635451256</v>
      </c>
      <c r="Q18" s="2918" t="s">
        <v>205</v>
      </c>
      <c r="R18" s="2918" t="s">
        <v>205</v>
      </c>
      <c r="S18" s="3511">
        <f>IF(SUM(O18:R18)=0,Q18,SUM(O18:R18)*-44/12)</f>
        <v>52.378161897049743</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13405.36864602373</v>
      </c>
      <c r="E10" s="3523">
        <f>IF(SUM(E11,E23)=0,"IE",SUM(E11,E23))</f>
        <v>13316.431760864138</v>
      </c>
      <c r="F10" s="3524">
        <f>IF(SUM(F11,F23)=0,"IE",SUM(F11,F23))</f>
        <v>88.936885159592336</v>
      </c>
      <c r="G10" s="4317" t="str">
        <f>IFERROR(IF(SUM($D10)=0,"NA",M10/$D10),"NA")</f>
        <v>NA</v>
      </c>
      <c r="H10" s="4318">
        <f t="shared" ref="H10:J10" si="0">IFERROR(IF(SUM($D10)=0,"NA",N10/$D10),"NA")</f>
        <v>-2.2034870948642326E-2</v>
      </c>
      <c r="I10" s="4319">
        <f t="shared" si="0"/>
        <v>-2.2034870948642326E-2</v>
      </c>
      <c r="J10" s="4318">
        <f t="shared" si="0"/>
        <v>-4.6197595082733576E-3</v>
      </c>
      <c r="K10" s="4318">
        <f>IFERROR(IF(SUM(E10)=0,"NA",Q10/E10),"NA")</f>
        <v>-2.9011836894888249E-3</v>
      </c>
      <c r="L10" s="4320" t="str">
        <f>IFERROR(IF(SUM(F10)=0,"NA",R10/F10),"NA")</f>
        <v>NA</v>
      </c>
      <c r="M10" s="4319" t="str">
        <f t="shared" ref="M10:S10" si="1">IF(SUM(M11,M23)=0,"IE",SUM(M11,M23))</f>
        <v>IE</v>
      </c>
      <c r="N10" s="4318">
        <f t="shared" si="1"/>
        <v>-295.38556813410901</v>
      </c>
      <c r="O10" s="4319">
        <f t="shared" si="1"/>
        <v>-295.38556813410901</v>
      </c>
      <c r="P10" s="4318">
        <f t="shared" si="1"/>
        <v>-61.929579264377672</v>
      </c>
      <c r="Q10" s="4321">
        <f t="shared" si="1"/>
        <v>-38.633414626809987</v>
      </c>
      <c r="R10" s="4321" t="str">
        <f t="shared" si="1"/>
        <v>IE</v>
      </c>
      <c r="S10" s="3528">
        <f t="shared" si="1"/>
        <v>1451.8113940927544</v>
      </c>
      <c r="U10" s="4322"/>
    </row>
    <row r="11" spans="1:23" ht="18" customHeight="1" x14ac:dyDescent="0.2">
      <c r="B11" s="491" t="s">
        <v>1262</v>
      </c>
      <c r="C11" s="473"/>
      <c r="D11" s="4323">
        <f>IF(SUM(D12,D14,D17)=0,"IE",SUM(D12,D14,D17))</f>
        <v>13300.408241700001</v>
      </c>
      <c r="E11" s="3542">
        <f t="shared" ref="E11:S11" si="2">IF(SUM(E12,E14,E17)=0,"IE",SUM(E12,E14,E17))</f>
        <v>13211.471356540409</v>
      </c>
      <c r="F11" s="3543">
        <f t="shared" si="2"/>
        <v>88.936885159592336</v>
      </c>
      <c r="G11" s="4324" t="str">
        <f t="shared" ref="G11:G56" si="3">IFERROR(IF(SUM($D11)=0,"NA",M11/$D11),"NA")</f>
        <v>NA</v>
      </c>
      <c r="H11" s="4325">
        <f t="shared" ref="H11:H56" si="4">IFERROR(IF(SUM($D11)=0,"NA",N11/$D11),"NA")</f>
        <v>-1.6670801867518424E-2</v>
      </c>
      <c r="I11" s="4326">
        <f t="shared" ref="I11:I56" si="5">IFERROR(IF(SUM($D11)=0,"NA",O11/$D11),"NA")</f>
        <v>-1.6670801867518424E-2</v>
      </c>
      <c r="J11" s="4325">
        <f t="shared" ref="J11:J56" si="6">IFERROR(IF(SUM($D11)=0,"NA",P11/$D11),"NA")</f>
        <v>-4.6562164212534049E-3</v>
      </c>
      <c r="K11" s="4325">
        <f t="shared" ref="K11:K56" si="7">IFERROR(IF(SUM(E11)=0,"NA",Q11/E11),"NA")</f>
        <v>-2.9242325539830436E-3</v>
      </c>
      <c r="L11" s="4327" t="str">
        <f t="shared" ref="L11:L56" si="8">IFERROR(IF(SUM(F11)=0,"NA",R11/F11),"NA")</f>
        <v>NA</v>
      </c>
      <c r="M11" s="4326" t="str">
        <f t="shared" si="2"/>
        <v>IE</v>
      </c>
      <c r="N11" s="4325">
        <f t="shared" si="2"/>
        <v>-221.72847055448983</v>
      </c>
      <c r="O11" s="4326">
        <f t="shared" si="2"/>
        <v>-221.72847055448983</v>
      </c>
      <c r="P11" s="4325">
        <f t="shared" si="2"/>
        <v>-61.929579264377672</v>
      </c>
      <c r="Q11" s="4328">
        <f t="shared" si="2"/>
        <v>-38.633414626809987</v>
      </c>
      <c r="R11" s="4328" t="str">
        <f t="shared" si="2"/>
        <v>IE</v>
      </c>
      <c r="S11" s="3544">
        <f t="shared" si="2"/>
        <v>1181.7353696341509</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684.62959083423186</v>
      </c>
      <c r="E14" s="3505">
        <f>IF(SUM(E15:E16)=0,"IE",SUM(E15:E16))</f>
        <v>684.62959083423186</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457.45940000000002</v>
      </c>
      <c r="E15" s="3510">
        <v>457.45940000000002</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12615.778650865768</v>
      </c>
      <c r="E17" s="3505">
        <f>IF(SUM(E18:E21)=0,"IE",SUM(E18:E21))</f>
        <v>12526.841765706176</v>
      </c>
      <c r="F17" s="3506">
        <f>IF(SUM(F18:F21)=0,"IE",SUM(F18:F21))</f>
        <v>88.936885159592336</v>
      </c>
      <c r="G17" s="3545" t="str">
        <f t="shared" si="3"/>
        <v>NA</v>
      </c>
      <c r="H17" s="3531">
        <f t="shared" si="4"/>
        <v>-1.7575488338111699E-2</v>
      </c>
      <c r="I17" s="3546">
        <f t="shared" si="5"/>
        <v>-1.7575488338111699E-2</v>
      </c>
      <c r="J17" s="3531">
        <f t="shared" si="6"/>
        <v>-4.9088986877657134E-3</v>
      </c>
      <c r="K17" s="3531">
        <f t="shared" si="7"/>
        <v>-3.0840506609234801E-3</v>
      </c>
      <c r="L17" s="3535" t="str">
        <f t="shared" si="8"/>
        <v>NA</v>
      </c>
      <c r="M17" s="3505" t="str">
        <f t="shared" ref="M17:S17" si="16">IF(SUM(M18:M21)=0,"IE",SUM(M18:M21))</f>
        <v>IE</v>
      </c>
      <c r="N17" s="4325">
        <f t="shared" si="16"/>
        <v>-221.72847055448983</v>
      </c>
      <c r="O17" s="4326">
        <f t="shared" si="16"/>
        <v>-221.72847055448983</v>
      </c>
      <c r="P17" s="4325">
        <f t="shared" si="16"/>
        <v>-61.929579264377672</v>
      </c>
      <c r="Q17" s="4328">
        <f t="shared" si="16"/>
        <v>-38.633414626809987</v>
      </c>
      <c r="R17" s="4328" t="str">
        <f t="shared" si="16"/>
        <v>IE</v>
      </c>
      <c r="S17" s="4332">
        <f t="shared" si="16"/>
        <v>1181.7353696341509</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-2.8124248455966595E-2</v>
      </c>
      <c r="I18" s="3554">
        <f t="shared" si="5"/>
        <v>-2.8124248455966595E-2</v>
      </c>
      <c r="J18" s="3553">
        <f t="shared" si="6"/>
        <v>-5.6248496911933191E-3</v>
      </c>
      <c r="K18" s="3553">
        <f t="shared" si="7"/>
        <v>-2.2499398764773276E-2</v>
      </c>
      <c r="L18" s="3555" t="str">
        <f t="shared" si="8"/>
        <v>NA</v>
      </c>
      <c r="M18" s="3547" t="s">
        <v>274</v>
      </c>
      <c r="N18" s="3548">
        <v>-48.291768283512482</v>
      </c>
      <c r="O18" s="3087">
        <f>IF(SUM(M18:N18)=0,M18,SUM(M18:N18))</f>
        <v>-48.291768283512482</v>
      </c>
      <c r="P18" s="3548">
        <v>-9.6583536567024968</v>
      </c>
      <c r="Q18" s="3549">
        <v>-38.633414626809987</v>
      </c>
      <c r="R18" s="3556" t="s">
        <v>274</v>
      </c>
      <c r="S18" s="3511">
        <f>IF(SUM(O18:R18)=0,Q18,SUM(O18:R18)*-44/12)</f>
        <v>354.13963407909154</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-173.43670227097735</v>
      </c>
      <c r="O19" s="3087">
        <f t="shared" ref="O19:O22" si="18">IF(SUM(M19:N19)=0,M19,SUM(M19:N19))</f>
        <v>-173.43670227097735</v>
      </c>
      <c r="P19" s="3548">
        <v>-52.271225607675177</v>
      </c>
      <c r="Q19" s="3551" t="s">
        <v>205</v>
      </c>
      <c r="R19" s="3550" t="s">
        <v>205</v>
      </c>
      <c r="S19" s="3511">
        <f t="shared" ref="S19:S22" si="19">IF(SUM(O19:R19)=0,Q19,SUM(O19:R19)*-44/12)</f>
        <v>827.59573555505938</v>
      </c>
      <c r="T19" s="2519"/>
      <c r="U19" s="2699"/>
      <c r="V19" s="2519"/>
      <c r="W19" s="2519"/>
    </row>
    <row r="20" spans="1:23" ht="18" customHeight="1" x14ac:dyDescent="0.2">
      <c r="A20" s="2519"/>
      <c r="B20" s="2698"/>
      <c r="C20" s="4316" t="s">
        <v>1414</v>
      </c>
      <c r="D20" s="3500">
        <f t="shared" si="17"/>
        <v>10809.755232385236</v>
      </c>
      <c r="E20" s="4335">
        <v>10809.755232385236</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88.936885159592336</v>
      </c>
      <c r="E21" s="3505" t="str">
        <f t="shared" ref="E21:F21" si="20">E22</f>
        <v>IE</v>
      </c>
      <c r="F21" s="3506">
        <f t="shared" si="20"/>
        <v>88.936885159592336</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88.936885159592336</v>
      </c>
      <c r="E22" s="3510" t="s">
        <v>274</v>
      </c>
      <c r="F22" s="3496">
        <v>88.936885159592336</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104.96040432372945</v>
      </c>
      <c r="E23" s="3531">
        <f t="shared" ref="E23:F23" si="22">IF(SUM(E24,E35,E46)=0,"IE",SUM(E24,E35,E46))</f>
        <v>104.96040432372945</v>
      </c>
      <c r="F23" s="3535" t="str">
        <f t="shared" si="22"/>
        <v>IE</v>
      </c>
      <c r="G23" s="3545" t="str">
        <f t="shared" si="3"/>
        <v>NA</v>
      </c>
      <c r="H23" s="3531">
        <f t="shared" si="4"/>
        <v>-0.7017608026016986</v>
      </c>
      <c r="I23" s="3546">
        <f t="shared" si="5"/>
        <v>-0.7017608026016986</v>
      </c>
      <c r="J23" s="3531" t="str">
        <f t="shared" si="6"/>
        <v>NA</v>
      </c>
      <c r="K23" s="3531" t="str">
        <f t="shared" si="7"/>
        <v>NA</v>
      </c>
      <c r="L23" s="3535" t="str">
        <f t="shared" si="8"/>
        <v>NA</v>
      </c>
      <c r="M23" s="3531" t="str">
        <f t="shared" ref="M23" si="23">IF(SUM(M24,M35,M46)=0,"IE",SUM(M24,M35,M46))</f>
        <v>IE</v>
      </c>
      <c r="N23" s="3531">
        <f t="shared" ref="N23" si="24">IF(SUM(N24,N35,N46)=0,"IE",SUM(N24,N35,N46))</f>
        <v>-73.657097579619176</v>
      </c>
      <c r="O23" s="3546">
        <f t="shared" ref="O23" si="25">IF(SUM(O24,O35,O46)=0,"IE",SUM(O24,O35,O46))</f>
        <v>-73.657097579619176</v>
      </c>
      <c r="P23" s="3531" t="str">
        <f>IF(SUM(P24,P35,P46)=0,"NO",SUM(P24,P35,P46))</f>
        <v>NO</v>
      </c>
      <c r="Q23" s="3530" t="str">
        <f>IF(SUM(Q24,Q35,Q46)=0,"NO",SUM(Q24,Q35,Q46))</f>
        <v>NO</v>
      </c>
      <c r="R23" s="3530" t="str">
        <f>IF(SUM(R24,R35,R46)=0,"NO",SUM(R24,R35,R46))</f>
        <v>NO</v>
      </c>
      <c r="S23" s="3534">
        <f t="shared" ref="S23" si="26">IF(SUM(S24,S35,S46)=0,"IE",SUM(S24,S35,S46))</f>
        <v>270.07602445860363</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104.96040432372945</v>
      </c>
      <c r="E35" s="3531">
        <f>IF(SUM(E36,E38,E40,E42,E44)=0,"IE",SUM(E36,E38,E40,E42,E44))</f>
        <v>104.96040432372945</v>
      </c>
      <c r="F35" s="3535" t="str">
        <f>IF(SUM(F36,F38,F40,F42,F44)=0,"IE",SUM(F36,F38,F40,F42,F44))</f>
        <v>IE</v>
      </c>
      <c r="G35" s="3545" t="str">
        <f t="shared" si="3"/>
        <v>NA</v>
      </c>
      <c r="H35" s="3531">
        <f t="shared" si="4"/>
        <v>-0.7017608026016986</v>
      </c>
      <c r="I35" s="3546">
        <f t="shared" si="5"/>
        <v>-0.7017608026016986</v>
      </c>
      <c r="J35" s="3531" t="str">
        <f t="shared" si="6"/>
        <v>NA</v>
      </c>
      <c r="K35" s="3531" t="str">
        <f t="shared" si="7"/>
        <v>NA</v>
      </c>
      <c r="L35" s="3535" t="str">
        <f t="shared" si="8"/>
        <v>NA</v>
      </c>
      <c r="M35" s="3531" t="str">
        <f t="shared" ref="M35:S35" si="48">IF(SUM(M36,M38,M40,M42,M44)=0,"IE",SUM(M36,M38,M40,M42,M44))</f>
        <v>IE</v>
      </c>
      <c r="N35" s="3531">
        <f t="shared" si="48"/>
        <v>-73.657097579619176</v>
      </c>
      <c r="O35" s="3546">
        <f t="shared" si="48"/>
        <v>-73.657097579619176</v>
      </c>
      <c r="P35" s="3531" t="str">
        <f>IF(SUM(P36,P38,P40,P42,P44)=0,"NO",SUM(P36,P38,P40,P42,P44))</f>
        <v>NO</v>
      </c>
      <c r="Q35" s="3530" t="str">
        <f>IF(SUM(Q36,Q38,Q40,Q42,Q44)=0,"NO",SUM(Q36,Q38,Q40,Q42,Q44))</f>
        <v>NO</v>
      </c>
      <c r="R35" s="3530" t="str">
        <f>IF(SUM(R36,R38,R40,R42,R44)=0,"NO",SUM(R36,R38,R40,R42,R44))</f>
        <v>NO</v>
      </c>
      <c r="S35" s="3534">
        <f t="shared" si="48"/>
        <v>270.07602445860363</v>
      </c>
      <c r="U35" s="493"/>
    </row>
    <row r="36" spans="2:21" ht="18" customHeight="1" x14ac:dyDescent="0.2">
      <c r="B36" s="495" t="s">
        <v>1424</v>
      </c>
      <c r="C36" s="476"/>
      <c r="D36" s="3500">
        <f>D37</f>
        <v>104.96040432372945</v>
      </c>
      <c r="E36" s="3505">
        <f t="shared" ref="E36:F36" si="49">E37</f>
        <v>104.96040432372945</v>
      </c>
      <c r="F36" s="3506" t="str">
        <f t="shared" si="49"/>
        <v>IE</v>
      </c>
      <c r="G36" s="3500" t="str">
        <f t="shared" si="3"/>
        <v>NA</v>
      </c>
      <c r="H36" s="3057">
        <f t="shared" si="4"/>
        <v>-0.7017608026016986</v>
      </c>
      <c r="I36" s="3057">
        <f t="shared" si="5"/>
        <v>-0.7017608026016986</v>
      </c>
      <c r="J36" s="3057" t="str">
        <f t="shared" si="6"/>
        <v>NA</v>
      </c>
      <c r="K36" s="3514" t="str">
        <f t="shared" si="7"/>
        <v>NA</v>
      </c>
      <c r="L36" s="3106" t="str">
        <f t="shared" si="8"/>
        <v>NA</v>
      </c>
      <c r="M36" s="4170" t="str">
        <f t="shared" ref="M36:S36" si="50">M37</f>
        <v>IE</v>
      </c>
      <c r="N36" s="3057">
        <f t="shared" si="50"/>
        <v>-73.657097579619176</v>
      </c>
      <c r="O36" s="3057">
        <f t="shared" si="50"/>
        <v>-73.657097579619176</v>
      </c>
      <c r="P36" s="3057" t="str">
        <f t="shared" si="50"/>
        <v>NA</v>
      </c>
      <c r="Q36" s="3514" t="str">
        <f t="shared" si="50"/>
        <v>NA</v>
      </c>
      <c r="R36" s="3514" t="str">
        <f t="shared" si="50"/>
        <v>NA</v>
      </c>
      <c r="S36" s="3511">
        <f t="shared" si="50"/>
        <v>270.07602445860363</v>
      </c>
      <c r="U36" s="4329"/>
    </row>
    <row r="37" spans="2:21" ht="18" customHeight="1" x14ac:dyDescent="0.2">
      <c r="B37" s="1478"/>
      <c r="C37" s="4330" t="s">
        <v>409</v>
      </c>
      <c r="D37" s="3500">
        <f>IF(SUM(E37:F37)=0,E37,SUM(E37:F37))</f>
        <v>104.96040432372945</v>
      </c>
      <c r="E37" s="3510">
        <v>104.96040432372945</v>
      </c>
      <c r="F37" s="3496" t="s">
        <v>274</v>
      </c>
      <c r="G37" s="3545" t="str">
        <f t="shared" si="3"/>
        <v>NA</v>
      </c>
      <c r="H37" s="3531">
        <f t="shared" si="4"/>
        <v>-0.7017608026016986</v>
      </c>
      <c r="I37" s="3546">
        <f t="shared" si="5"/>
        <v>-0.7017608026016986</v>
      </c>
      <c r="J37" s="3531" t="str">
        <f t="shared" si="6"/>
        <v>NA</v>
      </c>
      <c r="K37" s="3531" t="str">
        <f t="shared" si="7"/>
        <v>NA</v>
      </c>
      <c r="L37" s="3535" t="str">
        <f t="shared" si="8"/>
        <v>NA</v>
      </c>
      <c r="M37" s="3547" t="s">
        <v>274</v>
      </c>
      <c r="N37" s="3548">
        <v>-73.657097579619176</v>
      </c>
      <c r="O37" s="3087">
        <f t="shared" ref="O37" si="51">IF(SUM(M37:N37)=0,M37,SUM(M37:N37))</f>
        <v>-73.657097579619176</v>
      </c>
      <c r="P37" s="3548" t="s">
        <v>205</v>
      </c>
      <c r="Q37" s="3549" t="s">
        <v>205</v>
      </c>
      <c r="R37" s="3549" t="s">
        <v>205</v>
      </c>
      <c r="S37" s="3511">
        <f t="shared" ref="S37" si="52">IF(SUM(O37:R37)=0,Q37,SUM(O37:R37)*-44/12)</f>
        <v>270.07602445860363</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1319.5174944760304</v>
      </c>
      <c r="E10" s="3523">
        <f t="shared" ref="E10:F10" si="0">IF(SUM(E11,E13)=0,"IE",SUM(E11,E13))</f>
        <v>1251.4958248315618</v>
      </c>
      <c r="F10" s="3524">
        <f t="shared" si="0"/>
        <v>68.021669644468659</v>
      </c>
      <c r="G10" s="3522" t="str">
        <f>IFERROR(IF(SUM($D10)=0,"NA",M10/$D10),"NA")</f>
        <v>NA</v>
      </c>
      <c r="H10" s="3523">
        <f t="shared" ref="H10:J10" si="1">IFERROR(IF(SUM($D10)=0,"NA",N10/$D10),"NA")</f>
        <v>-1.0238574786154127</v>
      </c>
      <c r="I10" s="3523">
        <f t="shared" si="1"/>
        <v>-1.0238574786154127</v>
      </c>
      <c r="J10" s="3523">
        <f t="shared" si="1"/>
        <v>-0.11893436381773202</v>
      </c>
      <c r="K10" s="3525">
        <f>IFERROR(IF(SUM(E10)=0,"NA",Q10/E10),"NA")</f>
        <v>-3.8204610416473245E-2</v>
      </c>
      <c r="L10" s="3524">
        <f>IFERROR(IF(SUM(F10)=0,"NA",R10/F10),"NA")</f>
        <v>0.60923281038164023</v>
      </c>
      <c r="M10" s="3526" t="str">
        <f>IF(SUM(M11,M13)=0,"IE",SUM(M11,M13))</f>
        <v>IE</v>
      </c>
      <c r="N10" s="3523">
        <f t="shared" ref="N10:S10" si="2">IF(SUM(N11,N13)=0,"IE",SUM(N11,N13))</f>
        <v>-1350.997854883155</v>
      </c>
      <c r="O10" s="3527">
        <f t="shared" si="2"/>
        <v>-1350.997854883155</v>
      </c>
      <c r="P10" s="3523">
        <f t="shared" si="2"/>
        <v>-156.9359737518744</v>
      </c>
      <c r="Q10" s="3525">
        <f t="shared" si="2"/>
        <v>-47.812910425532664</v>
      </c>
      <c r="R10" s="3525">
        <f t="shared" si="2"/>
        <v>41.441032964351145</v>
      </c>
      <c r="S10" s="3528">
        <f t="shared" si="2"/>
        <v>5552.4542556861061</v>
      </c>
      <c r="U10" s="2287"/>
    </row>
    <row r="11" spans="2:21" ht="18" customHeight="1" x14ac:dyDescent="0.2">
      <c r="B11" s="483" t="s">
        <v>1265</v>
      </c>
      <c r="C11" s="2282"/>
      <c r="D11" s="3529">
        <f>D12</f>
        <v>1007.621454997</v>
      </c>
      <c r="E11" s="3057">
        <f t="shared" ref="E11:F11" si="3">E12</f>
        <v>1007.621454997</v>
      </c>
      <c r="F11" s="3057" t="str">
        <f t="shared" si="3"/>
        <v>IE</v>
      </c>
      <c r="G11" s="3500" t="str">
        <f t="shared" ref="G11:G24" si="4">IFERROR(IF(SUM($D11)=0,"NA",M11/$D11),"NA")</f>
        <v>NA</v>
      </c>
      <c r="H11" s="3057">
        <f t="shared" ref="H11:H24" si="5">IFERROR(IF(SUM($D11)=0,"NA",N11/$D11),"NA")</f>
        <v>-3.2665747057825556E-3</v>
      </c>
      <c r="I11" s="3057">
        <f t="shared" ref="I11:I24" si="6">IFERROR(IF(SUM($D11)=0,"NA",O11/$D11),"NA")</f>
        <v>-3.2665747057825556E-3</v>
      </c>
      <c r="J11" s="3057">
        <f t="shared" ref="J11:J24" si="7">IFERROR(IF(SUM($D11)=0,"NA",P11/$D11),"NA")</f>
        <v>-6.5331494115651112E-4</v>
      </c>
      <c r="K11" s="3514">
        <f t="shared" ref="K11:K24" si="8">IFERROR(IF(SUM(E11)=0,"NA",Q11/E11),"NA")</f>
        <v>-2.6132597646260445E-3</v>
      </c>
      <c r="L11" s="3106" t="str">
        <f t="shared" ref="L11:L24" si="9">IFERROR(IF(SUM(F11)=0,"NA",R11/F11),"NA")</f>
        <v>NA</v>
      </c>
      <c r="M11" s="3530" t="str">
        <f t="shared" ref="M11:S11" si="10">M12</f>
        <v>IE</v>
      </c>
      <c r="N11" s="3531">
        <f t="shared" si="10"/>
        <v>-3.2914707578970157</v>
      </c>
      <c r="O11" s="3532">
        <f t="shared" si="10"/>
        <v>-3.2914707578970157</v>
      </c>
      <c r="P11" s="3531">
        <f t="shared" si="10"/>
        <v>-0.65829415157940319</v>
      </c>
      <c r="Q11" s="3533">
        <f t="shared" si="10"/>
        <v>-2.6331766063176127</v>
      </c>
      <c r="R11" s="3533" t="str">
        <f t="shared" si="10"/>
        <v>IE</v>
      </c>
      <c r="S11" s="3534">
        <f t="shared" si="10"/>
        <v>24.137452224578116</v>
      </c>
      <c r="U11" s="2423"/>
    </row>
    <row r="12" spans="2:21" ht="18" customHeight="1" x14ac:dyDescent="0.2">
      <c r="B12" s="491"/>
      <c r="C12" s="4330" t="s">
        <v>409</v>
      </c>
      <c r="D12" s="3500">
        <f>IF(SUM(E12:F12)=0,E12,SUM(E12:F12))</f>
        <v>1007.621454997</v>
      </c>
      <c r="E12" s="3510">
        <v>1007.621454997</v>
      </c>
      <c r="F12" s="3496" t="s">
        <v>274</v>
      </c>
      <c r="G12" s="3500" t="str">
        <f t="shared" si="4"/>
        <v>NA</v>
      </c>
      <c r="H12" s="3057">
        <f t="shared" si="5"/>
        <v>-3.2665747057825556E-3</v>
      </c>
      <c r="I12" s="3057">
        <f t="shared" si="6"/>
        <v>-3.2665747057825556E-3</v>
      </c>
      <c r="J12" s="3057">
        <f t="shared" si="7"/>
        <v>-6.5331494115651112E-4</v>
      </c>
      <c r="K12" s="3514">
        <f t="shared" si="8"/>
        <v>-2.6132597646260445E-3</v>
      </c>
      <c r="L12" s="3106" t="str">
        <f t="shared" si="9"/>
        <v>NA</v>
      </c>
      <c r="M12" s="2917" t="s">
        <v>274</v>
      </c>
      <c r="N12" s="2917">
        <v>-3.2914707578970157</v>
      </c>
      <c r="O12" s="3087">
        <f>IF(SUM(M12:N12)=0,M12,SUM(M12:N12))</f>
        <v>-3.2914707578970157</v>
      </c>
      <c r="P12" s="2917">
        <v>-0.65829415157940319</v>
      </c>
      <c r="Q12" s="2918">
        <v>-2.6331766063176127</v>
      </c>
      <c r="R12" s="2918" t="s">
        <v>274</v>
      </c>
      <c r="S12" s="3511">
        <f>IF(SUM(O12:R12)=0,Q12,SUM(O12:R12)*-44/12)</f>
        <v>24.137452224578116</v>
      </c>
      <c r="U12" s="2424"/>
    </row>
    <row r="13" spans="2:21" ht="18" customHeight="1" x14ac:dyDescent="0.2">
      <c r="B13" s="483" t="s">
        <v>1266</v>
      </c>
      <c r="C13" s="494"/>
      <c r="D13" s="3529">
        <f>IF(SUM(D14,D17,D19,D21,D23)=0,"IE",SUM(D14,D17,D19,D21,D23))</f>
        <v>311.89603947903038</v>
      </c>
      <c r="E13" s="3531">
        <f t="shared" ref="E13:S13" si="11">IF(SUM(E14,E17,E19,E21,E23)=0,"IE",SUM(E14,E17,E19,E21,E23))</f>
        <v>243.87436983456172</v>
      </c>
      <c r="F13" s="3535">
        <f t="shared" si="11"/>
        <v>68.021669644468659</v>
      </c>
      <c r="G13" s="3500" t="str">
        <f t="shared" si="4"/>
        <v>NA</v>
      </c>
      <c r="H13" s="3057">
        <f t="shared" si="5"/>
        <v>-4.3210115344086244</v>
      </c>
      <c r="I13" s="3057">
        <f t="shared" si="6"/>
        <v>-4.3210115344086244</v>
      </c>
      <c r="J13" s="3057">
        <f t="shared" si="7"/>
        <v>-0.50105695430224262</v>
      </c>
      <c r="K13" s="3514">
        <f t="shared" si="8"/>
        <v>-0.18525822885719337</v>
      </c>
      <c r="L13" s="3106">
        <f t="shared" si="9"/>
        <v>0.60923281038164023</v>
      </c>
      <c r="M13" s="3057" t="str">
        <f t="shared" si="11"/>
        <v>IE</v>
      </c>
      <c r="N13" s="3057">
        <f t="shared" si="11"/>
        <v>-1347.706384125258</v>
      </c>
      <c r="O13" s="3057">
        <f t="shared" si="11"/>
        <v>-1347.706384125258</v>
      </c>
      <c r="P13" s="3057">
        <f t="shared" si="11"/>
        <v>-156.27767960029499</v>
      </c>
      <c r="Q13" s="3514">
        <f t="shared" si="11"/>
        <v>-45.179733819215052</v>
      </c>
      <c r="R13" s="3514">
        <f t="shared" si="11"/>
        <v>41.441032964351145</v>
      </c>
      <c r="S13" s="3511">
        <f t="shared" si="11"/>
        <v>5528.3168034615283</v>
      </c>
      <c r="U13" s="2048"/>
    </row>
    <row r="14" spans="2:21" ht="18" customHeight="1" x14ac:dyDescent="0.2">
      <c r="B14" s="485" t="s">
        <v>1440</v>
      </c>
      <c r="C14" s="494"/>
      <c r="D14" s="3539">
        <f>IF(SUM(D15:D16)=0,"IE",SUM(D15:D16))</f>
        <v>311.89603947903038</v>
      </c>
      <c r="E14" s="3505">
        <f t="shared" ref="E14:F14" si="12">IF(SUM(E15:E16)=0,"IE",SUM(E15:E16))</f>
        <v>243.87436983456172</v>
      </c>
      <c r="F14" s="3506">
        <f t="shared" si="12"/>
        <v>68.021669644468659</v>
      </c>
      <c r="G14" s="3500" t="str">
        <f t="shared" si="4"/>
        <v>NA</v>
      </c>
      <c r="H14" s="3057">
        <f t="shared" si="5"/>
        <v>-4.3210115344086244</v>
      </c>
      <c r="I14" s="3057">
        <f t="shared" si="6"/>
        <v>-4.3210115344086244</v>
      </c>
      <c r="J14" s="3057">
        <f t="shared" si="7"/>
        <v>-0.50105695430224262</v>
      </c>
      <c r="K14" s="3514">
        <f t="shared" si="8"/>
        <v>-0.18525822885719337</v>
      </c>
      <c r="L14" s="3106">
        <f t="shared" si="9"/>
        <v>0.60923281038164023</v>
      </c>
      <c r="M14" s="3057" t="str">
        <f>IF(SUM(M15:M16)=0,"IE",SUM(M15:M16))</f>
        <v>IE</v>
      </c>
      <c r="N14" s="3057">
        <f t="shared" ref="N14:S14" si="13">IF(SUM(N15:N16)=0,"IE",SUM(N15:N16))</f>
        <v>-1347.706384125258</v>
      </c>
      <c r="O14" s="3057">
        <f t="shared" si="13"/>
        <v>-1347.706384125258</v>
      </c>
      <c r="P14" s="3057">
        <f t="shared" si="13"/>
        <v>-156.27767960029499</v>
      </c>
      <c r="Q14" s="3514">
        <f t="shared" si="13"/>
        <v>-45.179733819215052</v>
      </c>
      <c r="R14" s="3514">
        <f t="shared" si="13"/>
        <v>41.441032964351145</v>
      </c>
      <c r="S14" s="3511">
        <f t="shared" si="13"/>
        <v>5528.3168034615283</v>
      </c>
      <c r="U14" s="2048"/>
    </row>
    <row r="15" spans="2:21" ht="18" customHeight="1" x14ac:dyDescent="0.2">
      <c r="B15" s="486"/>
      <c r="C15" s="498" t="s">
        <v>1441</v>
      </c>
      <c r="D15" s="3500">
        <f>IF(SUM(E15:F15)=0,E15,SUM(E15:F15))</f>
        <v>68.021669644468659</v>
      </c>
      <c r="E15" s="3510" t="s">
        <v>199</v>
      </c>
      <c r="F15" s="3496">
        <v>68.021669644468659</v>
      </c>
      <c r="G15" s="3500" t="str">
        <f t="shared" si="4"/>
        <v>NA</v>
      </c>
      <c r="H15" s="3057">
        <f t="shared" si="5"/>
        <v>-10.789960462726246</v>
      </c>
      <c r="I15" s="3057">
        <f t="shared" si="6"/>
        <v>-10.789960462726246</v>
      </c>
      <c r="J15" s="3057">
        <f t="shared" si="7"/>
        <v>-0.94825007095755443</v>
      </c>
      <c r="K15" s="3514" t="str">
        <f t="shared" si="8"/>
        <v>NA</v>
      </c>
      <c r="L15" s="3106">
        <f t="shared" si="9"/>
        <v>0.60923281038164023</v>
      </c>
      <c r="M15" s="2917" t="s">
        <v>274</v>
      </c>
      <c r="N15" s="2917">
        <v>-733.95112607244289</v>
      </c>
      <c r="O15" s="3087">
        <f>IF(SUM(M15:N15)=0,M15,SUM(M15:N15))</f>
        <v>-733.95112607244289</v>
      </c>
      <c r="P15" s="2917">
        <v>-64.501553067018733</v>
      </c>
      <c r="Q15" s="2918" t="s">
        <v>199</v>
      </c>
      <c r="R15" s="2918">
        <v>41.441032964351145</v>
      </c>
      <c r="S15" s="3511">
        <f>IF(SUM(O15:R15)=0,Q15,SUM(O15:R15)*-44/12)</f>
        <v>2775.7093693087386</v>
      </c>
      <c r="U15" s="2048"/>
    </row>
    <row r="16" spans="2:21" ht="18" customHeight="1" x14ac:dyDescent="0.2">
      <c r="B16" s="484"/>
      <c r="C16" s="498" t="s">
        <v>1442</v>
      </c>
      <c r="D16" s="3500">
        <f>IF(SUM(E16:F16)=0,E16,SUM(E16:F16))</f>
        <v>243.87436983456172</v>
      </c>
      <c r="E16" s="3510">
        <v>243.87436983456172</v>
      </c>
      <c r="F16" s="3496" t="s">
        <v>274</v>
      </c>
      <c r="G16" s="3500" t="str">
        <f t="shared" si="4"/>
        <v>NA</v>
      </c>
      <c r="H16" s="3057">
        <f t="shared" si="5"/>
        <v>-2.5166861875201207</v>
      </c>
      <c r="I16" s="3057">
        <f t="shared" si="6"/>
        <v>-2.5166861875201207</v>
      </c>
      <c r="J16" s="3057">
        <f t="shared" si="7"/>
        <v>-0.37632542770088911</v>
      </c>
      <c r="K16" s="3514">
        <f t="shared" si="8"/>
        <v>-0.18525822885719337</v>
      </c>
      <c r="L16" s="3106" t="str">
        <f t="shared" si="9"/>
        <v>NA</v>
      </c>
      <c r="M16" s="2917" t="s">
        <v>274</v>
      </c>
      <c r="N16" s="2917">
        <v>-613.75525805281507</v>
      </c>
      <c r="O16" s="3087">
        <f>IF(SUM(M16:N16)=0,M16,SUM(M16:N16))</f>
        <v>-613.75525805281507</v>
      </c>
      <c r="P16" s="2917">
        <v>-91.776126533276255</v>
      </c>
      <c r="Q16" s="2918">
        <v>-45.179733819215052</v>
      </c>
      <c r="R16" s="2918" t="s">
        <v>274</v>
      </c>
      <c r="S16" s="3511">
        <f>IF(SUM(O16:R16)=0,Q16,SUM(O16:R16)*-44/12)</f>
        <v>2752.6074341527897</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69.227411273361199</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69.227411273361199</v>
      </c>
    </row>
    <row r="270" spans="2:10" ht="18" customHeight="1" x14ac:dyDescent="0.2">
      <c r="B270" s="2842" t="s">
        <v>1550</v>
      </c>
      <c r="C270" s="2843"/>
      <c r="D270" s="2823"/>
      <c r="E270" s="2824"/>
      <c r="F270" s="2825"/>
      <c r="G270" s="2826"/>
      <c r="H270" s="2834" t="s">
        <v>221</v>
      </c>
      <c r="I270" s="2830" t="s">
        <v>221</v>
      </c>
      <c r="J270" s="3659">
        <f>J277</f>
        <v>56.293008719593843</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521.85175750066196</v>
      </c>
      <c r="E277" s="2770" t="s">
        <v>205</v>
      </c>
      <c r="F277" s="2768" t="s">
        <v>205</v>
      </c>
      <c r="G277" s="3653">
        <f>IF(SUM(D277)=0,"NA",J277*1000/D277)</f>
        <v>107.87164728389831</v>
      </c>
      <c r="H277" s="2793" t="str">
        <f t="shared" ref="H277:J277" si="1">H302</f>
        <v>NE</v>
      </c>
      <c r="I277" s="2792" t="str">
        <f t="shared" si="1"/>
        <v>NE</v>
      </c>
      <c r="J277" s="3652">
        <f t="shared" si="1"/>
        <v>56.293008719593843</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334.72070036716735</v>
      </c>
      <c r="E281" s="2770" t="str">
        <f t="shared" si="2"/>
        <v>NA</v>
      </c>
      <c r="F281" s="2768" t="str">
        <f t="shared" si="2"/>
        <v>NA</v>
      </c>
      <c r="G281" s="3653">
        <f t="shared" si="2"/>
        <v>123.15320909234245</v>
      </c>
      <c r="H281" s="2795" t="str">
        <f t="shared" ref="H281" si="3">H306</f>
        <v>NA</v>
      </c>
      <c r="I281" s="2773" t="str">
        <f t="shared" ref="I281:J281" si="4">I306</f>
        <v>NA</v>
      </c>
      <c r="J281" s="3662">
        <f t="shared" si="4"/>
        <v>41.221928399853063</v>
      </c>
    </row>
    <row r="282" spans="2:10" ht="18" customHeight="1" outlineLevel="1" x14ac:dyDescent="0.2">
      <c r="B282" s="2862" t="str">
        <f>B307</f>
        <v>Other Constructed Water Bodies</v>
      </c>
      <c r="C282" s="2850" t="str">
        <f t="shared" si="2"/>
        <v>Other Constructed Water Bodies</v>
      </c>
      <c r="D282" s="3647">
        <f t="shared" si="2"/>
        <v>187.13105713349466</v>
      </c>
      <c r="E282" s="2770" t="str">
        <f t="shared" si="2"/>
        <v>NA</v>
      </c>
      <c r="F282" s="2768" t="str">
        <f t="shared" si="2"/>
        <v>NA</v>
      </c>
      <c r="G282" s="3653">
        <f t="shared" si="2"/>
        <v>80.537568432531458</v>
      </c>
      <c r="H282" s="2860" t="str">
        <f t="shared" ref="H282" si="5">H307</f>
        <v>NA</v>
      </c>
      <c r="I282" s="2861" t="str">
        <f t="shared" ref="I282:J282" si="6">I307</f>
        <v>NA</v>
      </c>
      <c r="J282" s="3662">
        <f t="shared" si="6"/>
        <v>15.07108031974078</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56.293008719593843</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521.85175750066196</v>
      </c>
      <c r="E302" s="2770" t="s">
        <v>205</v>
      </c>
      <c r="F302" s="2768" t="s">
        <v>205</v>
      </c>
      <c r="G302" s="3653">
        <f>IF(SUM(D302)=0,"NA",J302*1000/D302)</f>
        <v>107.87164728389831</v>
      </c>
      <c r="H302" s="2793" t="s">
        <v>221</v>
      </c>
      <c r="I302" s="2792" t="s">
        <v>221</v>
      </c>
      <c r="J302" s="3652">
        <f t="shared" ref="J302" si="7">IF(SUM(J306:J307)=0,"NO",SUM(J306:J307))</f>
        <v>56.293008719593843</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334.72070036716735</v>
      </c>
      <c r="E306" s="2770" t="s">
        <v>205</v>
      </c>
      <c r="F306" s="2768" t="s">
        <v>205</v>
      </c>
      <c r="G306" s="3653">
        <f>IF(SUM(D306)=0,"NA",J306*1000/D306)</f>
        <v>123.15320909234245</v>
      </c>
      <c r="H306" s="2795" t="s">
        <v>205</v>
      </c>
      <c r="I306" s="2773" t="s">
        <v>205</v>
      </c>
      <c r="J306" s="3662">
        <v>41.221928399853063</v>
      </c>
    </row>
    <row r="307" spans="2:10" ht="18" customHeight="1" outlineLevel="2" x14ac:dyDescent="0.2">
      <c r="B307" s="2862" t="s">
        <v>1554</v>
      </c>
      <c r="C307" s="2850" t="s">
        <v>1554</v>
      </c>
      <c r="D307" s="3650">
        <v>187.13105713349466</v>
      </c>
      <c r="E307" s="2770" t="s">
        <v>205</v>
      </c>
      <c r="F307" s="2768" t="s">
        <v>205</v>
      </c>
      <c r="G307" s="3653">
        <f>IF(SUM(D307)=0,"NA",J307*1000/D307)</f>
        <v>80.537568432531458</v>
      </c>
      <c r="H307" s="2795" t="s">
        <v>205</v>
      </c>
      <c r="I307" s="2773" t="s">
        <v>205</v>
      </c>
      <c r="J307" s="3662">
        <v>15.07108031974078</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12.934402553767359</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71.414233948863625</v>
      </c>
      <c r="E327" s="2791" t="str">
        <f t="shared" ref="E327:J327" si="8">E331</f>
        <v>NA</v>
      </c>
      <c r="F327" s="2792" t="str">
        <f t="shared" si="8"/>
        <v>NA</v>
      </c>
      <c r="G327" s="3655">
        <f t="shared" si="8"/>
        <v>181.11799060995426</v>
      </c>
      <c r="H327" s="2793" t="str">
        <f t="shared" si="8"/>
        <v>IE</v>
      </c>
      <c r="I327" s="2792" t="str">
        <f t="shared" si="8"/>
        <v>NA</v>
      </c>
      <c r="J327" s="3652">
        <f t="shared" si="8"/>
        <v>12.934402553767359</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71.414233948863625</v>
      </c>
      <c r="E331" s="2770" t="str">
        <f t="shared" si="9"/>
        <v>NA</v>
      </c>
      <c r="F331" s="2768" t="str">
        <f t="shared" si="9"/>
        <v>NA</v>
      </c>
      <c r="G331" s="3653">
        <f t="shared" si="9"/>
        <v>181.11799060995426</v>
      </c>
      <c r="H331" s="2780" t="str">
        <f t="shared" si="9"/>
        <v>IE</v>
      </c>
      <c r="I331" s="2773" t="str">
        <f t="shared" si="9"/>
        <v>NA</v>
      </c>
      <c r="J331" s="3662">
        <f t="shared" si="9"/>
        <v>12.934402553767359</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12.934402553767359</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71.414233948863625</v>
      </c>
      <c r="E411" s="2791" t="str">
        <f t="shared" ref="E411:J411" si="10">E415</f>
        <v>NA</v>
      </c>
      <c r="F411" s="2792" t="str">
        <f t="shared" si="10"/>
        <v>NA</v>
      </c>
      <c r="G411" s="3655">
        <f t="shared" si="10"/>
        <v>181.11799060995426</v>
      </c>
      <c r="H411" s="2793" t="str">
        <f t="shared" si="10"/>
        <v>IE</v>
      </c>
      <c r="I411" s="2792" t="str">
        <f t="shared" si="10"/>
        <v>NA</v>
      </c>
      <c r="J411" s="3652">
        <f t="shared" si="10"/>
        <v>12.934402553767359</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71.414233948863625</v>
      </c>
      <c r="E415" s="2770" t="str">
        <f>E427</f>
        <v>NA</v>
      </c>
      <c r="F415" s="2768" t="str">
        <f>F427</f>
        <v>NA</v>
      </c>
      <c r="G415" s="3653">
        <f t="shared" ref="G415:J415" si="11">G427</f>
        <v>181.11799060995426</v>
      </c>
      <c r="H415" s="2795" t="str">
        <f t="shared" si="11"/>
        <v>IE</v>
      </c>
      <c r="I415" s="2773" t="str">
        <f t="shared" si="11"/>
        <v>NA</v>
      </c>
      <c r="J415" s="3662">
        <f t="shared" si="11"/>
        <v>12.934402553767359</v>
      </c>
    </row>
    <row r="416" spans="2:10" ht="18" customHeight="1" outlineLevel="2" x14ac:dyDescent="0.2">
      <c r="B416" s="2857" t="s">
        <v>1564</v>
      </c>
      <c r="C416" s="2843"/>
      <c r="D416" s="3649"/>
      <c r="E416" s="2824"/>
      <c r="F416" s="2825"/>
      <c r="G416" s="3656"/>
      <c r="H416" s="2834" t="s">
        <v>221</v>
      </c>
      <c r="I416" s="2830" t="s">
        <v>221</v>
      </c>
      <c r="J416" s="3659">
        <f>J423</f>
        <v>12.934402553767359</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71.414233948863625</v>
      </c>
      <c r="E423" s="2791" t="str">
        <f t="shared" ref="E423:J423" si="12">E427</f>
        <v>NA</v>
      </c>
      <c r="F423" s="2792" t="str">
        <f t="shared" si="12"/>
        <v>NA</v>
      </c>
      <c r="G423" s="3655">
        <f t="shared" si="12"/>
        <v>181.11799060995426</v>
      </c>
      <c r="H423" s="2793" t="str">
        <f t="shared" si="12"/>
        <v>IE</v>
      </c>
      <c r="I423" s="2792" t="str">
        <f t="shared" si="12"/>
        <v>NA</v>
      </c>
      <c r="J423" s="3652">
        <f t="shared" si="12"/>
        <v>12.934402553767359</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71.414233948863625</v>
      </c>
      <c r="E427" s="2770" t="s">
        <v>205</v>
      </c>
      <c r="F427" s="2768" t="s">
        <v>205</v>
      </c>
      <c r="G427" s="3653">
        <f>IF(SUM(D427)=0,"NA",J427*1000/D427)</f>
        <v>181.11799060995426</v>
      </c>
      <c r="H427" s="4306" t="s">
        <v>274</v>
      </c>
      <c r="I427" s="2773" t="s">
        <v>205</v>
      </c>
      <c r="J427" s="3662">
        <v>12.934402553767359</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656977.94480648218</v>
      </c>
      <c r="D10" s="3577">
        <f>IF(SUM(D11,D20,D28,D37,D46,D55)=0,"NO",SUM(D11,D20,D28,D37,D46,D55))</f>
        <v>36541.669389932242</v>
      </c>
      <c r="E10" s="3592">
        <f t="shared" ref="E10:E12" si="0">IF(SUM(C10)=0,"NA",G10/C10*1000/(44/28))</f>
        <v>8.1833587987064152E-4</v>
      </c>
      <c r="F10" s="3593">
        <f t="shared" ref="F10:F11" si="1">IF(SUM(D10)=0,"NA",H10/D10*1000/(44/28))</f>
        <v>7.4999999999999997E-3</v>
      </c>
      <c r="G10" s="4464">
        <f>IF(SUM(G11,G20,G28,G37,G46,G55)=0,"NO",SUM(G11,G20,G28,G37,G46,G55))</f>
        <v>0.84484498138671449</v>
      </c>
      <c r="H10" s="4465">
        <f>IF(SUM(H11,H20,H28,H37,H46,H55)=0,"NO",SUM(H11,H20,H28,H37,H46,H55))</f>
        <v>0.43066967495277286</v>
      </c>
      <c r="I10" s="4466">
        <f t="shared" ref="I10:I11" si="2">IF(SUM(G10:H10)=0,"NO",SUM(G10:H10))</f>
        <v>1.2755146563394875</v>
      </c>
    </row>
    <row r="11" spans="2:10" ht="18" customHeight="1" x14ac:dyDescent="0.2">
      <c r="B11" s="2863" t="s">
        <v>1605</v>
      </c>
      <c r="C11" s="3578">
        <f>IF(SUM(C12:C13)=0,"NO",SUM(C12:C13))</f>
        <v>137320.34810096317</v>
      </c>
      <c r="D11" s="3579">
        <f>IF(SUM(D12:D13)=0,"NO",SUM(D12:D13))</f>
        <v>22229.360072363714</v>
      </c>
      <c r="E11" s="3594">
        <f t="shared" si="0"/>
        <v>2.7295448701530386E-3</v>
      </c>
      <c r="F11" s="3595">
        <f t="shared" si="1"/>
        <v>7.4999999999999997E-3</v>
      </c>
      <c r="G11" s="4467">
        <f>IF(SUM(G12:G13)=0,"NO",SUM(G12:G13))</f>
        <v>0.58900608128467846</v>
      </c>
      <c r="H11" s="4468">
        <f>IF(SUM(H12:H13)=0,"NO",SUM(H12:H13))</f>
        <v>0.26198888656714375</v>
      </c>
      <c r="I11" s="4469">
        <f t="shared" si="2"/>
        <v>0.85099496785182227</v>
      </c>
    </row>
    <row r="12" spans="2:10" ht="18" customHeight="1" x14ac:dyDescent="0.2">
      <c r="B12" s="917" t="s">
        <v>1606</v>
      </c>
      <c r="C12" s="3580">
        <f>Table4.A!E11</f>
        <v>131111.404604718</v>
      </c>
      <c r="D12" s="3581">
        <f>H12/F12*1000/(44/28)</f>
        <v>7526.9062316455156</v>
      </c>
      <c r="E12" s="3596">
        <f t="shared" si="0"/>
        <v>8.9680494957040805E-4</v>
      </c>
      <c r="F12" s="3597">
        <v>7.4999999999999997E-3</v>
      </c>
      <c r="G12" s="4470">
        <v>0.18477070322014777</v>
      </c>
      <c r="H12" s="4471">
        <v>8.8709966301536422E-2</v>
      </c>
      <c r="I12" s="4472">
        <f>IF(SUM(G12:H12)=0,"NO",SUM(G12:H12))</f>
        <v>0.27348066952168421</v>
      </c>
    </row>
    <row r="13" spans="2:10" ht="18" customHeight="1" x14ac:dyDescent="0.2">
      <c r="B13" s="917" t="s">
        <v>1607</v>
      </c>
      <c r="C13" s="3582">
        <f>IF(SUM(C15:C19)=0,"NO",SUM(C15:C19))</f>
        <v>6208.9434962451523</v>
      </c>
      <c r="D13" s="3583">
        <f>IF(SUM(D15:D19)=0,"NO",SUM(D15:D19))</f>
        <v>14702.453840718199</v>
      </c>
      <c r="E13" s="3599">
        <f>IF(SUM(C13)=0,"NA",G13/C13*1000/(44/28))</f>
        <v>4.1430670980906803E-2</v>
      </c>
      <c r="F13" s="3598">
        <f>IF(SUM(D13)=0,"NA",H13/D13*1000/(44/28))</f>
        <v>7.4999999999999997E-3</v>
      </c>
      <c r="G13" s="4473">
        <f>IF(SUM(G15:G19)=0,"NO",SUM(G15:G19))</f>
        <v>0.40423537806453064</v>
      </c>
      <c r="H13" s="4474">
        <f>IF(SUM(H15:H19)=0,"NO",SUM(H15:H19))</f>
        <v>0.17327892026560734</v>
      </c>
      <c r="I13" s="4472">
        <f>IF(SUM(G13:H13)=0,"NO",SUM(G13:H13))</f>
        <v>0.57751429833013801</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61.415367731964643</v>
      </c>
      <c r="D15" s="3581">
        <f>H15/F15*1000/(44/28)</f>
        <v>135.42346299946468</v>
      </c>
      <c r="E15" s="3599">
        <f>IF(SUM(C15)=0,"NA",G15/C15*1000/(44/28))</f>
        <v>4.9579098621465673E-2</v>
      </c>
      <c r="F15" s="3597">
        <v>7.4999999999999997E-3</v>
      </c>
      <c r="G15" s="4477">
        <v>4.7848720443176016E-3</v>
      </c>
      <c r="H15" s="4478">
        <v>1.5960622424936906E-3</v>
      </c>
      <c r="I15" s="4472">
        <f>IF(SUM(G15:H15)=0,"NO",SUM(G15:H15))</f>
        <v>6.3809342868112922E-3</v>
      </c>
    </row>
    <row r="16" spans="2:10" ht="18" customHeight="1" x14ac:dyDescent="0.2">
      <c r="B16" s="518" t="s">
        <v>1609</v>
      </c>
      <c r="C16" s="3584">
        <f>Table4.A!E19</f>
        <v>6111.7614746899189</v>
      </c>
      <c r="D16" s="3581">
        <f>H16/F16*1000/(44/28)</f>
        <v>14397.585031653207</v>
      </c>
      <c r="E16" s="3599">
        <f t="shared" ref="E16:E21" si="3">IF(SUM(C16)=0,"NA",G16/C16*1000/(44/28))</f>
        <v>4.0970539771861353E-2</v>
      </c>
      <c r="F16" s="3597">
        <v>7.4999999999999997E-3</v>
      </c>
      <c r="G16" s="4477">
        <v>0.39348911890343524</v>
      </c>
      <c r="H16" s="4478">
        <v>0.16968582358734136</v>
      </c>
      <c r="I16" s="4472">
        <f t="shared" ref="I16:I21" si="4">IF(SUM(G16:H16)=0,"NO",SUM(G16:H16))</f>
        <v>0.5631749424907766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35.766653823269138</v>
      </c>
      <c r="D18" s="3581">
        <f>H18/F18*1000/(44/28)</f>
        <v>169.44534606552739</v>
      </c>
      <c r="E18" s="3599">
        <f t="shared" si="3"/>
        <v>0.1060655548642911</v>
      </c>
      <c r="F18" s="3597">
        <v>7.4999999999999997E-3</v>
      </c>
      <c r="G18" s="4477">
        <v>5.9613871167778082E-3</v>
      </c>
      <c r="H18" s="4478">
        <v>1.9970344357722871E-3</v>
      </c>
      <c r="I18" s="4472">
        <f t="shared" si="4"/>
        <v>7.9584215525500962E-3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2102.1213237587372</v>
      </c>
      <c r="D20" s="3589">
        <f>D21</f>
        <v>2173.8382535873579</v>
      </c>
      <c r="E20" s="3602">
        <f t="shared" si="3"/>
        <v>1.8417048968709829E-2</v>
      </c>
      <c r="F20" s="3603">
        <f t="shared" si="5"/>
        <v>7.4999999999999997E-3</v>
      </c>
      <c r="G20" s="4482">
        <f>G21</f>
        <v>6.0837654990881673E-2</v>
      </c>
      <c r="H20" s="4483">
        <f>H21</f>
        <v>2.5620236560136716E-2</v>
      </c>
      <c r="I20" s="4484">
        <f t="shared" si="4"/>
        <v>8.6457891551018393E-2</v>
      </c>
    </row>
    <row r="21" spans="2:9" ht="18" customHeight="1" x14ac:dyDescent="0.2">
      <c r="B21" s="917" t="s">
        <v>1614</v>
      </c>
      <c r="C21" s="3582">
        <f>IF(SUM(C23:C27)=0,"NO",SUM(C23:C27))</f>
        <v>2102.1213237587372</v>
      </c>
      <c r="D21" s="3583">
        <f>IF(SUM(D23:D27)=0,"NO",SUM(D23:D27))</f>
        <v>2173.8382535873579</v>
      </c>
      <c r="E21" s="3599">
        <f t="shared" si="3"/>
        <v>1.8417048968709829E-2</v>
      </c>
      <c r="F21" s="3598">
        <f t="shared" si="5"/>
        <v>7.4999999999999997E-3</v>
      </c>
      <c r="G21" s="4473">
        <f>IF(SUM(G23:G27)=0,"NO",SUM(G23:G27))</f>
        <v>6.0837654990881673E-2</v>
      </c>
      <c r="H21" s="4474">
        <f>IF(SUM(H23:H27)=0,"NO",SUM(H23:H27))</f>
        <v>2.5620236560136716E-2</v>
      </c>
      <c r="I21" s="4472">
        <f t="shared" si="4"/>
        <v>8.6457891551018393E-2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2102.1213237587372</v>
      </c>
      <c r="D23" s="3581">
        <f>H23/F23*1000/(44/28)</f>
        <v>2173.8382535873579</v>
      </c>
      <c r="E23" s="3599">
        <f>IF(SUM(C23)=0,"NA",G23/C23*1000/(44/28))</f>
        <v>1.8417048968709829E-2</v>
      </c>
      <c r="F23" s="3597">
        <v>7.4999999999999997E-3</v>
      </c>
      <c r="G23" s="4477">
        <v>6.0837654990881673E-2</v>
      </c>
      <c r="H23" s="4478">
        <v>2.5620236560136716E-2</v>
      </c>
      <c r="I23" s="4472">
        <f>IF(SUM(G23:H23)=0,"NO",SUM(G23:H23))</f>
        <v>8.6457891551018393E-2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516303.9795569288</v>
      </c>
      <c r="D28" s="3579">
        <f>IF(SUM(D29:D30)=0,"NO",SUM(D29:D30))</f>
        <v>11867.739780547612</v>
      </c>
      <c r="E28" s="3594">
        <f t="shared" si="6"/>
        <v>2.2913398777539909E-4</v>
      </c>
      <c r="F28" s="3595">
        <f t="shared" si="7"/>
        <v>7.4999999999999997E-3</v>
      </c>
      <c r="G28" s="4467">
        <f>IF(SUM(G29:G30)=0,"NO",SUM(G29:G30))</f>
        <v>0.18590438387743707</v>
      </c>
      <c r="H28" s="4468">
        <f>IF(SUM(H29:H30)=0,"NO",SUM(H29:H30))</f>
        <v>0.1398697902707397</v>
      </c>
      <c r="I28" s="4484">
        <f t="shared" si="8"/>
        <v>0.32577417414817678</v>
      </c>
    </row>
    <row r="29" spans="2:9" ht="18" customHeight="1" x14ac:dyDescent="0.2">
      <c r="B29" s="917" t="s">
        <v>1621</v>
      </c>
      <c r="C29" s="3580">
        <f>Table4.C!E11</f>
        <v>507007.37511375197</v>
      </c>
      <c r="D29" s="3581">
        <f>H29/F29*1000/(44/28)</f>
        <v>11493.326375175511</v>
      </c>
      <c r="E29" s="3596">
        <f t="shared" si="6"/>
        <v>2.2300275531688613E-4</v>
      </c>
      <c r="F29" s="3597">
        <v>7.4999999999999997E-3</v>
      </c>
      <c r="G29" s="4470">
        <v>0.17767206539711944</v>
      </c>
      <c r="H29" s="4471">
        <v>0.13545706085028281</v>
      </c>
      <c r="I29" s="4472">
        <f t="shared" si="8"/>
        <v>0.31312912624740225</v>
      </c>
    </row>
    <row r="30" spans="2:9" ht="18" customHeight="1" x14ac:dyDescent="0.2">
      <c r="B30" s="917" t="s">
        <v>1622</v>
      </c>
      <c r="C30" s="3582">
        <f>IF(SUM(C32:C36)=0,"NO",SUM(C32:C36))</f>
        <v>9296.6044431768278</v>
      </c>
      <c r="D30" s="3583">
        <f>IF(SUM(D32:D36)=0,"NO",SUM(D32:D36))</f>
        <v>374.4134053721001</v>
      </c>
      <c r="E30" s="3599">
        <f>IF(SUM(C30)=0,"NA",G30/C30*1000/(44/28))</f>
        <v>5.6351199578932583E-4</v>
      </c>
      <c r="F30" s="3598">
        <f>IF(SUM(D30)=0,"NA",H30/D30*1000/(44/28))</f>
        <v>7.4999999999999997E-3</v>
      </c>
      <c r="G30" s="4473">
        <f>IF(SUM(G32:G36)=0,"NO",SUM(G32:G36))</f>
        <v>8.2323184803176248E-3</v>
      </c>
      <c r="H30" s="4474">
        <f>IF(SUM(H32:H36)=0,"NO",SUM(H32:H36))</f>
        <v>4.4127294204568939E-3</v>
      </c>
      <c r="I30" s="4472">
        <f t="shared" si="8"/>
        <v>1.2645047900774519E-2</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9296.6044431768278</v>
      </c>
      <c r="D32" s="3581">
        <f>H32/F32*1000/(44/28)</f>
        <v>374.4134053721001</v>
      </c>
      <c r="E32" s="3599">
        <f>IF(SUM(C32)=0,"NA",G32/C32*1000/(44/28))</f>
        <v>5.6351199578932583E-4</v>
      </c>
      <c r="F32" s="3597">
        <v>7.4999999999999997E-3</v>
      </c>
      <c r="G32" s="4477">
        <v>8.2323184803176248E-3</v>
      </c>
      <c r="H32" s="4478">
        <v>4.4127294204568939E-3</v>
      </c>
      <c r="I32" s="4472">
        <f t="shared" si="8"/>
        <v>1.2645047900774519E-2</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1251.4958248315618</v>
      </c>
      <c r="D46" s="3579">
        <f>IF(SUM(D47:D48)=0,"NO",SUM(D47:D48))</f>
        <v>270.73128343355995</v>
      </c>
      <c r="E46" s="3594">
        <f t="shared" si="11"/>
        <v>4.6255940925434757E-3</v>
      </c>
      <c r="F46" s="3595">
        <f t="shared" si="12"/>
        <v>7.4999999999999997E-3</v>
      </c>
      <c r="G46" s="4467">
        <f>IF(SUM(G47:G48)=0,"NO",SUM(G47:G48))</f>
        <v>9.0968612337172378E-3</v>
      </c>
      <c r="H46" s="4468">
        <f>IF(SUM(H47:H48)=0,"NO",SUM(H47:H48))</f>
        <v>3.1907615547526707E-3</v>
      </c>
      <c r="I46" s="4469">
        <f t="shared" si="8"/>
        <v>1.2287622788469909E-2</v>
      </c>
    </row>
    <row r="47" spans="2:9" ht="18" customHeight="1" x14ac:dyDescent="0.2">
      <c r="B47" s="917" t="s">
        <v>1637</v>
      </c>
      <c r="C47" s="3580">
        <f>Table4.E!E11</f>
        <v>1007.621454997</v>
      </c>
      <c r="D47" s="3581">
        <f>H47/F47*1000/(44/28)</f>
        <v>28.520226608507119</v>
      </c>
      <c r="E47" s="3596">
        <f t="shared" si="11"/>
        <v>3.9763200777084942E-4</v>
      </c>
      <c r="F47" s="3597">
        <v>7.4999999999999997E-3</v>
      </c>
      <c r="G47" s="4470">
        <v>6.2961256635112267E-4</v>
      </c>
      <c r="H47" s="4471">
        <v>3.36131242171691E-4</v>
      </c>
      <c r="I47" s="4472">
        <f t="shared" si="8"/>
        <v>9.6574380852281361E-4</v>
      </c>
    </row>
    <row r="48" spans="2:9" ht="18" customHeight="1" x14ac:dyDescent="0.2">
      <c r="B48" s="917" t="s">
        <v>1638</v>
      </c>
      <c r="C48" s="3582">
        <f>IF(SUM(C50:C54)=0,"NO",SUM(C50:C54))</f>
        <v>243.87436983456172</v>
      </c>
      <c r="D48" s="3583">
        <f>IF(SUM(D50:D54)=0,"NO",SUM(D50:D54))</f>
        <v>242.21105682505282</v>
      </c>
      <c r="E48" s="3599">
        <f>IF(SUM(C48)=0,"NA",G48/C48*1000/(44/28))</f>
        <v>2.2094364223741551E-2</v>
      </c>
      <c r="F48" s="3598">
        <f>IF(SUM(D48)=0,"NA",H48/D48*1000/(44/28))</f>
        <v>7.4999999999999997E-3</v>
      </c>
      <c r="G48" s="4473">
        <f>IF(SUM(G50:G54)=0,"NO",SUM(G50:G54))</f>
        <v>8.4672486673661156E-3</v>
      </c>
      <c r="H48" s="4474">
        <f>IF(SUM(H50:H54)=0,"NO",SUM(H50:H54))</f>
        <v>2.8546303125809797E-3</v>
      </c>
      <c r="I48" s="4472">
        <f t="shared" si="8"/>
        <v>1.1321878979947096E-2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243.87436983456172</v>
      </c>
      <c r="D50" s="3581">
        <f>H50/F50*1000/(44/28)</f>
        <v>242.21105682505282</v>
      </c>
      <c r="E50" s="3599">
        <f>IF(SUM(C50)=0,"NA",G50/C50*1000/(44/28))</f>
        <v>2.2094364223741551E-2</v>
      </c>
      <c r="F50" s="3597">
        <v>7.4999999999999997E-3</v>
      </c>
      <c r="G50" s="4477">
        <v>8.4672486673661156E-3</v>
      </c>
      <c r="H50" s="4478">
        <v>2.8546303125809797E-3</v>
      </c>
      <c r="I50" s="4472">
        <f t="shared" si="8"/>
        <v>1.1321878979947096E-2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4134193.2425535037</v>
      </c>
      <c r="D10" s="3055" t="s">
        <v>97</v>
      </c>
      <c r="E10" s="615"/>
      <c r="F10" s="615"/>
      <c r="G10" s="615"/>
      <c r="H10" s="1938">
        <f>IF(SUM(H11:H15)=0,"NO",SUM(H11:H15))</f>
        <v>291389.68945926498</v>
      </c>
      <c r="I10" s="1938">
        <f t="shared" ref="I10:K10" si="0">IF(SUM(I11:I16)=0,"NO",SUM(I11:I16))</f>
        <v>128.54219617695566</v>
      </c>
      <c r="J10" s="1938">
        <f t="shared" si="0"/>
        <v>8.7468410505869389</v>
      </c>
      <c r="K10" s="3064" t="str">
        <f t="shared" si="0"/>
        <v>NO</v>
      </c>
    </row>
    <row r="11" spans="2:11" ht="18" customHeight="1" x14ac:dyDescent="0.2">
      <c r="B11" s="282" t="s">
        <v>243</v>
      </c>
      <c r="C11" s="3065">
        <f>IF(SUM(C18,'Table1.A(a)s2'!C11,'Table1.A(a)s3'!C11,'Table1.A(a)s4'!C11,'Table1.A(a)s4'!C94)=0,"NO",SUM(C18,'Table1.A(a)s2'!C11,'Table1.A(a)s3'!C11,'Table1.A(a)s4'!C11,'Table1.A(a)s4'!C94))</f>
        <v>1404568.7629622885</v>
      </c>
      <c r="D11" s="3056" t="s">
        <v>244</v>
      </c>
      <c r="E11" s="1938">
        <f>IFERROR(H11*1000/$C11,"NA")</f>
        <v>68.002415253027891</v>
      </c>
      <c r="F11" s="1938">
        <f t="shared" ref="F11:G16" si="1">IFERROR(I11*1000000/$C11,"NA")</f>
        <v>22.658300894545466</v>
      </c>
      <c r="G11" s="1938">
        <f t="shared" si="1"/>
        <v>3.9342721092733428</v>
      </c>
      <c r="H11" s="1938">
        <f>IF(SUM(H18,'Table1.A(a)s2'!H11,'Table1.A(a)s3'!H11,'Table1.A(a)s4'!H11,'Table1.A(a)s4'!H94)=0,"NO",SUM(H18,'Table1.A(a)s2'!H11,'Table1.A(a)s3'!H11,'Table1.A(a)s4'!H11,'Table1.A(a)s4'!H94))</f>
        <v>95514.06827039324</v>
      </c>
      <c r="I11" s="1938">
        <f>IF(SUM(I18,'Table1.A(a)s2'!I11,'Table1.A(a)s3'!I11,'Table1.A(a)s4'!I11,'Table1.A(a)s4'!I94)=0,"NO",SUM(I18,'Table1.A(a)s2'!I11,'Table1.A(a)s3'!I11,'Table1.A(a)s4'!I11,'Table1.A(a)s4'!I94))</f>
        <v>31.825141658279041</v>
      </c>
      <c r="J11" s="1938">
        <f>IF(SUM(J18,'Table1.A(a)s2'!J11,'Table1.A(a)s3'!J11,'Table1.A(a)s4'!J11,'Table1.A(a)s4'!J94)=0,"NO",SUM(J18,'Table1.A(a)s2'!J11,'Table1.A(a)s3'!J11,'Table1.A(a)s4'!J11,'Table1.A(a)s4'!J94))</f>
        <v>5.5259557096790921</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1737821.0786533633</v>
      </c>
      <c r="D12" s="3056" t="s">
        <v>97</v>
      </c>
      <c r="E12" s="1938">
        <f t="shared" ref="E12:E16" si="2">IFERROR(H12*1000/$C12,"NA")</f>
        <v>89.749904396037294</v>
      </c>
      <c r="F12" s="1938">
        <f t="shared" si="1"/>
        <v>0.69828066671506051</v>
      </c>
      <c r="G12" s="1938">
        <f t="shared" si="1"/>
        <v>0.94934298598167088</v>
      </c>
      <c r="H12" s="1938">
        <f>IF(SUM(H19,'Table1.A(a)s2'!H12,'Table1.A(a)s3'!H12,'Table1.A(a)s4'!H12,'Table1.A(a)s4'!H95)=0,"NO",SUM(H19,'Table1.A(a)s2'!H12,'Table1.A(a)s3'!H12,'Table1.A(a)s4'!H12,'Table1.A(a)s4'!H95))</f>
        <v>155969.27566655775</v>
      </c>
      <c r="I12" s="1938">
        <f>IF(SUM(I19,'Table1.A(a)s2'!I12,'Table1.A(a)s3'!I12,'Table1.A(a)s4'!I12,'Table1.A(a)s4'!I95)=0,"NO",SUM(I19,'Table1.A(a)s2'!I12,'Table1.A(a)s3'!I12,'Table1.A(a)s4'!I12,'Table1.A(a)s4'!I95))</f>
        <v>1.2134868614335561</v>
      </c>
      <c r="J12" s="1938">
        <f>IF(SUM(J19,'Table1.A(a)s2'!J12,'Table1.A(a)s3'!J12,'Table1.A(a)s4'!J12,'Table1.A(a)s4'!J95)=0,"NO",SUM(J19,'Table1.A(a)s2'!J12,'Table1.A(a)s3'!J12,'Table1.A(a)s4'!J12,'Table1.A(a)s4'!J95))</f>
        <v>1.6497882519106721</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768255.28176571755</v>
      </c>
      <c r="D13" s="3056" t="s">
        <v>244</v>
      </c>
      <c r="E13" s="1938">
        <f t="shared" si="2"/>
        <v>51.440677037933057</v>
      </c>
      <c r="F13" s="1938">
        <f t="shared" si="1"/>
        <v>8.1121200109759233</v>
      </c>
      <c r="G13" s="1938">
        <f t="shared" si="1"/>
        <v>0.74442762174082278</v>
      </c>
      <c r="H13" s="1938">
        <f>IF(SUM(H20,'Table1.A(a)s2'!H13,'Table1.A(a)s3'!H13,'Table1.A(a)s4'!H13,'Table1.A(a)s4'!H96)=0,"NO",SUM(H20,'Table1.A(a)s2'!H13,'Table1.A(a)s3'!H13,'Table1.A(a)s4'!H13,'Table1.A(a)s4'!H96))</f>
        <v>39519.571831996538</v>
      </c>
      <c r="I13" s="1938">
        <f>IF(SUM(I20,'Table1.A(a)s2'!I13,'Table1.A(a)s3'!I13,'Table1.A(a)s4'!I13,'Table1.A(a)s4'!I96)=0,"NO",SUM(I20,'Table1.A(a)s2'!I13,'Table1.A(a)s3'!I13,'Table1.A(a)s4'!I13,'Table1.A(a)s4'!I96))</f>
        <v>6.232179044749623</v>
      </c>
      <c r="J13" s="1938">
        <f>IF(SUM(J20,'Table1.A(a)s2'!J13,'Table1.A(a)s3'!J13,'Table1.A(a)s4'!J13,'Table1.A(a)s4'!J96)=0,"NO",SUM(J20,'Table1.A(a)s2'!J13,'Table1.A(a)s3'!J13,'Table1.A(a)s4'!J13,'Table1.A(a)s4'!J96))</f>
        <v>0.57191045229467874</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4301.4691721343725</v>
      </c>
      <c r="D14" s="3056" t="s">
        <v>244</v>
      </c>
      <c r="E14" s="1938">
        <f t="shared" si="2"/>
        <v>89.916648205462778</v>
      </c>
      <c r="F14" s="1938">
        <f t="shared" si="1"/>
        <v>31.840283986515473</v>
      </c>
      <c r="G14" s="1938">
        <f t="shared" si="1"/>
        <v>0.99500887457860854</v>
      </c>
      <c r="H14" s="1938">
        <f>IF(SUM(H21,'Table1.A(a)s2'!H14,'Table1.A(a)s3'!H14,'Table1.A(a)s4'!H14,'Table1.A(a)s4'!H97)=0,"NO",SUM(H21,'Table1.A(a)s2'!H14,'Table1.A(a)s3'!H14,'Table1.A(a)s4'!H14,'Table1.A(a)s4'!H97))</f>
        <v>386.77369031744956</v>
      </c>
      <c r="I14" s="1938">
        <f>IF(SUM(I21,'Table1.A(a)s2'!I14,'Table1.A(a)s3'!I14,'Table1.A(a)s4'!I14,'Table1.A(a)s4'!I97)=0,"NO",SUM(I21,'Table1.A(a)s2'!I14,'Table1.A(a)s3'!I14,'Table1.A(a)s4'!I14,'Table1.A(a)s4'!I97))</f>
        <v>0.13696000000000003</v>
      </c>
      <c r="J14" s="1938">
        <f>IF(SUM(J21,'Table1.A(a)s2'!J14,'Table1.A(a)s3'!J14,'Table1.A(a)s4'!J14,'Table1.A(a)s4'!J97)=0,"NO",SUM(J21,'Table1.A(a)s2'!J14,'Table1.A(a)s3'!J14,'Table1.A(a)s4'!J14,'Table1.A(a)s4'!J97))</f>
        <v>4.2800000000000008E-3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219246.64999999997</v>
      </c>
      <c r="D16" s="3058" t="s">
        <v>244</v>
      </c>
      <c r="E16" s="2891">
        <f t="shared" si="2"/>
        <v>86.754511916145589</v>
      </c>
      <c r="F16" s="1938">
        <f t="shared" si="1"/>
        <v>406.54864561211514</v>
      </c>
      <c r="G16" s="1938">
        <f t="shared" si="1"/>
        <v>4.537841908656282</v>
      </c>
      <c r="H16" s="2891">
        <f>IF(SUM(H23,'Table1.A(a)s2'!H16,'Table1.A(a)s3'!H15,'Table1.A(a)s4'!H16,'Table1.A(a)s4'!H99)=0,"NO",SUM(H23,'Table1.A(a)s2'!H16,'Table1.A(a)s3'!H15,'Table1.A(a)s4'!H16,'Table1.A(a)s4'!H99))</f>
        <v>19020.636109999999</v>
      </c>
      <c r="I16" s="2891">
        <f>IF(SUM(I23,'Table1.A(a)s2'!I16,'Table1.A(a)s3'!I15,'Table1.A(a)s4'!I16,'Table1.A(a)s4'!I99)=0,"NO",SUM(I23,'Table1.A(a)s2'!I16,'Table1.A(a)s3'!I15,'Table1.A(a)s4'!I16,'Table1.A(a)s4'!I99))</f>
        <v>89.134428612493423</v>
      </c>
      <c r="J16" s="2891">
        <f>IF(SUM(J23,'Table1.A(a)s2'!J16,'Table1.A(a)s3'!J15,'Table1.A(a)s4'!J16,'Table1.A(a)s4'!J99)=0,"NO",SUM(J23,'Table1.A(a)s2'!J16,'Table1.A(a)s3'!J15,'Table1.A(a)s4'!J16,'Table1.A(a)s4'!J99))</f>
        <v>0.99490663670249557</v>
      </c>
      <c r="K16" s="3045" t="str">
        <f>IF(SUM(K23,'Table1.A(a)s2'!K16,'Table1.A(a)s3'!K15,'Table1.A(a)s4'!K16,'Table1.A(a)s4'!K99)=0,"NO",SUM(K23,'Table1.A(a)s2'!K16,'Table1.A(a)s3'!K15,'Table1.A(a)s4'!K16,'Table1.A(a)s4'!K99))</f>
        <v>NO</v>
      </c>
    </row>
    <row r="17" spans="2:12" ht="18" customHeight="1" x14ac:dyDescent="0.2">
      <c r="B17" s="2209" t="s">
        <v>175</v>
      </c>
      <c r="C17" s="3046">
        <f>IF(SUM(C18:C23)=0,"NO",SUM(C18:C23))</f>
        <v>2035951.3370737787</v>
      </c>
      <c r="D17" s="3059" t="s">
        <v>97</v>
      </c>
      <c r="E17" s="3060"/>
      <c r="F17" s="3060"/>
      <c r="G17" s="3060"/>
      <c r="H17" s="3046">
        <f>IF(SUM(H18:H22)=0,"NO",SUM(H18:H22))</f>
        <v>168676.2909260561</v>
      </c>
      <c r="I17" s="3046">
        <f t="shared" ref="I17" si="3">IF(SUM(I18:I23)=0,"NO",SUM(I18:I23))</f>
        <v>7.0619913656581117</v>
      </c>
      <c r="J17" s="3046">
        <f t="shared" ref="J17" si="4">IF(SUM(J18:J23)=0,"NO",SUM(J18:J23))</f>
        <v>2.0352450444763983</v>
      </c>
      <c r="K17" s="3047" t="str">
        <f t="shared" ref="K17" si="5">IF(SUM(K18:K23)=0,"NO",SUM(K18:K23))</f>
        <v>NO</v>
      </c>
    </row>
    <row r="18" spans="2:12" ht="18" customHeight="1" x14ac:dyDescent="0.2">
      <c r="B18" s="282" t="s">
        <v>243</v>
      </c>
      <c r="C18" s="3065">
        <f>IF(SUM(C25,C54,C61)=0,"NO",SUM(C25,C54,C61))</f>
        <v>126064.72432499992</v>
      </c>
      <c r="D18" s="3056" t="s">
        <v>97</v>
      </c>
      <c r="E18" s="1938">
        <f>IFERROR(H18*1000/$C18,"NA")</f>
        <v>67.226487531111047</v>
      </c>
      <c r="F18" s="1938">
        <f t="shared" ref="F18:G23" si="6">IFERROR(I18*1000000/$C18,"NA")</f>
        <v>1.6687373548462632</v>
      </c>
      <c r="G18" s="1938">
        <f t="shared" si="6"/>
        <v>0.93468277326403604</v>
      </c>
      <c r="H18" s="3065">
        <f>IF(SUM(H25,H54,H61)=0,"NO",SUM(H25,H54,H61))</f>
        <v>8474.8886179475576</v>
      </c>
      <c r="I18" s="3065">
        <f>IF(SUM(I25,I54,I61)=0,"NO",SUM(I25,I54,I61))</f>
        <v>0.21036891460952373</v>
      </c>
      <c r="J18" s="3065">
        <f>IF(SUM(J25,J54,J61)=0,"NO",SUM(J25,J54,J61))</f>
        <v>0.11783052614285711</v>
      </c>
      <c r="K18" s="3048" t="str">
        <f>IF(SUM(K25,K54,K61)=0,"NO",SUM(K25,K54,K61))</f>
        <v>NO</v>
      </c>
      <c r="L18" s="19"/>
    </row>
    <row r="19" spans="2:12" ht="18" customHeight="1" x14ac:dyDescent="0.2">
      <c r="B19" s="282" t="s">
        <v>245</v>
      </c>
      <c r="C19" s="3065">
        <f t="shared" ref="C19:C23" si="7">IF(SUM(C26,C55,C62)=0,"NO",SUM(C26,C55,C62))</f>
        <v>1595680.8363616033</v>
      </c>
      <c r="D19" s="3056" t="s">
        <v>97</v>
      </c>
      <c r="E19" s="1938">
        <f t="shared" ref="E19:E23" si="8">IFERROR(H19*1000/$C19,"NA")</f>
        <v>90.75636568351058</v>
      </c>
      <c r="F19" s="1938">
        <f t="shared" si="6"/>
        <v>0.6768173903957414</v>
      </c>
      <c r="G19" s="1938">
        <f t="shared" si="6"/>
        <v>0.97353834424064789</v>
      </c>
      <c r="H19" s="3065">
        <f t="shared" ref="H19:K23" si="9">IF(SUM(H26,H55,H62)=0,"NO",SUM(H26,H55,H62))</f>
        <v>144818.19349900368</v>
      </c>
      <c r="I19" s="3065">
        <f t="shared" si="9"/>
        <v>1.0799845395707544</v>
      </c>
      <c r="J19" s="3065">
        <f t="shared" si="9"/>
        <v>1.5534564793680075</v>
      </c>
      <c r="K19" s="3048" t="str">
        <f t="shared" si="9"/>
        <v>NO</v>
      </c>
      <c r="L19" s="19"/>
    </row>
    <row r="20" spans="2:12" ht="18" customHeight="1" x14ac:dyDescent="0.2">
      <c r="B20" s="282" t="s">
        <v>246</v>
      </c>
      <c r="C20" s="3065">
        <f t="shared" si="7"/>
        <v>298956.02741745277</v>
      </c>
      <c r="D20" s="3056" t="s">
        <v>97</v>
      </c>
      <c r="E20" s="1938">
        <f t="shared" si="8"/>
        <v>51.456426358061805</v>
      </c>
      <c r="F20" s="1938">
        <f t="shared" si="6"/>
        <v>18.771585523916123</v>
      </c>
      <c r="G20" s="1938">
        <f t="shared" si="6"/>
        <v>0.87736329686971082</v>
      </c>
      <c r="H20" s="3065">
        <f t="shared" si="9"/>
        <v>15383.208809104864</v>
      </c>
      <c r="I20" s="3065">
        <f t="shared" si="9"/>
        <v>5.611878636556928</v>
      </c>
      <c r="J20" s="3065">
        <f t="shared" si="9"/>
        <v>0.262293045834048</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15249.748969722825</v>
      </c>
      <c r="D23" s="3056" t="s">
        <v>97</v>
      </c>
      <c r="E23" s="1938">
        <f t="shared" si="8"/>
        <v>95.000000000000014</v>
      </c>
      <c r="F23" s="1938">
        <f t="shared" si="6"/>
        <v>10.476190476190478</v>
      </c>
      <c r="G23" s="1938">
        <f t="shared" si="6"/>
        <v>6.6666666666666661</v>
      </c>
      <c r="H23" s="3065">
        <f t="shared" si="9"/>
        <v>1448.7261521236685</v>
      </c>
      <c r="I23" s="3065">
        <f t="shared" si="9"/>
        <v>0.15975927492090583</v>
      </c>
      <c r="J23" s="3065">
        <f t="shared" si="9"/>
        <v>0.1016649931314855</v>
      </c>
      <c r="K23" s="3048" t="str">
        <f t="shared" si="9"/>
        <v>NO</v>
      </c>
      <c r="L23" s="19"/>
    </row>
    <row r="24" spans="2:12" ht="18" customHeight="1" x14ac:dyDescent="0.2">
      <c r="B24" s="1236" t="s">
        <v>250</v>
      </c>
      <c r="C24" s="3065">
        <f>IF(SUM(C25:C30)=0,"NO",SUM(C25:C30))</f>
        <v>1759678.2591647226</v>
      </c>
      <c r="D24" s="3056" t="s">
        <v>97</v>
      </c>
      <c r="E24" s="615"/>
      <c r="F24" s="615"/>
      <c r="G24" s="615"/>
      <c r="H24" s="3065">
        <f>IF(SUM(H25:H29)=0,"NO",SUM(H25:H29))</f>
        <v>152192.98492193437</v>
      </c>
      <c r="I24" s="3065">
        <f t="shared" ref="I24" si="10">IF(SUM(I25:I30)=0,"NO",SUM(I25:I30))</f>
        <v>1.5518762256586114</v>
      </c>
      <c r="J24" s="3065">
        <f t="shared" ref="J24" si="11">IF(SUM(J25:J30)=0,"NO",SUM(J25:J30))</f>
        <v>1.7790945331887134</v>
      </c>
      <c r="K24" s="3048" t="str">
        <f t="shared" ref="K24" si="12">IF(SUM(K25:K30)=0,"NO",SUM(K25:K30))</f>
        <v>NO</v>
      </c>
      <c r="L24" s="19"/>
    </row>
    <row r="25" spans="2:12" ht="18" customHeight="1" x14ac:dyDescent="0.2">
      <c r="B25" s="160" t="s">
        <v>243</v>
      </c>
      <c r="C25" s="3053">
        <f>IF(SUM(C33,C40,C47)=0,"NO",SUM(C33,C40,C47))</f>
        <v>27279.424325</v>
      </c>
      <c r="D25" s="3061" t="s">
        <v>97</v>
      </c>
      <c r="E25" s="3065">
        <f>IFERROR(H25*1000/$C25,"NA")</f>
        <v>71.911100651408717</v>
      </c>
      <c r="F25" s="1938">
        <f t="shared" ref="F25:G30" si="13">IFERROR(I25*1000000/$C25,"NA")</f>
        <v>3.2991840022565988</v>
      </c>
      <c r="G25" s="1938">
        <f t="shared" si="13"/>
        <v>0.36500426197528058</v>
      </c>
      <c r="H25" s="3065">
        <f>IF(SUM(H33,H40,H47)=0,"NO",SUM(H33,H40,H47))</f>
        <v>1961.6934283475625</v>
      </c>
      <c r="I25" s="3065">
        <f>IF(SUM(I33,I40,I47)=0,"NO",SUM(I33,I40,I47))</f>
        <v>8.9999840323809518E-2</v>
      </c>
      <c r="J25" s="3065">
        <f>IF(SUM(J33,J40,J47)=0,"NO",SUM(J33,J40,J47))</f>
        <v>9.9571061428571413E-3</v>
      </c>
      <c r="K25" s="3048" t="str">
        <f>IF(SUM(K33,K40,K47)=0,"NO",SUM(K33,K40,K47))</f>
        <v>NO</v>
      </c>
      <c r="L25" s="19"/>
    </row>
    <row r="26" spans="2:12" ht="18" customHeight="1" x14ac:dyDescent="0.2">
      <c r="B26" s="160" t="s">
        <v>245</v>
      </c>
      <c r="C26" s="3065">
        <f t="shared" ref="C26:C30" si="14">IF(SUM(C34,C41,C48)=0,"NO",SUM(C34,C41,C48))</f>
        <v>1569069.0858699998</v>
      </c>
      <c r="D26" s="3061" t="s">
        <v>97</v>
      </c>
      <c r="E26" s="3065">
        <f t="shared" ref="E26:E30" si="15">IFERROR(H26*1000/$C26,"NA")</f>
        <v>90.885601391169075</v>
      </c>
      <c r="F26" s="1938">
        <f t="shared" si="13"/>
        <v>0.67201087684894933</v>
      </c>
      <c r="G26" s="1938">
        <f t="shared" si="13"/>
        <v>0.97691954159320471</v>
      </c>
      <c r="H26" s="3065">
        <f t="shared" ref="H26:K30" si="16">IF(SUM(H34,H41,H48)=0,"NO",SUM(H34,H41,H48))</f>
        <v>142605.78749358683</v>
      </c>
      <c r="I26" s="3065">
        <f t="shared" si="16"/>
        <v>1.0544314922320779</v>
      </c>
      <c r="J26" s="3065">
        <f t="shared" si="16"/>
        <v>1.532854252096189</v>
      </c>
      <c r="K26" s="3048" t="str">
        <f t="shared" si="16"/>
        <v>NO</v>
      </c>
      <c r="L26" s="19"/>
    </row>
    <row r="27" spans="2:12" ht="18" customHeight="1" x14ac:dyDescent="0.2">
      <c r="B27" s="160" t="s">
        <v>246</v>
      </c>
      <c r="C27" s="3065">
        <f t="shared" si="14"/>
        <v>148079.99999999997</v>
      </c>
      <c r="D27" s="3061" t="s">
        <v>97</v>
      </c>
      <c r="E27" s="3065">
        <f t="shared" si="15"/>
        <v>51.495840086439777</v>
      </c>
      <c r="F27" s="1938">
        <f t="shared" si="13"/>
        <v>1.6726473405039048</v>
      </c>
      <c r="G27" s="1938">
        <f t="shared" si="13"/>
        <v>0.90909090909090928</v>
      </c>
      <c r="H27" s="3065">
        <f t="shared" si="16"/>
        <v>7625.5040000000008</v>
      </c>
      <c r="I27" s="3065">
        <f t="shared" si="16"/>
        <v>0.24768561818181817</v>
      </c>
      <c r="J27" s="3065">
        <f t="shared" si="16"/>
        <v>0.13461818181818183</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15249.748969722825</v>
      </c>
      <c r="D30" s="3061" t="s">
        <v>97</v>
      </c>
      <c r="E30" s="3065">
        <f t="shared" si="15"/>
        <v>95.000000000000014</v>
      </c>
      <c r="F30" s="1938">
        <f t="shared" si="13"/>
        <v>10.476190476190478</v>
      </c>
      <c r="G30" s="1938">
        <f t="shared" si="13"/>
        <v>6.6666666666666661</v>
      </c>
      <c r="H30" s="3065">
        <f t="shared" si="16"/>
        <v>1448.7261521236685</v>
      </c>
      <c r="I30" s="3065">
        <f t="shared" si="16"/>
        <v>0.15975927492090583</v>
      </c>
      <c r="J30" s="3065">
        <f t="shared" si="16"/>
        <v>0.1016649931314855</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1759678.2591647226</v>
      </c>
      <c r="D32" s="3056" t="s">
        <v>97</v>
      </c>
      <c r="E32" s="1939"/>
      <c r="F32" s="1939"/>
      <c r="G32" s="1939"/>
      <c r="H32" s="3065">
        <f>IF(SUM(H33:H37)=0,"NO",SUM(H33:H37))</f>
        <v>152192.98492193437</v>
      </c>
      <c r="I32" s="3065">
        <f t="shared" ref="I32" si="17">IF(SUM(I33:I38)=0,"NO",SUM(I33:I38))</f>
        <v>1.5518762256586114</v>
      </c>
      <c r="J32" s="3065">
        <f t="shared" ref="J32" si="18">IF(SUM(J33:J38)=0,"NO",SUM(J33:J38))</f>
        <v>1.7790945331887134</v>
      </c>
      <c r="K32" s="3048" t="str">
        <f t="shared" ref="K32" si="19">IF(SUM(K33:K38)=0,"NO",SUM(K33:K38))</f>
        <v>NO</v>
      </c>
      <c r="L32" s="19"/>
    </row>
    <row r="33" spans="2:12" ht="18" customHeight="1" x14ac:dyDescent="0.2">
      <c r="B33" s="160" t="s">
        <v>243</v>
      </c>
      <c r="C33" s="3014">
        <v>27279.424325</v>
      </c>
      <c r="D33" s="3056" t="s">
        <v>97</v>
      </c>
      <c r="E33" s="1938">
        <f>IFERROR(H33*1000/$C33,"NA")</f>
        <v>71.911100651408717</v>
      </c>
      <c r="F33" s="1938">
        <f t="shared" ref="F33:G38" si="20">IFERROR(I33*1000000/$C33,"NA")</f>
        <v>3.2991840022565988</v>
      </c>
      <c r="G33" s="1938">
        <f t="shared" si="20"/>
        <v>0.36500426197528058</v>
      </c>
      <c r="H33" s="3014">
        <v>1961.6934283475625</v>
      </c>
      <c r="I33" s="3014">
        <v>8.9999840323809518E-2</v>
      </c>
      <c r="J33" s="3014">
        <v>9.9571061428571413E-3</v>
      </c>
      <c r="K33" s="3051" t="s">
        <v>199</v>
      </c>
      <c r="L33" s="19"/>
    </row>
    <row r="34" spans="2:12" ht="18" customHeight="1" x14ac:dyDescent="0.2">
      <c r="B34" s="160" t="s">
        <v>245</v>
      </c>
      <c r="C34" s="3014">
        <v>1569069.0858699998</v>
      </c>
      <c r="D34" s="3056" t="s">
        <v>97</v>
      </c>
      <c r="E34" s="1938">
        <f t="shared" ref="E34:E38" si="21">IFERROR(H34*1000/$C34,"NA")</f>
        <v>90.885601391169075</v>
      </c>
      <c r="F34" s="1938">
        <f t="shared" si="20"/>
        <v>0.67201087684894933</v>
      </c>
      <c r="G34" s="1938">
        <f t="shared" si="20"/>
        <v>0.97691954159320471</v>
      </c>
      <c r="H34" s="3014">
        <v>142605.78749358683</v>
      </c>
      <c r="I34" s="3014">
        <v>1.0544314922320779</v>
      </c>
      <c r="J34" s="3014">
        <v>1.532854252096189</v>
      </c>
      <c r="K34" s="3051" t="s">
        <v>199</v>
      </c>
      <c r="L34" s="19"/>
    </row>
    <row r="35" spans="2:12" ht="18" customHeight="1" x14ac:dyDescent="0.2">
      <c r="B35" s="160" t="s">
        <v>246</v>
      </c>
      <c r="C35" s="3014">
        <v>148079.99999999997</v>
      </c>
      <c r="D35" s="3056" t="s">
        <v>97</v>
      </c>
      <c r="E35" s="1938">
        <f t="shared" si="21"/>
        <v>51.495840086439777</v>
      </c>
      <c r="F35" s="1938">
        <f t="shared" si="20"/>
        <v>1.6726473405039048</v>
      </c>
      <c r="G35" s="1938">
        <f t="shared" si="20"/>
        <v>0.90909090909090928</v>
      </c>
      <c r="H35" s="3014">
        <v>7625.5040000000008</v>
      </c>
      <c r="I35" s="3014">
        <v>0.24768561818181817</v>
      </c>
      <c r="J35" s="3014">
        <v>0.13461818181818183</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15249.748969722825</v>
      </c>
      <c r="D38" s="3056" t="s">
        <v>97</v>
      </c>
      <c r="E38" s="1938">
        <f t="shared" si="21"/>
        <v>95.000000000000014</v>
      </c>
      <c r="F38" s="1938">
        <f t="shared" si="20"/>
        <v>10.476190476190478</v>
      </c>
      <c r="G38" s="1938">
        <f t="shared" si="20"/>
        <v>6.6666666666666661</v>
      </c>
      <c r="H38" s="3014">
        <v>1448.7261521236685</v>
      </c>
      <c r="I38" s="3014">
        <v>0.15975927492090583</v>
      </c>
      <c r="J38" s="3014">
        <v>0.1016649931314855</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92111.999999999898</v>
      </c>
      <c r="D53" s="3056" t="s">
        <v>97</v>
      </c>
      <c r="E53" s="615"/>
      <c r="F53" s="615"/>
      <c r="G53" s="615"/>
      <c r="H53" s="3065">
        <f>IF(SUM(H54:H58)=0,"NO",SUM(H54:H58))</f>
        <v>5802.5892480104394</v>
      </c>
      <c r="I53" s="3065">
        <f t="shared" ref="I53:K53" si="28">IF(SUM(I54:I59)=0,"NO",SUM(I54:I59))</f>
        <v>6.5806317922077848E-2</v>
      </c>
      <c r="J53" s="3065">
        <f t="shared" si="28"/>
        <v>4.7803753108225058E-2</v>
      </c>
      <c r="K53" s="3048" t="str">
        <f t="shared" si="28"/>
        <v>NO</v>
      </c>
      <c r="L53" s="19"/>
    </row>
    <row r="54" spans="2:12" ht="18" customHeight="1" x14ac:dyDescent="0.2">
      <c r="B54" s="160" t="s">
        <v>243</v>
      </c>
      <c r="C54" s="3014">
        <v>79111.999999999913</v>
      </c>
      <c r="D54" s="3056" t="s">
        <v>97</v>
      </c>
      <c r="E54" s="1938">
        <f>IFERROR(H54*1000/$C54,"NA")</f>
        <v>64.898300000000006</v>
      </c>
      <c r="F54" s="1938">
        <f t="shared" ref="F54:G59" si="29">IFERROR(I54*1000000/$C54,"NA")</f>
        <v>0.66285714285714292</v>
      </c>
      <c r="G54" s="1938">
        <f t="shared" si="29"/>
        <v>0.53447619047619055</v>
      </c>
      <c r="H54" s="3014">
        <v>5134.234309599995</v>
      </c>
      <c r="I54" s="3014">
        <v>5.2439954285714227E-2</v>
      </c>
      <c r="J54" s="3014">
        <v>4.2283480380952337E-2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12999.999999999989</v>
      </c>
      <c r="D56" s="3056" t="s">
        <v>97</v>
      </c>
      <c r="E56" s="1938">
        <f t="shared" si="30"/>
        <v>51.411918339264986</v>
      </c>
      <c r="F56" s="1938">
        <f t="shared" si="29"/>
        <v>1.0281818181818181</v>
      </c>
      <c r="G56" s="1938">
        <f t="shared" si="29"/>
        <v>0.42463636363636348</v>
      </c>
      <c r="H56" s="3014">
        <v>668.35493841044433</v>
      </c>
      <c r="I56" s="3014">
        <v>1.3366363636363624E-2</v>
      </c>
      <c r="J56" s="3014">
        <v>5.5202727272727209E-3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184161.07790905624</v>
      </c>
      <c r="D60" s="3056" t="s">
        <v>97</v>
      </c>
      <c r="E60" s="615"/>
      <c r="F60" s="615"/>
      <c r="G60" s="615"/>
      <c r="H60" s="3065">
        <f>IF(SUM(H61:H65)=0,"NO",SUM(H61:H65))</f>
        <v>10680.716756111278</v>
      </c>
      <c r="I60" s="3065">
        <f t="shared" ref="I60:K60" si="31">IF(SUM(I61:I66)=0,"NO",SUM(I61:I66))</f>
        <v>5.4443088220774225</v>
      </c>
      <c r="J60" s="3065">
        <f t="shared" si="31"/>
        <v>0.20834675817945952</v>
      </c>
      <c r="K60" s="3048" t="str">
        <f t="shared" si="31"/>
        <v>NO</v>
      </c>
      <c r="L60" s="19"/>
    </row>
    <row r="61" spans="2:12" ht="18" customHeight="1" x14ac:dyDescent="0.2">
      <c r="B61" s="160" t="s">
        <v>243</v>
      </c>
      <c r="C61" s="3053">
        <f>IF(SUM(C69,C76,C83)=0,"NO",SUM(C69,C76,C83))</f>
        <v>19673.3</v>
      </c>
      <c r="D61" s="3056" t="s">
        <v>97</v>
      </c>
      <c r="E61" s="1938">
        <f>IFERROR(H61*1000/$C61,"NA")</f>
        <v>70.093013373455406</v>
      </c>
      <c r="F61" s="1938">
        <f t="shared" ref="F61:G66" si="32">IFERROR(I61*1000000/$C61,"NA")</f>
        <v>3.4528584426608653</v>
      </c>
      <c r="G61" s="1938">
        <f t="shared" si="32"/>
        <v>3.3339571713463236</v>
      </c>
      <c r="H61" s="3053">
        <f>IF(SUM(H69,H76,H83)=0,"NO",SUM(H69,H76,H83))</f>
        <v>1378.9608800000001</v>
      </c>
      <c r="I61" s="3053">
        <f>IF(SUM(I69,I76,I83)=0,"NO",SUM(I69,I76,I83))</f>
        <v>6.7929119999999996E-2</v>
      </c>
      <c r="J61" s="3053">
        <f>IF(SUM(J69,J76,J83)=0,"NO",SUM(J69,J76,J83))</f>
        <v>6.5589939619047619E-2</v>
      </c>
      <c r="K61" s="3067" t="str">
        <f>IF(SUM(K69,K76,K83)=0,"NO",SUM(K69,K76,K83))</f>
        <v>NO</v>
      </c>
    </row>
    <row r="62" spans="2:12" ht="18" customHeight="1" x14ac:dyDescent="0.2">
      <c r="B62" s="160" t="s">
        <v>245</v>
      </c>
      <c r="C62" s="3053">
        <f t="shared" ref="C62:C66" si="33">IF(SUM(C70,C77,C84)=0,"NO",SUM(C70,C77,C84))</f>
        <v>26611.750491603405</v>
      </c>
      <c r="D62" s="3056" t="s">
        <v>97</v>
      </c>
      <c r="E62" s="1938">
        <f t="shared" ref="E62:E66" si="34">IFERROR(H62*1000/$C62,"NA")</f>
        <v>83.136432761720087</v>
      </c>
      <c r="F62" s="1938">
        <f t="shared" si="32"/>
        <v>0.9602167037729844</v>
      </c>
      <c r="G62" s="1938">
        <f t="shared" si="32"/>
        <v>0.77417783089161751</v>
      </c>
      <c r="H62" s="3053">
        <f t="shared" ref="H62:K66" si="35">IF(SUM(H70,H77,H84)=0,"NO",SUM(H70,H77,H84))</f>
        <v>2212.4060054168581</v>
      </c>
      <c r="I62" s="3053">
        <f t="shared" si="35"/>
        <v>2.555304733867652E-2</v>
      </c>
      <c r="J62" s="3053">
        <f t="shared" si="35"/>
        <v>2.0602227271818461E-2</v>
      </c>
      <c r="K62" s="3067" t="str">
        <f t="shared" si="35"/>
        <v>NO</v>
      </c>
    </row>
    <row r="63" spans="2:12" ht="18" customHeight="1" x14ac:dyDescent="0.2">
      <c r="B63" s="160" t="s">
        <v>246</v>
      </c>
      <c r="C63" s="3053">
        <f t="shared" si="33"/>
        <v>137876.02741745283</v>
      </c>
      <c r="D63" s="3056" t="s">
        <v>97</v>
      </c>
      <c r="E63" s="1938">
        <f t="shared" si="34"/>
        <v>51.418292240388595</v>
      </c>
      <c r="F63" s="1938">
        <f t="shared" si="32"/>
        <v>38.808970311697713</v>
      </c>
      <c r="G63" s="1938">
        <f t="shared" si="32"/>
        <v>0.8859741144030866</v>
      </c>
      <c r="H63" s="3053">
        <f t="shared" si="35"/>
        <v>7089.3498706944201</v>
      </c>
      <c r="I63" s="3053">
        <f t="shared" si="35"/>
        <v>5.3508266547387464</v>
      </c>
      <c r="J63" s="3053">
        <f t="shared" si="35"/>
        <v>0.12215459128859346</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27645.050491603404</v>
      </c>
      <c r="D68" s="3056" t="s">
        <v>97</v>
      </c>
      <c r="E68" s="615"/>
      <c r="F68" s="615"/>
      <c r="G68" s="615"/>
      <c r="H68" s="3065">
        <f>IF(SUM(H69:H73)=0,"NO",SUM(H69:H73))</f>
        <v>2288.4568854168583</v>
      </c>
      <c r="I68" s="3065">
        <f t="shared" ref="I68:K68" si="36">IF(SUM(I69:I74)=0,"NO",SUM(I69:I74))</f>
        <v>2.7639329243438426E-2</v>
      </c>
      <c r="J68" s="3065">
        <f t="shared" si="36"/>
        <v>2.113560689086608E-2</v>
      </c>
      <c r="K68" s="3048" t="str">
        <f t="shared" si="36"/>
        <v>NO</v>
      </c>
    </row>
    <row r="69" spans="2:11" ht="18" customHeight="1" x14ac:dyDescent="0.2">
      <c r="B69" s="282" t="s">
        <v>243</v>
      </c>
      <c r="C69" s="3014">
        <v>1033.3000000000002</v>
      </c>
      <c r="D69" s="3055" t="s">
        <v>97</v>
      </c>
      <c r="E69" s="1938">
        <f>IFERROR(H69*1000/$C69,"NA")</f>
        <v>73.599999999999994</v>
      </c>
      <c r="F69" s="1938">
        <f t="shared" ref="F69:G74" si="37">IFERROR(I69*1000000/$C69,"NA")</f>
        <v>2.019047619047619</v>
      </c>
      <c r="G69" s="1938">
        <f t="shared" si="37"/>
        <v>0.5161904761904762</v>
      </c>
      <c r="H69" s="3014">
        <v>76.050880000000006</v>
      </c>
      <c r="I69" s="3014">
        <v>2.0862819047619049E-3</v>
      </c>
      <c r="J69" s="3014">
        <v>5.333796190476191E-4</v>
      </c>
      <c r="K69" s="3051" t="s">
        <v>199</v>
      </c>
    </row>
    <row r="70" spans="2:11" ht="18" customHeight="1" x14ac:dyDescent="0.2">
      <c r="B70" s="282" t="s">
        <v>245</v>
      </c>
      <c r="C70" s="3014">
        <v>26611.750491603405</v>
      </c>
      <c r="D70" s="3055" t="s">
        <v>97</v>
      </c>
      <c r="E70" s="1938">
        <f t="shared" ref="E70:E74" si="38">IFERROR(H70*1000/$C70,"NA")</f>
        <v>83.136432761720087</v>
      </c>
      <c r="F70" s="1938">
        <f t="shared" si="37"/>
        <v>0.9602167037729844</v>
      </c>
      <c r="G70" s="1938">
        <f t="shared" si="37"/>
        <v>0.77417783089161751</v>
      </c>
      <c r="H70" s="3014">
        <v>2212.4060054168581</v>
      </c>
      <c r="I70" s="3014">
        <v>2.555304733867652E-2</v>
      </c>
      <c r="J70" s="3014">
        <v>2.0602227271818461E-2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132200</v>
      </c>
      <c r="D75" s="3056" t="s">
        <v>97</v>
      </c>
      <c r="E75" s="615"/>
      <c r="F75" s="615"/>
      <c r="G75" s="615"/>
      <c r="H75" s="3065">
        <f>IF(SUM(H76:H80)=0,"NO",SUM(H76:H80))</f>
        <v>6813.0559971288867</v>
      </c>
      <c r="I75" s="3065">
        <f t="shared" ref="I75:K75" si="39">IF(SUM(I76:I81)=0,"NO",SUM(I76:I81))</f>
        <v>5.3305412553932019</v>
      </c>
      <c r="J75" s="3065">
        <f t="shared" si="39"/>
        <v>0.11775926593073592</v>
      </c>
      <c r="K75" s="3048" t="str">
        <f t="shared" si="39"/>
        <v>NO</v>
      </c>
    </row>
    <row r="76" spans="2:11" ht="18" customHeight="1" x14ac:dyDescent="0.2">
      <c r="B76" s="282" t="s">
        <v>243</v>
      </c>
      <c r="C76" s="3014">
        <v>890.00000000000011</v>
      </c>
      <c r="D76" s="3055" t="s">
        <v>97</v>
      </c>
      <c r="E76" s="1938">
        <f>IFERROR(H76*1000/$C76,"NA")</f>
        <v>69.839325842696624</v>
      </c>
      <c r="F76" s="1938">
        <f t="shared" ref="F76:G81" si="40">IFERROR(I76*1000000/$C76,"NA")</f>
        <v>2.4252541466024611</v>
      </c>
      <c r="G76" s="1938">
        <f t="shared" si="40"/>
        <v>1.7683039058319956</v>
      </c>
      <c r="H76" s="3014">
        <v>62.157000000000004</v>
      </c>
      <c r="I76" s="3014">
        <v>2.1584761904761907E-3</v>
      </c>
      <c r="J76" s="3014">
        <v>1.5737904761904762E-3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131310</v>
      </c>
      <c r="D78" s="3055" t="s">
        <v>97</v>
      </c>
      <c r="E78" s="1938">
        <f t="shared" si="41"/>
        <v>51.411918339264993</v>
      </c>
      <c r="F78" s="1938">
        <f t="shared" si="40"/>
        <v>40.578651886396507</v>
      </c>
      <c r="G78" s="1938">
        <f t="shared" si="40"/>
        <v>0.88481818181818161</v>
      </c>
      <c r="H78" s="3014">
        <v>6750.8989971288865</v>
      </c>
      <c r="I78" s="3014">
        <v>5.3283827792027258</v>
      </c>
      <c r="J78" s="3014">
        <v>0.11618547545454544</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24316.027417452831</v>
      </c>
      <c r="D82" s="3056" t="s">
        <v>97</v>
      </c>
      <c r="E82" s="615"/>
      <c r="F82" s="615"/>
      <c r="G82" s="615"/>
      <c r="H82" s="3065">
        <f>IF(SUM(H83:H87)=0,"NO",SUM(H83:H87))</f>
        <v>1579.2038735655337</v>
      </c>
      <c r="I82" s="3065">
        <f t="shared" ref="I82:K82" si="42">IF(SUM(I83:I88)=0,"NO",SUM(I83:I88))</f>
        <v>8.612823744078249E-2</v>
      </c>
      <c r="J82" s="3065">
        <f t="shared" si="42"/>
        <v>6.945188535785754E-2</v>
      </c>
      <c r="K82" s="3048" t="str">
        <f t="shared" si="42"/>
        <v>NO</v>
      </c>
    </row>
    <row r="83" spans="2:11" ht="18" customHeight="1" x14ac:dyDescent="0.2">
      <c r="B83" s="282" t="s">
        <v>243</v>
      </c>
      <c r="C83" s="3014">
        <v>17750</v>
      </c>
      <c r="D83" s="3055" t="s">
        <v>97</v>
      </c>
      <c r="E83" s="1938">
        <f>IFERROR(H83*1000/$C83,"NA")</f>
        <v>69.901577464788744</v>
      </c>
      <c r="F83" s="1938">
        <f t="shared" ref="F83:G88" si="43">IFERROR(I83*1000000/$C83,"NA")</f>
        <v>3.5878513749161636</v>
      </c>
      <c r="G83" s="1938">
        <f t="shared" si="43"/>
        <v>3.5764940576794095</v>
      </c>
      <c r="H83" s="3014">
        <v>1240.7530000000002</v>
      </c>
      <c r="I83" s="3014">
        <v>6.3684361904761899E-2</v>
      </c>
      <c r="J83" s="3014">
        <v>6.3482769523809518E-2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6566.0274174528313</v>
      </c>
      <c r="D85" s="3055" t="s">
        <v>97</v>
      </c>
      <c r="E85" s="1938">
        <f t="shared" si="44"/>
        <v>51.545760023163176</v>
      </c>
      <c r="F85" s="1938">
        <f t="shared" si="43"/>
        <v>3.418181818181818</v>
      </c>
      <c r="G85" s="1938">
        <f t="shared" si="43"/>
        <v>0.90909090909090917</v>
      </c>
      <c r="H85" s="3014">
        <v>338.45087356553347</v>
      </c>
      <c r="I85" s="3014">
        <v>2.2443875536020588E-2</v>
      </c>
      <c r="J85" s="3014">
        <v>5.9691158340480291E-3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35970646.047598004</v>
      </c>
      <c r="G10" s="4346" t="s">
        <v>205</v>
      </c>
      <c r="H10" s="4347">
        <f t="shared" ref="H10:H13" si="0">IF(SUM($F10)=0,"NA",K10*1000/$F10)</f>
        <v>1.5864865559444552E-2</v>
      </c>
      <c r="I10" s="4348">
        <f t="shared" ref="I10:I13" si="1">IF(SUM($F10)=0,"NA",L10*1000/$F10)</f>
        <v>3.6514983332454625E-4</v>
      </c>
      <c r="J10" s="4349" t="str">
        <f>IF(SUM(J11,J25,J36,J48,J59,J70,J76)=0,"IE",SUM(J11,J25,J36,J48,J59,J70,J76))</f>
        <v>IE</v>
      </c>
      <c r="K10" s="4350">
        <f>IF(SUM(K11,K25,K36,K48,K59,K70,K76)=0,"NO",SUM(K11,K25,K36,K48,K59,K70,K76))</f>
        <v>570.66946363150782</v>
      </c>
      <c r="L10" s="4351">
        <f>IF(SUM(L11,L25,L36,L48,L59,L70,L76)=0,"NO",SUM(L11,L25,L36,L48,L59,L70,L76))</f>
        <v>13.13467540885666</v>
      </c>
    </row>
    <row r="11" spans="2:13" ht="18" customHeight="1" x14ac:dyDescent="0.2">
      <c r="B11" s="934" t="s">
        <v>1662</v>
      </c>
      <c r="C11" s="4352"/>
      <c r="D11" s="4353"/>
      <c r="E11" s="2866" t="s">
        <v>1661</v>
      </c>
      <c r="F11" s="4354">
        <f>IF(SUM(F12,F19)=0,"NO",SUM(F12,F19))</f>
        <v>6970946.1404340491</v>
      </c>
      <c r="G11" s="4355" t="s">
        <v>205</v>
      </c>
      <c r="H11" s="4356">
        <f t="shared" si="0"/>
        <v>3.0908383189787263E-2</v>
      </c>
      <c r="I11" s="4357">
        <f t="shared" si="1"/>
        <v>5.388158539167961E-4</v>
      </c>
      <c r="J11" s="4358" t="str">
        <f>IF(SUM(J12,J19)=0,"IE",SUM(J12,J19))</f>
        <v>IE</v>
      </c>
      <c r="K11" s="4359">
        <f>IF(SUM(K12,K19)=0,"NO",SUM(K12,K19))</f>
        <v>215.46067450390416</v>
      </c>
      <c r="L11" s="4360">
        <f>IF(SUM(L12,L19)=0,"NO",SUM(L12,L19))</f>
        <v>3.7560562972659661</v>
      </c>
      <c r="M11" s="472"/>
    </row>
    <row r="12" spans="2:13" ht="18" customHeight="1" x14ac:dyDescent="0.2">
      <c r="B12" s="906" t="s">
        <v>1663</v>
      </c>
      <c r="C12" s="4361"/>
      <c r="D12" s="4362"/>
      <c r="E12" s="4363" t="s">
        <v>1661</v>
      </c>
      <c r="F12" s="4364">
        <f>IF(SUM(F13,F17)=0,"NO",SUM(F13,F17))</f>
        <v>6962487.055429982</v>
      </c>
      <c r="G12" s="4365" t="str">
        <f>IFERROR(IF(SUM($F12)=0,"NA",J12*1000/$F12),"NA")</f>
        <v>NA</v>
      </c>
      <c r="H12" s="4366">
        <f t="shared" si="0"/>
        <v>3.0760093374805876E-2</v>
      </c>
      <c r="I12" s="4367">
        <f t="shared" si="1"/>
        <v>5.3670822056953009E-4</v>
      </c>
      <c r="J12" s="4170" t="str">
        <f>IF(SUM(J13,J17)=0,"IE",SUM(J13,J17))</f>
        <v>IE</v>
      </c>
      <c r="K12" s="3057">
        <f>IF(SUM(K13,K17)=0,"NO",SUM(K13,K17))</f>
        <v>214.16675194590346</v>
      </c>
      <c r="L12" s="3106">
        <f>IF(SUM(L13,L17)=0,"NO",SUM(L13,L17))</f>
        <v>3.7368240382582125</v>
      </c>
    </row>
    <row r="13" spans="2:13" ht="18" customHeight="1" x14ac:dyDescent="0.2">
      <c r="B13" s="926" t="s">
        <v>1664</v>
      </c>
      <c r="C13" s="4361"/>
      <c r="D13" s="4362"/>
      <c r="E13" s="4363" t="s">
        <v>1661</v>
      </c>
      <c r="F13" s="4368">
        <f>IF(SUM(F14:F16)=0,"NO",SUM(F14:F16))</f>
        <v>6919010.0524779484</v>
      </c>
      <c r="G13" s="4369" t="str">
        <f t="shared" ref="G13:G76" si="2">IFERROR(IF(SUM($F13)=0,"NA",J13*1000/$F13),"NA")</f>
        <v>NA</v>
      </c>
      <c r="H13" s="4370">
        <f t="shared" si="0"/>
        <v>2.5332543052030039E-2</v>
      </c>
      <c r="I13" s="4371">
        <f t="shared" si="1"/>
        <v>4.8822504855047008E-4</v>
      </c>
      <c r="J13" s="4170" t="str">
        <f>IF(SUM(J14:J16)=0,"IE",SUM(J14:J16))</f>
        <v>IE</v>
      </c>
      <c r="K13" s="4170">
        <f>IF(SUM(K14:K16)=0,"NO",SUM(K14:K16))</f>
        <v>175.27612003182625</v>
      </c>
      <c r="L13" s="4372">
        <f>IF(SUM(L14:L16)=0,"NO",SUM(L14:L16))</f>
        <v>3.3780340187922371</v>
      </c>
      <c r="M13" s="472"/>
    </row>
    <row r="14" spans="2:13" ht="18" customHeight="1" x14ac:dyDescent="0.2">
      <c r="B14" s="926"/>
      <c r="C14" s="2864" t="s">
        <v>1665</v>
      </c>
      <c r="D14" s="4373" t="s">
        <v>1219</v>
      </c>
      <c r="E14" s="4374" t="s">
        <v>1661</v>
      </c>
      <c r="F14" s="4375">
        <v>346929.76729926473</v>
      </c>
      <c r="G14" s="4369" t="str">
        <f t="shared" si="2"/>
        <v>NA</v>
      </c>
      <c r="H14" s="4370">
        <f>IF(SUM($F14)=0,"NA",K14*1000/$F14)</f>
        <v>8.8806603648378807E-2</v>
      </c>
      <c r="I14" s="4371">
        <f>IF(SUM($F14)=0,"NA",L14*1000/$F14)</f>
        <v>9.3010726599157621E-4</v>
      </c>
      <c r="J14" s="4376" t="s">
        <v>274</v>
      </c>
      <c r="K14" s="4377">
        <v>30.809654338370095</v>
      </c>
      <c r="L14" s="4378">
        <v>0.32268189735381286</v>
      </c>
      <c r="M14" s="472"/>
    </row>
    <row r="15" spans="2:13" ht="18" customHeight="1" x14ac:dyDescent="0.2">
      <c r="B15" s="926"/>
      <c r="C15" s="2864" t="s">
        <v>1666</v>
      </c>
      <c r="D15" s="4373" t="s">
        <v>1219</v>
      </c>
      <c r="E15" s="4379" t="s">
        <v>1661</v>
      </c>
      <c r="F15" s="4380">
        <v>9607.8564253556269</v>
      </c>
      <c r="G15" s="4369" t="str">
        <f t="shared" si="2"/>
        <v>NA</v>
      </c>
      <c r="H15" s="4370">
        <f t="shared" ref="H15:H77" si="3">IF(SUM($F15)=0,"NA",K15*1000/$F15)</f>
        <v>1.57740649395648</v>
      </c>
      <c r="I15" s="4371">
        <f t="shared" ref="I15:I77" si="4">IF(SUM($F15)=0,"NA",L15*1000/$F15)</f>
        <v>2.9160111714667699E-2</v>
      </c>
      <c r="J15" s="4376" t="s">
        <v>274</v>
      </c>
      <c r="K15" s="4377">
        <v>15.155495118357457</v>
      </c>
      <c r="L15" s="4381">
        <v>0.28016616670185795</v>
      </c>
      <c r="M15" s="472"/>
    </row>
    <row r="16" spans="2:13" ht="18" customHeight="1" x14ac:dyDescent="0.2">
      <c r="B16" s="926"/>
      <c r="C16" s="2864" t="s">
        <v>1342</v>
      </c>
      <c r="D16" s="4373" t="s">
        <v>1219</v>
      </c>
      <c r="E16" s="4379" t="s">
        <v>1661</v>
      </c>
      <c r="F16" s="4380">
        <v>6562472.4287533276</v>
      </c>
      <c r="G16" s="4369" t="str">
        <f t="shared" si="2"/>
        <v>NA</v>
      </c>
      <c r="H16" s="4370">
        <f t="shared" si="3"/>
        <v>1.9704611635170542E-2</v>
      </c>
      <c r="I16" s="4371">
        <f t="shared" si="4"/>
        <v>4.2288725550710895E-4</v>
      </c>
      <c r="J16" s="4376" t="s">
        <v>274</v>
      </c>
      <c r="K16" s="4377">
        <v>129.31097057509871</v>
      </c>
      <c r="L16" s="4381">
        <v>2.7751859547365663</v>
      </c>
      <c r="M16" s="472"/>
    </row>
    <row r="17" spans="2:13" ht="18" customHeight="1" x14ac:dyDescent="0.2">
      <c r="B17" s="926" t="s">
        <v>1667</v>
      </c>
      <c r="C17" s="4361"/>
      <c r="D17" s="4362"/>
      <c r="E17" s="4382" t="s">
        <v>1661</v>
      </c>
      <c r="F17" s="4368">
        <f>F18</f>
        <v>43477.002952033479</v>
      </c>
      <c r="G17" s="4369" t="str">
        <f t="shared" si="2"/>
        <v>NA</v>
      </c>
      <c r="H17" s="4370">
        <f t="shared" si="3"/>
        <v>0.89451041409141674</v>
      </c>
      <c r="I17" s="4371">
        <f t="shared" si="4"/>
        <v>8.2524092072725173E-3</v>
      </c>
      <c r="J17" s="4170" t="str">
        <f>J18</f>
        <v>IE</v>
      </c>
      <c r="K17" s="4170">
        <f>K18</f>
        <v>38.890631914077218</v>
      </c>
      <c r="L17" s="4372">
        <f>L18</f>
        <v>0.3587900194659755</v>
      </c>
      <c r="M17" s="472"/>
    </row>
    <row r="18" spans="2:13" ht="18" customHeight="1" x14ac:dyDescent="0.2">
      <c r="B18" s="926"/>
      <c r="C18" s="2864" t="s">
        <v>1668</v>
      </c>
      <c r="D18" s="4373" t="s">
        <v>1219</v>
      </c>
      <c r="E18" s="4379" t="s">
        <v>1661</v>
      </c>
      <c r="F18" s="4375">
        <v>43477.002952033479</v>
      </c>
      <c r="G18" s="4369" t="str">
        <f t="shared" si="2"/>
        <v>NA</v>
      </c>
      <c r="H18" s="4370">
        <f t="shared" si="3"/>
        <v>0.89451041409141674</v>
      </c>
      <c r="I18" s="4371">
        <f t="shared" si="4"/>
        <v>8.2524092072725173E-3</v>
      </c>
      <c r="J18" s="4376" t="s">
        <v>274</v>
      </c>
      <c r="K18" s="4377">
        <v>38.890631914077218</v>
      </c>
      <c r="L18" s="4378">
        <v>0.3587900194659755</v>
      </c>
      <c r="M18" s="472"/>
    </row>
    <row r="19" spans="2:13" ht="18" customHeight="1" x14ac:dyDescent="0.2">
      <c r="B19" s="906" t="s">
        <v>1669</v>
      </c>
      <c r="C19" s="4361"/>
      <c r="D19" s="4362"/>
      <c r="E19" s="4382" t="s">
        <v>1661</v>
      </c>
      <c r="F19" s="4383">
        <f>IF(SUM(F20,F23)=0,"NO",SUM(F20,F23))</f>
        <v>8459.0850040671176</v>
      </c>
      <c r="G19" s="4365" t="s">
        <v>205</v>
      </c>
      <c r="H19" s="4366">
        <f t="shared" si="3"/>
        <v>0.152962472581677</v>
      </c>
      <c r="I19" s="4367">
        <f t="shared" si="4"/>
        <v>2.2735625659875266E-3</v>
      </c>
      <c r="J19" s="4170" t="str">
        <f>IF(SUM(J20,J23)=0,"IE",SUM(J20,J23))</f>
        <v>IE</v>
      </c>
      <c r="K19" s="3057">
        <f>IF(SUM(K20,K23)=0,"NO",SUM(K20,K23))</f>
        <v>1.2939225580006917</v>
      </c>
      <c r="L19" s="3106">
        <f>IF(SUM(L20,L23)=0,"NO",SUM(L20,L23))</f>
        <v>1.9232259007753442E-2</v>
      </c>
    </row>
    <row r="20" spans="2:13" ht="18" customHeight="1" x14ac:dyDescent="0.2">
      <c r="B20" s="926" t="s">
        <v>1670</v>
      </c>
      <c r="C20" s="4361"/>
      <c r="D20" s="4362"/>
      <c r="E20" s="4382" t="s">
        <v>1661</v>
      </c>
      <c r="F20" s="4368">
        <f>IF(SUM(F21:F22)=0,"NO",SUM(F21:F22))</f>
        <v>7129.6759652583551</v>
      </c>
      <c r="G20" s="4369" t="str">
        <f t="shared" si="2"/>
        <v>NA</v>
      </c>
      <c r="H20" s="4370">
        <f t="shared" si="3"/>
        <v>0.10246731434219462</v>
      </c>
      <c r="I20" s="4371">
        <f t="shared" si="4"/>
        <v>1.958751158608869E-3</v>
      </c>
      <c r="J20" s="4170" t="str">
        <f>IF(SUM(J21:J22)=0,"IE",SUM(J21:J22))</f>
        <v>IE</v>
      </c>
      <c r="K20" s="4170">
        <f>IF(SUM(K21:K22)=0,"NO",SUM(K21:K22))</f>
        <v>0.73055874829011769</v>
      </c>
      <c r="L20" s="4372">
        <f>IF(SUM(L21:L22)=0,"NO",SUM(L21:L22))</f>
        <v>1.3965261057455609E-2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0.56764133259100713</v>
      </c>
      <c r="L21" s="4378">
        <v>1.0493480745536533E-2</v>
      </c>
      <c r="M21" s="472"/>
    </row>
    <row r="22" spans="2:13" ht="18" customHeight="1" x14ac:dyDescent="0.2">
      <c r="B22" s="926"/>
      <c r="C22" s="2864" t="s">
        <v>1342</v>
      </c>
      <c r="D22" s="4373" t="s">
        <v>1219</v>
      </c>
      <c r="E22" s="4379" t="s">
        <v>1661</v>
      </c>
      <c r="F22" s="4380">
        <v>7129.6759652583551</v>
      </c>
      <c r="G22" s="4369" t="str">
        <f t="shared" si="2"/>
        <v>NA</v>
      </c>
      <c r="H22" s="4370">
        <f t="shared" si="3"/>
        <v>2.2850605903126341E-2</v>
      </c>
      <c r="I22" s="4371">
        <f t="shared" si="4"/>
        <v>4.8694784010331525E-4</v>
      </c>
      <c r="J22" s="4376" t="s">
        <v>274</v>
      </c>
      <c r="K22" s="4377">
        <v>0.16291741569911056</v>
      </c>
      <c r="L22" s="4381">
        <v>3.4717803119190755E-3</v>
      </c>
      <c r="M22" s="472"/>
    </row>
    <row r="23" spans="2:13" ht="18" customHeight="1" x14ac:dyDescent="0.2">
      <c r="B23" s="926" t="s">
        <v>1671</v>
      </c>
      <c r="C23" s="4361"/>
      <c r="D23" s="4362"/>
      <c r="E23" s="4382" t="s">
        <v>1661</v>
      </c>
      <c r="F23" s="4368">
        <f>F24</f>
        <v>1329.409038808762</v>
      </c>
      <c r="G23" s="4369" t="str">
        <f t="shared" si="2"/>
        <v>NA</v>
      </c>
      <c r="H23" s="4370">
        <f t="shared" si="3"/>
        <v>0.42377010631384371</v>
      </c>
      <c r="I23" s="4371">
        <f t="shared" si="4"/>
        <v>3.9619092367668947E-3</v>
      </c>
      <c r="J23" s="4170" t="str">
        <f>J24</f>
        <v>IE</v>
      </c>
      <c r="K23" s="4170">
        <f>K24</f>
        <v>0.56336380971057387</v>
      </c>
      <c r="L23" s="4372">
        <f>L24</f>
        <v>5.2669979502978333E-3</v>
      </c>
      <c r="M23" s="472"/>
    </row>
    <row r="24" spans="2:13" ht="18" customHeight="1" thickBot="1" x14ac:dyDescent="0.25">
      <c r="B24" s="936"/>
      <c r="C24" s="2865" t="s">
        <v>1672</v>
      </c>
      <c r="D24" s="4384" t="s">
        <v>1219</v>
      </c>
      <c r="E24" s="4385" t="s">
        <v>1661</v>
      </c>
      <c r="F24" s="4386">
        <v>1329.409038808762</v>
      </c>
      <c r="G24" s="4387" t="str">
        <f t="shared" si="2"/>
        <v>NA</v>
      </c>
      <c r="H24" s="4388">
        <f t="shared" si="3"/>
        <v>0.42377010631384371</v>
      </c>
      <c r="I24" s="4389">
        <f t="shared" si="4"/>
        <v>3.9619092367668947E-3</v>
      </c>
      <c r="J24" s="4390" t="s">
        <v>274</v>
      </c>
      <c r="K24" s="4391">
        <v>0.56336380971057387</v>
      </c>
      <c r="L24" s="4392">
        <v>5.2669979502978333E-3</v>
      </c>
      <c r="M24" s="472"/>
    </row>
    <row r="25" spans="2:13" ht="18" customHeight="1" x14ac:dyDescent="0.2">
      <c r="B25" s="934" t="s">
        <v>1673</v>
      </c>
      <c r="C25" s="4352"/>
      <c r="D25" s="4353"/>
      <c r="E25" s="4393" t="s">
        <v>1661</v>
      </c>
      <c r="F25" s="4394">
        <f>IF(SUM(F26,F31)=0,"IE",SUM(F26,F31))</f>
        <v>32702.706208990428</v>
      </c>
      <c r="G25" s="4355" t="str">
        <f t="shared" si="2"/>
        <v>NA</v>
      </c>
      <c r="H25" s="4356">
        <f t="shared" si="3"/>
        <v>0.17377504967258711</v>
      </c>
      <c r="I25" s="4357">
        <f t="shared" si="4"/>
        <v>3.2124248765862972E-3</v>
      </c>
      <c r="J25" s="4358" t="str">
        <f>IF(SUM(J26,J31)=0,"IE",SUM(J26,J31))</f>
        <v>IE</v>
      </c>
      <c r="K25" s="4359">
        <f>IF(SUM(K26,K31)=0,"IE",SUM(K26,K31))</f>
        <v>5.6829143958953345</v>
      </c>
      <c r="L25" s="4360">
        <f>IF(SUM(L26,L31)=0,"IE",SUM(L26,L31))</f>
        <v>0.10505498695745402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32702.706208990428</v>
      </c>
      <c r="G31" s="4365" t="str">
        <f t="shared" si="2"/>
        <v>NA</v>
      </c>
      <c r="H31" s="4366">
        <f t="shared" si="3"/>
        <v>0.17377504967258711</v>
      </c>
      <c r="I31" s="4367">
        <f t="shared" si="4"/>
        <v>3.2124248765862972E-3</v>
      </c>
      <c r="J31" s="4170" t="str">
        <f>IF(SUM(J32,J34)=0,"IE",SUM(J32,J34))</f>
        <v>IE</v>
      </c>
      <c r="K31" s="4170">
        <f t="shared" ref="K31:L31" si="6">IF(SUM(K32,K34)=0,"IE",SUM(K32,K34))</f>
        <v>5.6829143958953345</v>
      </c>
      <c r="L31" s="4372">
        <f t="shared" si="6"/>
        <v>0.10505498695745402</v>
      </c>
    </row>
    <row r="32" spans="2:13" ht="18" customHeight="1" x14ac:dyDescent="0.2">
      <c r="B32" s="926" t="s">
        <v>1678</v>
      </c>
      <c r="C32" s="4361"/>
      <c r="D32" s="4362"/>
      <c r="E32" s="4382" t="s">
        <v>1661</v>
      </c>
      <c r="F32" s="4368">
        <f>F33</f>
        <v>32702.706208990428</v>
      </c>
      <c r="G32" s="4365" t="str">
        <f t="shared" si="2"/>
        <v>NA</v>
      </c>
      <c r="H32" s="4366">
        <f t="shared" si="3"/>
        <v>0.17377504967258711</v>
      </c>
      <c r="I32" s="4367">
        <f t="shared" si="4"/>
        <v>3.2124248765862972E-3</v>
      </c>
      <c r="J32" s="4170" t="str">
        <f>J33</f>
        <v>IE</v>
      </c>
      <c r="K32" s="4170">
        <f>K33</f>
        <v>5.6829143958953345</v>
      </c>
      <c r="L32" s="4372">
        <f>L33</f>
        <v>0.10505498695745402</v>
      </c>
      <c r="M32" s="472"/>
    </row>
    <row r="33" spans="2:13" ht="18" customHeight="1" x14ac:dyDescent="0.2">
      <c r="B33" s="926"/>
      <c r="C33" s="2864" t="s">
        <v>1679</v>
      </c>
      <c r="D33" s="4373" t="s">
        <v>1219</v>
      </c>
      <c r="E33" s="4379" t="s">
        <v>1661</v>
      </c>
      <c r="F33" s="4375">
        <v>32702.706208990428</v>
      </c>
      <c r="G33" s="4369" t="str">
        <f t="shared" si="2"/>
        <v>NA</v>
      </c>
      <c r="H33" s="4370">
        <f t="shared" si="3"/>
        <v>0.17377504967258711</v>
      </c>
      <c r="I33" s="4371">
        <f t="shared" si="4"/>
        <v>3.2124248765862972E-3</v>
      </c>
      <c r="J33" s="4376" t="s">
        <v>274</v>
      </c>
      <c r="K33" s="4377">
        <v>5.6829143958953345</v>
      </c>
      <c r="L33" s="4378">
        <v>0.10505498695745402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28452460.98654836</v>
      </c>
      <c r="G36" s="4355" t="str">
        <f t="shared" si="2"/>
        <v>NA</v>
      </c>
      <c r="H36" s="4356">
        <f t="shared" ref="H36" si="7">IF(SUM($F36)=0,"NA",K36*1000/$F36)</f>
        <v>1.1659689401780918E-2</v>
      </c>
      <c r="I36" s="4357">
        <f t="shared" ref="I36" si="8">IF(SUM($F36)=0,"NA",L36*1000/$F36)</f>
        <v>3.1191147115137605E-4</v>
      </c>
      <c r="J36" s="4358" t="str">
        <f>IF(SUM(J37,J42)=0,"IE",SUM(J37,J42))</f>
        <v>IE</v>
      </c>
      <c r="K36" s="4359">
        <f>IF(SUM(K37,K42)=0,"NO",SUM(K37,K42))</f>
        <v>331.74685781944299</v>
      </c>
      <c r="L36" s="4360">
        <f>IF(SUM(L37,L42)=0,"NO",SUM(L37,L42))</f>
        <v>8.874648964191433</v>
      </c>
      <c r="M36" s="472"/>
    </row>
    <row r="37" spans="2:13" ht="18" customHeight="1" x14ac:dyDescent="0.2">
      <c r="B37" s="906" t="s">
        <v>1682</v>
      </c>
      <c r="C37" s="4361"/>
      <c r="D37" s="4362"/>
      <c r="E37" s="4382" t="s">
        <v>1661</v>
      </c>
      <c r="F37" s="4364">
        <f>IF(SUM(F38,F40)=0,"NO",SUM(F38,F40))</f>
        <v>27952290.062261611</v>
      </c>
      <c r="G37" s="4369" t="str">
        <f t="shared" si="2"/>
        <v>NA</v>
      </c>
      <c r="H37" s="4366">
        <f t="shared" si="3"/>
        <v>9.0165091421136791E-3</v>
      </c>
      <c r="I37" s="4367">
        <f t="shared" si="4"/>
        <v>2.6461316206162272E-4</v>
      </c>
      <c r="J37" s="4170" t="str">
        <f>IF(SUM(J38,J40)=0,"IE",SUM(J38,J40))</f>
        <v>IE</v>
      </c>
      <c r="K37" s="3057">
        <f>IF(SUM(K38,K40)=0,"NO",SUM(K38,K40))</f>
        <v>252.03207888939517</v>
      </c>
      <c r="L37" s="3106">
        <f>IF(SUM(L38,L40)=0,"NO",SUM(L38,L40))</f>
        <v>7.3965438602387188</v>
      </c>
    </row>
    <row r="38" spans="2:13" ht="18" customHeight="1" x14ac:dyDescent="0.2">
      <c r="B38" s="926" t="s">
        <v>1683</v>
      </c>
      <c r="C38" s="4361"/>
      <c r="D38" s="4362"/>
      <c r="E38" s="4382" t="s">
        <v>1661</v>
      </c>
      <c r="F38" s="4368">
        <f>F39</f>
        <v>27952290.062261611</v>
      </c>
      <c r="G38" s="4369" t="str">
        <f t="shared" si="2"/>
        <v>NA</v>
      </c>
      <c r="H38" s="4370">
        <f t="shared" si="3"/>
        <v>9.0165091421136791E-3</v>
      </c>
      <c r="I38" s="4371">
        <f t="shared" si="4"/>
        <v>2.6461316206162272E-4</v>
      </c>
      <c r="J38" s="4170" t="str">
        <f>J39</f>
        <v>IE</v>
      </c>
      <c r="K38" s="4170">
        <f>K39</f>
        <v>252.03207888939517</v>
      </c>
      <c r="L38" s="4372">
        <f>L39</f>
        <v>7.3965438602387188</v>
      </c>
      <c r="M38" s="472"/>
    </row>
    <row r="39" spans="2:13" ht="18" customHeight="1" x14ac:dyDescent="0.2">
      <c r="B39" s="926"/>
      <c r="C39" s="2864" t="s">
        <v>1342</v>
      </c>
      <c r="D39" s="4373" t="s">
        <v>1219</v>
      </c>
      <c r="E39" s="4379" t="s">
        <v>1661</v>
      </c>
      <c r="F39" s="4380">
        <v>27952290.062261611</v>
      </c>
      <c r="G39" s="4369" t="str">
        <f t="shared" si="2"/>
        <v>NA</v>
      </c>
      <c r="H39" s="4370">
        <f t="shared" ref="H39:H40" si="9">IF(SUM($F39)=0,"NA",K39*1000/$F39)</f>
        <v>9.0165091421136791E-3</v>
      </c>
      <c r="I39" s="4371">
        <f t="shared" ref="I39:I40" si="10">IF(SUM($F39)=0,"NA",L39*1000/$F39)</f>
        <v>2.6461316206162272E-4</v>
      </c>
      <c r="J39" s="4376" t="s">
        <v>274</v>
      </c>
      <c r="K39" s="4377">
        <v>252.03207888939517</v>
      </c>
      <c r="L39" s="4381">
        <v>7.3965438602387188</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500170.92428675003</v>
      </c>
      <c r="G42" s="4365" t="str">
        <f t="shared" si="2"/>
        <v>NA</v>
      </c>
      <c r="H42" s="4366">
        <f t="shared" si="11"/>
        <v>0.15937507571781012</v>
      </c>
      <c r="I42" s="4367">
        <f t="shared" si="12"/>
        <v>2.9551999770088791E-3</v>
      </c>
      <c r="J42" s="4170" t="str">
        <f>IF(SUM(J43,J46)=0,"IE",SUM(J43,J46))</f>
        <v>IE</v>
      </c>
      <c r="K42" s="3057">
        <f>IF(SUM(K43,K46)=0,"NO",SUM(K43,K46))</f>
        <v>79.714778930047856</v>
      </c>
      <c r="L42" s="3106">
        <f>IF(SUM(L43,L46)=0,"NO",SUM(L43,L46))</f>
        <v>1.4781051039527136</v>
      </c>
    </row>
    <row r="43" spans="2:13" ht="18" customHeight="1" x14ac:dyDescent="0.2">
      <c r="B43" s="926" t="s">
        <v>1686</v>
      </c>
      <c r="C43" s="4361"/>
      <c r="D43" s="4362"/>
      <c r="E43" s="4382" t="s">
        <v>1661</v>
      </c>
      <c r="F43" s="4368">
        <f>IF(SUM(F44:F45)=0,"NO",SUM(F44:F45))</f>
        <v>500170.92428675003</v>
      </c>
      <c r="G43" s="4369" t="str">
        <f t="shared" si="2"/>
        <v>NA</v>
      </c>
      <c r="H43" s="4370">
        <f t="shared" ref="H43" si="13">IF(SUM($F43)=0,"NA",K43*1000/$F43)</f>
        <v>0.15937507571781012</v>
      </c>
      <c r="I43" s="4371">
        <f t="shared" ref="I43" si="14">IF(SUM($F43)=0,"NA",L43*1000/$F43)</f>
        <v>2.9551999770088791E-3</v>
      </c>
      <c r="J43" s="4170" t="str">
        <f>IF(SUM(J44:J45)=0,"IE",SUM(J44:J45))</f>
        <v>IE</v>
      </c>
      <c r="K43" s="4170">
        <f>IF(SUM(K44:K45)=0,"NO",SUM(K44:K45))</f>
        <v>79.714778930047856</v>
      </c>
      <c r="L43" s="4372">
        <f>IF(SUM(L44:L45)=0,"NO",SUM(L44:L45))</f>
        <v>1.4781051039527136</v>
      </c>
      <c r="M43" s="472"/>
    </row>
    <row r="44" spans="2:13" ht="18" customHeight="1" x14ac:dyDescent="0.2">
      <c r="B44" s="926"/>
      <c r="C44" s="2864" t="s">
        <v>1679</v>
      </c>
      <c r="D44" s="4373" t="s">
        <v>1219</v>
      </c>
      <c r="E44" s="4379" t="s">
        <v>1661</v>
      </c>
      <c r="F44" s="4380">
        <v>452560.22207223636</v>
      </c>
      <c r="G44" s="4369" t="str">
        <f t="shared" si="2"/>
        <v>NA</v>
      </c>
      <c r="H44" s="4370">
        <f t="shared" ref="H44:H46" si="15">IF(SUM($F44)=0,"NA",K44*1000/$F44)</f>
        <v>0.17387704921793518</v>
      </c>
      <c r="I44" s="4371">
        <f t="shared" ref="I44:I46" si="16">IF(SUM($F44)=0,"NA",L44*1000/$F44)</f>
        <v>3.2143104515148842E-3</v>
      </c>
      <c r="J44" s="4376" t="s">
        <v>274</v>
      </c>
      <c r="K44" s="4377">
        <v>78.689836007333909</v>
      </c>
      <c r="L44" s="4381">
        <v>1.4546690517466863</v>
      </c>
      <c r="M44" s="472"/>
    </row>
    <row r="45" spans="2:13" ht="18" customHeight="1" x14ac:dyDescent="0.2">
      <c r="B45" s="926"/>
      <c r="C45" s="2864" t="s">
        <v>1342</v>
      </c>
      <c r="D45" s="4373" t="s">
        <v>1219</v>
      </c>
      <c r="E45" s="4379" t="s">
        <v>1661</v>
      </c>
      <c r="F45" s="4380">
        <v>47610.702214513687</v>
      </c>
      <c r="G45" s="4369" t="str">
        <f t="shared" si="2"/>
        <v>NA</v>
      </c>
      <c r="H45" s="4370">
        <f t="shared" si="15"/>
        <v>2.1527574159607689E-2</v>
      </c>
      <c r="I45" s="4371">
        <f t="shared" si="16"/>
        <v>4.9224336369655492E-4</v>
      </c>
      <c r="J45" s="4376" t="s">
        <v>274</v>
      </c>
      <c r="K45" s="4377">
        <v>1.0249429227139415</v>
      </c>
      <c r="L45" s="4381">
        <v>2.3436052206027236E-2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496994.1220784125</v>
      </c>
      <c r="G48" s="4355" t="str">
        <f t="shared" si="2"/>
        <v>NA</v>
      </c>
      <c r="H48" s="4356">
        <f t="shared" si="17"/>
        <v>2.8479850658298462E-2</v>
      </c>
      <c r="I48" s="4357">
        <f t="shared" si="18"/>
        <v>6.6783200402200087E-4</v>
      </c>
      <c r="J48" s="4358" t="str">
        <f>IF(SUM(J49,J54)=0,"IE",SUM(J49,J54))</f>
        <v>IE</v>
      </c>
      <c r="K48" s="4359">
        <f>IF(SUM(K49,K54)=0,"NO",SUM(K49,K54))</f>
        <v>14.154318374845342</v>
      </c>
      <c r="L48" s="4360">
        <f>IF(SUM(L49,L54)=0,"NO",SUM(L49,L54))</f>
        <v>0.33190858053478117</v>
      </c>
      <c r="M48" s="472"/>
    </row>
    <row r="49" spans="2:13" ht="18" customHeight="1" x14ac:dyDescent="0.2">
      <c r="B49" s="906" t="s">
        <v>1689</v>
      </c>
      <c r="C49" s="4361"/>
      <c r="D49" s="4362"/>
      <c r="E49" s="4382" t="s">
        <v>1661</v>
      </c>
      <c r="F49" s="4364">
        <f>IF(SUM(F50,F52)=0,"NO",SUM(F50,F52))</f>
        <v>496994.1220784125</v>
      </c>
      <c r="G49" s="4365" t="str">
        <f t="shared" si="2"/>
        <v>NA</v>
      </c>
      <c r="H49" s="4366">
        <f t="shared" si="17"/>
        <v>2.8479850658298462E-2</v>
      </c>
      <c r="I49" s="4367">
        <f t="shared" si="18"/>
        <v>6.6783200402200087E-4</v>
      </c>
      <c r="J49" s="4170" t="str">
        <f>IF(SUM(J50,J52)=0,"IE",SUM(J50,J52))</f>
        <v>IE</v>
      </c>
      <c r="K49" s="3057">
        <f>IF(SUM(K50,K52)=0,"NO",SUM(K50,K52))</f>
        <v>14.154318374845342</v>
      </c>
      <c r="L49" s="3106">
        <f>IF(SUM(L50,L52)=0,"NO",SUM(L50,L52))</f>
        <v>0.33190858053478117</v>
      </c>
    </row>
    <row r="50" spans="2:13" ht="18" customHeight="1" x14ac:dyDescent="0.2">
      <c r="B50" s="926" t="s">
        <v>1690</v>
      </c>
      <c r="C50" s="4361"/>
      <c r="D50" s="4362"/>
      <c r="E50" s="4382" t="s">
        <v>1661</v>
      </c>
      <c r="F50" s="4368">
        <f>F51</f>
        <v>496994.1220784125</v>
      </c>
      <c r="G50" s="4369" t="str">
        <f t="shared" si="2"/>
        <v>NA</v>
      </c>
      <c r="H50" s="4370">
        <f t="shared" si="17"/>
        <v>2.8479850658298462E-2</v>
      </c>
      <c r="I50" s="4371">
        <f t="shared" si="18"/>
        <v>6.6783200402200087E-4</v>
      </c>
      <c r="J50" s="4170" t="str">
        <f>J51</f>
        <v>IE</v>
      </c>
      <c r="K50" s="4170">
        <f>K51</f>
        <v>14.154318374845342</v>
      </c>
      <c r="L50" s="4372">
        <f>L51</f>
        <v>0.33190858053478117</v>
      </c>
      <c r="M50" s="472"/>
    </row>
    <row r="51" spans="2:13" ht="18" customHeight="1" x14ac:dyDescent="0.2">
      <c r="B51" s="926"/>
      <c r="C51" s="2864" t="s">
        <v>1342</v>
      </c>
      <c r="D51" s="4373" t="s">
        <v>1219</v>
      </c>
      <c r="E51" s="4379" t="s">
        <v>1661</v>
      </c>
      <c r="F51" s="4380">
        <v>496994.1220784125</v>
      </c>
      <c r="G51" s="4369" t="str">
        <f t="shared" si="2"/>
        <v>NA</v>
      </c>
      <c r="H51" s="4370">
        <f t="shared" si="17"/>
        <v>2.8479850658298462E-2</v>
      </c>
      <c r="I51" s="4371">
        <f t="shared" si="18"/>
        <v>6.6783200402200087E-4</v>
      </c>
      <c r="J51" s="4376" t="s">
        <v>274</v>
      </c>
      <c r="K51" s="4377">
        <v>14.154318374845342</v>
      </c>
      <c r="L51" s="4381">
        <v>0.33190858053478117</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17542.092328189592</v>
      </c>
      <c r="G59" s="4355" t="str">
        <f t="shared" si="2"/>
        <v>NA</v>
      </c>
      <c r="H59" s="4356">
        <f t="shared" si="3"/>
        <v>0.2066286318420015</v>
      </c>
      <c r="I59" s="4357">
        <f t="shared" si="4"/>
        <v>3.8197598469681109E-3</v>
      </c>
      <c r="J59" s="4358" t="str">
        <f>IF(SUM(J60,J65)=0,"IE",SUM(J60,J65))</f>
        <v>IE</v>
      </c>
      <c r="K59" s="4359">
        <f>IF(SUM(K60,K65)=0,"NO",SUM(K60,K65))</f>
        <v>3.6246985374198863</v>
      </c>
      <c r="L59" s="4360">
        <f>IF(SUM(L60,L65)=0,"NO",SUM(L60,L65))</f>
        <v>6.7006579907025951E-2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17542.092328189592</v>
      </c>
      <c r="G65" s="4365" t="str">
        <f t="shared" si="2"/>
        <v>NA</v>
      </c>
      <c r="H65" s="4366">
        <f t="shared" si="3"/>
        <v>0.2066286318420015</v>
      </c>
      <c r="I65" s="4367">
        <f t="shared" si="4"/>
        <v>3.8197598469681109E-3</v>
      </c>
      <c r="J65" s="4170" t="str">
        <f>IF(SUM(J66,J68)=0,"IE",SUM(J66,J68))</f>
        <v>IE</v>
      </c>
      <c r="K65" s="3057">
        <f>IF(SUM(K66,K68)=0,"NO",SUM(K66,K68))</f>
        <v>3.6246985374198863</v>
      </c>
      <c r="L65" s="3106">
        <f>IF(SUM(L66,L68)=0,"NO",SUM(L66,L68))</f>
        <v>6.7006579907025951E-2</v>
      </c>
    </row>
    <row r="66" spans="2:13" ht="18" customHeight="1" x14ac:dyDescent="0.2">
      <c r="B66" s="926" t="s">
        <v>1700</v>
      </c>
      <c r="C66" s="4361"/>
      <c r="D66" s="4362"/>
      <c r="E66" s="4382" t="s">
        <v>1661</v>
      </c>
      <c r="F66" s="4368">
        <f>F67</f>
        <v>17542.092328189592</v>
      </c>
      <c r="G66" s="4369" t="str">
        <f t="shared" si="2"/>
        <v>NA</v>
      </c>
      <c r="H66" s="4370">
        <f t="shared" si="3"/>
        <v>0.2066286318420015</v>
      </c>
      <c r="I66" s="4371">
        <f t="shared" si="4"/>
        <v>3.8197598469681109E-3</v>
      </c>
      <c r="J66" s="4170" t="str">
        <f>J67</f>
        <v>IE</v>
      </c>
      <c r="K66" s="4170">
        <f>K67</f>
        <v>3.6246985374198863</v>
      </c>
      <c r="L66" s="4372">
        <f>L67</f>
        <v>6.7006579907025951E-2</v>
      </c>
      <c r="M66" s="472"/>
    </row>
    <row r="67" spans="2:13" ht="18" customHeight="1" x14ac:dyDescent="0.2">
      <c r="B67" s="926"/>
      <c r="C67" s="2864" t="s">
        <v>1679</v>
      </c>
      <c r="D67" s="4373" t="s">
        <v>1219</v>
      </c>
      <c r="E67" s="4379" t="s">
        <v>1661</v>
      </c>
      <c r="F67" s="4380">
        <v>17542.092328189592</v>
      </c>
      <c r="G67" s="4369" t="str">
        <f t="shared" si="2"/>
        <v>NA</v>
      </c>
      <c r="H67" s="4370">
        <f t="shared" ref="H67:H68" si="23">IF(SUM($F67)=0,"NA",K67*1000/$F67)</f>
        <v>0.2066286318420015</v>
      </c>
      <c r="I67" s="4371">
        <f t="shared" ref="I67:I68" si="24">IF(SUM($F67)=0,"NA",L67*1000/$F67)</f>
        <v>3.8197598469681109E-3</v>
      </c>
      <c r="J67" s="4376" t="s">
        <v>274</v>
      </c>
      <c r="K67" s="4377">
        <v>3.6246985374198863</v>
      </c>
      <c r="L67" s="4381">
        <v>6.7006579907025951E-2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4403.0026535464822</v>
      </c>
      <c r="D10" s="3463">
        <f>IF(SUM(D11,D16:D17)=0,"NO",SUM(D11,D16:D17))</f>
        <v>-2670.845644967334</v>
      </c>
      <c r="E10" s="3464"/>
      <c r="F10" s="3465">
        <f>IF(SUM(F11,F16:F17)=0,"NO",SUM(F11,F16:F17))</f>
        <v>1732.1570085791482</v>
      </c>
      <c r="G10" s="3466">
        <f>IF(SUM(G11,G16:G17)=0,"NO",SUM(G11,G16:G17))</f>
        <v>-6351.2423647902106</v>
      </c>
      <c r="H10" s="226"/>
      <c r="I10" s="2"/>
      <c r="J10" s="2"/>
    </row>
    <row r="11" spans="1:10" ht="18" customHeight="1" x14ac:dyDescent="0.2">
      <c r="B11" s="592" t="s">
        <v>1722</v>
      </c>
      <c r="C11" s="3467">
        <f>IF(SUM(C13:C15)=0,"NO",SUM(C13:C15))</f>
        <v>1510.9187118645032</v>
      </c>
      <c r="D11" s="3468">
        <f>IF(SUM(D13:D15)=0,"NO",SUM(D13:D15))</f>
        <v>-555.13186949394822</v>
      </c>
      <c r="E11" s="3469"/>
      <c r="F11" s="3470">
        <f>IF(SUM(F13:F15)=0,"NO",SUM(F13:F15))</f>
        <v>955.78684237055495</v>
      </c>
      <c r="G11" s="3471">
        <f>IF(SUM(G13:G15)=0,"NO",SUM(G13:G15))</f>
        <v>-3504.5517553587015</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1094.253313162797</v>
      </c>
      <c r="D13" s="3476">
        <f>F13-C13</f>
        <v>-348.36793322288941</v>
      </c>
      <c r="E13" s="3477" t="s">
        <v>205</v>
      </c>
      <c r="F13" s="3478">
        <f>G13/(-44/12)</f>
        <v>745.88537993990758</v>
      </c>
      <c r="G13" s="3479">
        <v>-2734.9130597796611</v>
      </c>
      <c r="H13" s="226"/>
      <c r="I13" s="2"/>
      <c r="J13" s="2"/>
    </row>
    <row r="14" spans="1:10" ht="18" customHeight="1" x14ac:dyDescent="0.2">
      <c r="B14" s="1192" t="s">
        <v>1724</v>
      </c>
      <c r="C14" s="3480">
        <v>416.66539870170624</v>
      </c>
      <c r="D14" s="3481">
        <f>F14-C14</f>
        <v>-206.76393627105887</v>
      </c>
      <c r="E14" s="3202" t="s">
        <v>205</v>
      </c>
      <c r="F14" s="3482">
        <f>G14/(-44/12)</f>
        <v>209.90146243064737</v>
      </c>
      <c r="G14" s="3479">
        <v>-769.63869557904036</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1613.3598610000008</v>
      </c>
      <c r="D16" s="3481">
        <f>F16-C16</f>
        <v>-1619.410189326579</v>
      </c>
      <c r="E16" s="3202" t="s">
        <v>205</v>
      </c>
      <c r="F16" s="3482">
        <f>G16/(-44/12)</f>
        <v>-6.0503283265782102</v>
      </c>
      <c r="G16" s="3479">
        <v>22.184537197453437</v>
      </c>
      <c r="H16" s="226"/>
      <c r="I16" s="2"/>
      <c r="J16" s="2"/>
    </row>
    <row r="17" spans="2:10" ht="18" customHeight="1" x14ac:dyDescent="0.2">
      <c r="B17" s="1196" t="s">
        <v>1727</v>
      </c>
      <c r="C17" s="3484">
        <f>C18</f>
        <v>1278.7240806819786</v>
      </c>
      <c r="D17" s="3485">
        <f t="shared" ref="D17:F17" si="0">D18</f>
        <v>-496.30358614680722</v>
      </c>
      <c r="E17" s="3486"/>
      <c r="F17" s="3193">
        <f t="shared" si="0"/>
        <v>782.42049453517143</v>
      </c>
      <c r="G17" s="3479">
        <f>-F17*44/12</f>
        <v>-2868.8751466289618</v>
      </c>
      <c r="H17" s="226"/>
      <c r="I17" s="2"/>
      <c r="J17" s="2"/>
    </row>
    <row r="18" spans="2:10" ht="18" customHeight="1" thickBot="1" x14ac:dyDescent="0.25">
      <c r="B18" s="547" t="s">
        <v>1728</v>
      </c>
      <c r="C18" s="3487">
        <v>1278.7240806819786</v>
      </c>
      <c r="D18" s="3488">
        <f>F18-C18</f>
        <v>-496.30358614680722</v>
      </c>
      <c r="E18" s="3205" t="s">
        <v>205</v>
      </c>
      <c r="F18" s="3489">
        <f>G18/(-44/12)</f>
        <v>782.42049453517143</v>
      </c>
      <c r="G18" s="3490">
        <v>-2868.8751466289618</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28.498582921678484</v>
      </c>
      <c r="D10" s="1882">
        <f t="shared" ref="D10:I10" si="0">IF(SUM(D11,D15,D18,D21)=0,"NO",SUM(D11,D15,D18,D21))</f>
        <v>703.22776101202669</v>
      </c>
      <c r="E10" s="1882">
        <f t="shared" si="0"/>
        <v>0.72880389471375717</v>
      </c>
      <c r="F10" s="1882" t="str">
        <f t="shared" si="0"/>
        <v>NO</v>
      </c>
      <c r="G10" s="1882" t="str">
        <f t="shared" si="0"/>
        <v>NO</v>
      </c>
      <c r="H10" s="1882">
        <f t="shared" si="0"/>
        <v>427.57135692747676</v>
      </c>
      <c r="I10" s="1883" t="str">
        <f t="shared" si="0"/>
        <v>NO</v>
      </c>
      <c r="J10" s="4487">
        <f>IF(SUM(C10:E10)=0,"NO",SUM(C10,IFERROR(28*D10,0),IFERROR(265*E10,0)))</f>
        <v>19912.008923357575</v>
      </c>
    </row>
    <row r="11" spans="1:10" ht="18" customHeight="1" x14ac:dyDescent="0.2">
      <c r="B11" s="1503" t="s">
        <v>1800</v>
      </c>
      <c r="C11" s="2893"/>
      <c r="D11" s="2894">
        <f>IF(SUM(D12:D14)=0,"NO",SUM(D12:D14))</f>
        <v>521.0311924030334</v>
      </c>
      <c r="E11" s="2893"/>
      <c r="F11" s="1886" t="str">
        <f>IF(SUM(F12:F14)=0,"NO",SUM(F12:F14))</f>
        <v>NO</v>
      </c>
      <c r="G11" s="1886" t="str">
        <f t="shared" ref="G11:H11" si="1">IF(SUM(G12:G14)=0,"NO",SUM(G12:G14))</f>
        <v>NO</v>
      </c>
      <c r="H11" s="1886">
        <f t="shared" si="1"/>
        <v>2.7515132163242844</v>
      </c>
      <c r="I11" s="2994"/>
      <c r="J11" s="1886">
        <f t="shared" ref="J11:J18" si="2">IF(SUM(C11:E11)=0,"NO",SUM(C11,IFERROR(28*D11,0),IFERROR(265*E11,0)))</f>
        <v>14588.873387284935</v>
      </c>
    </row>
    <row r="12" spans="1:10" ht="18" customHeight="1" x14ac:dyDescent="0.2">
      <c r="B12" s="1269" t="s">
        <v>1801</v>
      </c>
      <c r="C12" s="1885"/>
      <c r="D12" s="1884">
        <f>IF(SUM(Table5.A!F10:H10)=0,"NO",SUM(Table5.A!F10))</f>
        <v>521.0311924030334</v>
      </c>
      <c r="E12" s="1885"/>
      <c r="F12" s="2916" t="s">
        <v>205</v>
      </c>
      <c r="G12" s="2916" t="s">
        <v>205</v>
      </c>
      <c r="H12" s="2916">
        <v>2.7515132163242844</v>
      </c>
      <c r="I12" s="2940"/>
      <c r="J12" s="1887">
        <f t="shared" si="2"/>
        <v>14588.873387284935</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1.2801080569279952</v>
      </c>
      <c r="E15" s="2892">
        <f t="shared" ref="E15" si="3">IF(SUM(E16:E17)=0,"NO",SUM(E16:E17))</f>
        <v>0.16385383128678338</v>
      </c>
      <c r="F15" s="2892" t="s">
        <v>1805</v>
      </c>
      <c r="G15" s="2892" t="s">
        <v>1805</v>
      </c>
      <c r="H15" s="2892" t="s">
        <v>1805</v>
      </c>
      <c r="I15" s="2997"/>
      <c r="J15" s="2884">
        <f t="shared" si="2"/>
        <v>79.264290884981463</v>
      </c>
    </row>
    <row r="16" spans="1:10" ht="18" customHeight="1" x14ac:dyDescent="0.2">
      <c r="B16" s="1891" t="s">
        <v>1806</v>
      </c>
      <c r="C16" s="2998"/>
      <c r="D16" s="1884">
        <f>Table5.B!F10</f>
        <v>1.2801080569279952</v>
      </c>
      <c r="E16" s="1884">
        <f>Table5.B!G10</f>
        <v>0.16385383128678338</v>
      </c>
      <c r="F16" s="699" t="s">
        <v>205</v>
      </c>
      <c r="G16" s="699" t="s">
        <v>205</v>
      </c>
      <c r="H16" s="699" t="s">
        <v>205</v>
      </c>
      <c r="I16" s="2940"/>
      <c r="J16" s="1887">
        <f t="shared" si="2"/>
        <v>79.264290884981463</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28.498582921678484</v>
      </c>
      <c r="D18" s="2883" t="str">
        <f>IF(SUM(D19:D20)=0,"NO,NE",SUM(D19:D20))</f>
        <v>NO,NE</v>
      </c>
      <c r="E18" s="2883" t="str">
        <f>IF(SUM(E19:E20)=0,"NO,NE",SUM(E19:E20))</f>
        <v>NO,NE</v>
      </c>
      <c r="F18" s="2883" t="s">
        <v>205</v>
      </c>
      <c r="G18" s="2883" t="s">
        <v>205</v>
      </c>
      <c r="H18" s="2883" t="s">
        <v>205</v>
      </c>
      <c r="I18" s="2883" t="s">
        <v>205</v>
      </c>
      <c r="J18" s="2885">
        <f t="shared" si="2"/>
        <v>28.498582921678484</v>
      </c>
    </row>
    <row r="19" spans="2:12" ht="18" customHeight="1" x14ac:dyDescent="0.2">
      <c r="B19" s="1269" t="s">
        <v>1809</v>
      </c>
      <c r="C19" s="1884">
        <f>Table5.C!G10</f>
        <v>28.498582921678484</v>
      </c>
      <c r="D19" s="1884" t="str">
        <f>Table5.C!H10</f>
        <v>NO,NE</v>
      </c>
      <c r="E19" s="1884" t="str">
        <f>Table5.C!I10</f>
        <v>NO,NE</v>
      </c>
      <c r="F19" s="700" t="s">
        <v>205</v>
      </c>
      <c r="G19" s="700" t="s">
        <v>205</v>
      </c>
      <c r="H19" s="700" t="s">
        <v>205</v>
      </c>
      <c r="I19" s="700" t="s">
        <v>205</v>
      </c>
      <c r="J19" s="1887">
        <f>IF(SUM(C19:E19)=0,"NO",SUM(C19,IFERROR(28*D19,0),IFERROR(265*E19,0)))</f>
        <v>28.498582921678484</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180.91646055206525</v>
      </c>
      <c r="E21" s="2883">
        <f t="shared" ref="E21:H21" si="5">IF(SUM(E22:E24)=0,"NO",SUM(E22:E24))</f>
        <v>0.56495006342697385</v>
      </c>
      <c r="F21" s="2883" t="str">
        <f t="shared" si="5"/>
        <v>NO</v>
      </c>
      <c r="G21" s="2883" t="str">
        <f t="shared" si="5"/>
        <v>NO</v>
      </c>
      <c r="H21" s="2883">
        <f t="shared" si="5"/>
        <v>424.81984371115249</v>
      </c>
      <c r="I21" s="3000"/>
      <c r="J21" s="2885">
        <f t="shared" si="4"/>
        <v>5215.3726622659751</v>
      </c>
    </row>
    <row r="22" spans="2:12" ht="18" customHeight="1" x14ac:dyDescent="0.2">
      <c r="B22" s="1269" t="s">
        <v>1812</v>
      </c>
      <c r="C22" s="1894"/>
      <c r="D22" s="1884">
        <f>IF(SUM(Table5.D!H10)=0,"NO",SUM(Table5.D!H10))</f>
        <v>69.678434709138628</v>
      </c>
      <c r="E22" s="1884">
        <f>IF(SUM(Table5.D!I10:J10)=0,"NO",SUM(Table5.D!I10:J10))</f>
        <v>0.56495006342697385</v>
      </c>
      <c r="F22" s="2916" t="s">
        <v>205</v>
      </c>
      <c r="G22" s="2916" t="s">
        <v>205</v>
      </c>
      <c r="H22" s="2916">
        <v>7.5445793886914876</v>
      </c>
      <c r="I22" s="2940"/>
      <c r="J22" s="1887">
        <f t="shared" si="4"/>
        <v>2100.7079386640298</v>
      </c>
    </row>
    <row r="23" spans="2:12" ht="18" customHeight="1" x14ac:dyDescent="0.2">
      <c r="B23" s="1269" t="s">
        <v>1813</v>
      </c>
      <c r="C23" s="1894"/>
      <c r="D23" s="1884">
        <f>IF(SUM(Table5.D!H11)=0,"NO",SUM(Table5.D!H11))</f>
        <v>111.2380258429266</v>
      </c>
      <c r="E23" s="1884" t="str">
        <f>IF(SUM(Table5.D!I11:J11)=0,"IE",SUM(Table5.D!I11:J11))</f>
        <v>IE</v>
      </c>
      <c r="F23" s="2916" t="s">
        <v>205</v>
      </c>
      <c r="G23" s="2916" t="s">
        <v>205</v>
      </c>
      <c r="H23" s="2916">
        <v>417.275264322461</v>
      </c>
      <c r="I23" s="2940"/>
      <c r="J23" s="1887">
        <f t="shared" si="4"/>
        <v>3114.6647236019448</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216505.66544917307</v>
      </c>
      <c r="D28" s="1903"/>
      <c r="E28" s="1903"/>
      <c r="F28" s="1903"/>
      <c r="G28" s="1903"/>
      <c r="H28" s="1903"/>
      <c r="I28" s="1904"/>
      <c r="J28" s="1907"/>
      <c r="K28"/>
      <c r="L28"/>
    </row>
    <row r="29" spans="2:12" ht="18" customHeight="1" x14ac:dyDescent="0.2">
      <c r="B29" s="4215" t="s">
        <v>1819</v>
      </c>
      <c r="C29" s="1905">
        <v>4786.2881396918965</v>
      </c>
      <c r="D29" s="1906"/>
      <c r="E29" s="1906"/>
      <c r="F29" s="1906"/>
      <c r="G29" s="1906"/>
      <c r="H29" s="1906"/>
      <c r="I29" s="1907"/>
      <c r="J29" s="1907"/>
      <c r="K29"/>
      <c r="L29"/>
    </row>
    <row r="30" spans="2:12" ht="18" customHeight="1" thickBot="1" x14ac:dyDescent="0.25">
      <c r="B30" s="4216" t="s">
        <v>1820</v>
      </c>
      <c r="C30" s="1899">
        <v>3475.468418586182</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0" sqref="J1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18362.215597564311</v>
      </c>
      <c r="D10" s="3678"/>
      <c r="E10" s="4121">
        <f>IF(SUM(C10)=0,"NA",(F10-SUM(G10:H10))/C10)</f>
        <v>3.371545608881122E-2</v>
      </c>
      <c r="F10" s="3679">
        <f>F11</f>
        <v>521.0311924030334</v>
      </c>
      <c r="G10" s="3679" t="str">
        <f>G11</f>
        <v>IE</v>
      </c>
      <c r="H10" s="3680">
        <f>H11</f>
        <v>-98.059281269930565</v>
      </c>
      <c r="I10" s="44"/>
    </row>
    <row r="11" spans="1:13" ht="18" customHeight="1" x14ac:dyDescent="0.2">
      <c r="B11" s="1753" t="s">
        <v>1834</v>
      </c>
      <c r="C11" s="3681">
        <f>IF(SUM(C13:C16)=0,"NO",SUM(C13:C16))</f>
        <v>18362.215597564311</v>
      </c>
      <c r="D11" s="3681">
        <v>1</v>
      </c>
      <c r="E11" s="4121">
        <f>IF(SUM(C11)=0,"NA",(F11-SUM(G11:H11))/C11)</f>
        <v>3.371545608881122E-2</v>
      </c>
      <c r="F11" s="4227">
        <f>IF(SUM(F13:F16)=0,"NO",SUM(F13:F16))</f>
        <v>521.0311924030334</v>
      </c>
      <c r="G11" s="3682" t="s">
        <v>274</v>
      </c>
      <c r="H11" s="3683">
        <v>-98.059281269930565</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10664.795070346188</v>
      </c>
      <c r="D13" s="3688">
        <v>1</v>
      </c>
      <c r="E13" s="4218" t="s">
        <v>274</v>
      </c>
      <c r="F13" s="3688">
        <v>18.324063853803118</v>
      </c>
      <c r="G13" s="3689"/>
      <c r="H13" s="3690"/>
      <c r="I13" s="44"/>
    </row>
    <row r="14" spans="1:13" ht="18" customHeight="1" x14ac:dyDescent="0.2">
      <c r="B14" s="1754" t="s">
        <v>1837</v>
      </c>
      <c r="C14" s="3688">
        <v>2892.2839208300516</v>
      </c>
      <c r="D14" s="3688">
        <v>1</v>
      </c>
      <c r="E14" s="3681" t="s">
        <v>274</v>
      </c>
      <c r="F14" s="3688">
        <v>213.88224119746923</v>
      </c>
      <c r="G14" s="3689"/>
      <c r="H14" s="3690"/>
      <c r="I14" s="44"/>
    </row>
    <row r="15" spans="1:13" ht="18" customHeight="1" x14ac:dyDescent="0.2">
      <c r="B15" s="1754" t="s">
        <v>1838</v>
      </c>
      <c r="C15" s="3688">
        <v>4805.1366063880696</v>
      </c>
      <c r="D15" s="3688">
        <v>1</v>
      </c>
      <c r="E15" s="4121" t="s">
        <v>274</v>
      </c>
      <c r="F15" s="3688">
        <v>288.82488735176105</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1706.8107425706601</v>
      </c>
      <c r="D10" s="1938">
        <f>IF(SUM($C10)=0,"NA",F10*1000/$C10)</f>
        <v>0.75000000000000011</v>
      </c>
      <c r="E10" s="1938">
        <f>IF(SUM($C10)=0,"NA",G10*1000/$C10)</f>
        <v>9.6000000000000016E-2</v>
      </c>
      <c r="F10" s="1934">
        <f>IF(SUM(F11:F12)=0,"NO",SUM(F11:F12))</f>
        <v>1.2801080569279952</v>
      </c>
      <c r="G10" s="1934">
        <f>IF(SUM(G11:G12)=0,"NO",SUM(G11:G12))</f>
        <v>0.16385383128678338</v>
      </c>
      <c r="H10" s="1935"/>
      <c r="I10" s="1936"/>
    </row>
    <row r="11" spans="1:9" ht="18" customHeight="1" x14ac:dyDescent="0.2">
      <c r="B11" s="1525" t="s">
        <v>1851</v>
      </c>
      <c r="C11" s="1937">
        <v>1706.8107425706601</v>
      </c>
      <c r="D11" s="1938">
        <f>IF(SUM($C11)=0,"NA",F11*1000/$C11)</f>
        <v>0.75000000000000011</v>
      </c>
      <c r="E11" s="1938">
        <f>IF(SUM($C11)=0,"NA",G11*1000/$C11)</f>
        <v>9.6000000000000016E-2</v>
      </c>
      <c r="F11" s="1937">
        <v>1.2801080569279952</v>
      </c>
      <c r="G11" s="1937">
        <v>0.16385383128678338</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17.88925698160261</v>
      </c>
      <c r="D10" s="2898">
        <f t="shared" ref="D10:D20" si="0">IF(SUM(G10)=0,"NA",G10*1000/$C10)</f>
        <v>1593.0557066169126</v>
      </c>
      <c r="E10" s="2898" t="str">
        <f t="shared" ref="E10:E20" si="1">IF(SUM(H10)=0,"NA",H10*1000/$C10)</f>
        <v>NA</v>
      </c>
      <c r="F10" s="2898" t="str">
        <f t="shared" ref="F10:F20" si="2">IF(SUM(I10)=0,"NA",I10*1000/$C10)</f>
        <v>NA</v>
      </c>
      <c r="G10" s="2898">
        <f>IF(SUM(G11,G21)=0,"NO",SUM(G11,G21))</f>
        <v>28.498582921678484</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17.88925698160261</v>
      </c>
      <c r="D21" s="116">
        <f>IF(SUM(G21)=0,"NA",G21*1000/$C21)</f>
        <v>1593.0557066169126</v>
      </c>
      <c r="E21" s="116" t="str">
        <f t="shared" ref="E21:F21" si="3">IF(SUM(H21)=0,"NA",H21*1000/$C21)</f>
        <v>NA</v>
      </c>
      <c r="F21" s="116" t="str">
        <f t="shared" si="3"/>
        <v>NA</v>
      </c>
      <c r="G21" s="2900">
        <f>IF(SUM(G22:G23)=0,"NO",SUM(G22:G23))</f>
        <v>28.498582921678484</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17.88925698160261</v>
      </c>
      <c r="D23" s="116">
        <f t="shared" si="4"/>
        <v>1593.0557066169126</v>
      </c>
      <c r="E23" s="151" t="str">
        <f t="shared" si="5"/>
        <v>NA</v>
      </c>
      <c r="F23" s="151" t="str">
        <f t="shared" si="6"/>
        <v>NA</v>
      </c>
      <c r="G23" s="151">
        <f>IF(SUM(G25:G30)=0,"NO",SUM(G25:G30))</f>
        <v>28.498582921678484</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12.05605925987763</v>
      </c>
      <c r="D27" s="116">
        <f t="shared" si="4"/>
        <v>880</v>
      </c>
      <c r="E27" s="116" t="str">
        <f t="shared" si="5"/>
        <v>NA</v>
      </c>
      <c r="F27" s="116" t="str">
        <f t="shared" si="6"/>
        <v>NA</v>
      </c>
      <c r="G27" s="2908">
        <v>10.609332148692314</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5.8331977217249795</v>
      </c>
      <c r="D30" s="116">
        <f t="shared" si="4"/>
        <v>3066.8</v>
      </c>
      <c r="E30" s="153" t="str">
        <f t="shared" si="5"/>
        <v>NA</v>
      </c>
      <c r="F30" s="153" t="str">
        <f t="shared" si="6"/>
        <v>NA</v>
      </c>
      <c r="G30" s="1540">
        <f>G31</f>
        <v>17.88925077298617</v>
      </c>
      <c r="H30" s="1540" t="str">
        <f>H31</f>
        <v>NE</v>
      </c>
      <c r="I30" s="2905" t="str">
        <f>I31</f>
        <v>NE</v>
      </c>
    </row>
    <row r="31" spans="2:9" ht="18" customHeight="1" x14ac:dyDescent="0.2">
      <c r="B31" s="2902" t="s">
        <v>1883</v>
      </c>
      <c r="C31" s="162">
        <v>5.8331977217249795</v>
      </c>
      <c r="D31" s="116">
        <f t="shared" si="4"/>
        <v>3066.8</v>
      </c>
      <c r="E31" s="153" t="str">
        <f t="shared" si="5"/>
        <v>NA</v>
      </c>
      <c r="F31" s="153" t="str">
        <f t="shared" si="6"/>
        <v>NA</v>
      </c>
      <c r="G31" s="161">
        <v>17.88925077298617</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18424.227999999999</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36.682499999999997</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2081.5339027151535</v>
      </c>
      <c r="D10" s="3399">
        <v>1584.9738714245188</v>
      </c>
      <c r="E10" s="3399">
        <v>108.15707176440002</v>
      </c>
      <c r="F10" s="3400">
        <f>(SUM(H10)-SUM(K10:L10))/C10</f>
        <v>4.7685502353799404E-2</v>
      </c>
      <c r="G10" s="3400">
        <f>SUM(I10:J10)/E10/(44/28)</f>
        <v>3.3239960259777513E-3</v>
      </c>
      <c r="H10" s="3398">
        <v>69.678434709138628</v>
      </c>
      <c r="I10" s="3190">
        <v>0.56495006342697385</v>
      </c>
      <c r="J10" s="3190" t="s">
        <v>274</v>
      </c>
      <c r="K10" s="3401" t="s">
        <v>274</v>
      </c>
      <c r="L10" s="2921">
        <v>-29.580555108298089</v>
      </c>
      <c r="M10"/>
      <c r="N10" s="1773" t="s">
        <v>1910</v>
      </c>
      <c r="O10" s="3403">
        <v>1</v>
      </c>
    </row>
    <row r="11" spans="1:15" ht="18" customHeight="1" x14ac:dyDescent="0.2">
      <c r="A11"/>
      <c r="B11" s="1752" t="s">
        <v>1813</v>
      </c>
      <c r="C11" s="3399">
        <v>1390.9175477415367</v>
      </c>
      <c r="D11" s="3399">
        <v>206.86511693464527</v>
      </c>
      <c r="E11" s="699" t="s">
        <v>274</v>
      </c>
      <c r="F11" s="3134">
        <f>(SUM(H11)-SUM(K11:L11))/C11</f>
        <v>8.1585920983532068E-2</v>
      </c>
      <c r="G11" s="3134" t="s">
        <v>205</v>
      </c>
      <c r="H11" s="699">
        <v>111.2380258429266</v>
      </c>
      <c r="I11" s="699" t="s">
        <v>274</v>
      </c>
      <c r="J11" s="699" t="s">
        <v>274</v>
      </c>
      <c r="K11" s="3125" t="s">
        <v>274</v>
      </c>
      <c r="L11" s="2921">
        <v>-2.2412633017226136</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340403.20879683539</v>
      </c>
      <c r="D10" s="3798">
        <f t="shared" si="0"/>
        <v>5359.0671582472169</v>
      </c>
      <c r="E10" s="3798">
        <f t="shared" si="0"/>
        <v>68.142896909958665</v>
      </c>
      <c r="F10" s="3798">
        <f t="shared" si="0"/>
        <v>426.82299941723301</v>
      </c>
      <c r="G10" s="3798">
        <f t="shared" si="0"/>
        <v>1104.5946842688734</v>
      </c>
      <c r="H10" s="3798" t="str">
        <f>IF(SUM(H11,H22,H31,H42,H51)=0,"NO",SUM(H11,H22,H31,H42,H51))</f>
        <v>NO</v>
      </c>
      <c r="I10" s="3798">
        <f t="shared" ref="I10:N10" si="1">IF(SUM(I11,I22,I31,I42,I51)=0,"NO",SUM(I11,I22,I31,I42,I51))</f>
        <v>1.1700572754966308E-2</v>
      </c>
      <c r="J10" s="3826" t="str">
        <f t="shared" si="1"/>
        <v>NO</v>
      </c>
      <c r="K10" s="3798">
        <f t="shared" si="1"/>
        <v>2640.4900364462728</v>
      </c>
      <c r="L10" s="3798">
        <f t="shared" si="1"/>
        <v>28372.443864609082</v>
      </c>
      <c r="M10" s="3798">
        <f t="shared" si="1"/>
        <v>2077.5927488327952</v>
      </c>
      <c r="N10" s="3799">
        <f t="shared" si="1"/>
        <v>1817.4737296002668</v>
      </c>
      <c r="O10" s="3800">
        <f>IF(SUM(C10:J10)=0,"NO",SUM(C10,F10:H10)+28*SUM(D10)+265*SUM(E10)+23500*SUM(I10)+16100*SUM(J10))</f>
        <v>510321.33805232437</v>
      </c>
    </row>
    <row r="11" spans="1:15" ht="18" customHeight="1" x14ac:dyDescent="0.25">
      <c r="B11" s="1116" t="s">
        <v>1921</v>
      </c>
      <c r="C11" s="2572">
        <f>Table1!C10</f>
        <v>298077.30084264063</v>
      </c>
      <c r="D11" s="3766">
        <f>Table1!D10</f>
        <v>1406.3443411403673</v>
      </c>
      <c r="E11" s="3766">
        <f>Table1!E10</f>
        <v>8.8342105942418439</v>
      </c>
      <c r="F11" s="1553"/>
      <c r="G11" s="1553"/>
      <c r="H11" s="3714"/>
      <c r="I11" s="1553"/>
      <c r="J11" s="98"/>
      <c r="K11" s="3766">
        <f>Table1!F10</f>
        <v>1717.0711127650457</v>
      </c>
      <c r="L11" s="3713">
        <f>Table1!G10</f>
        <v>5668.6501249274161</v>
      </c>
      <c r="M11" s="3713">
        <f>Table1!H10</f>
        <v>799.30353040640057</v>
      </c>
      <c r="N11" s="960">
        <f>Table1!I10</f>
        <v>630.54789855287822</v>
      </c>
      <c r="O11" s="3715">
        <f t="shared" ref="O11:O58" si="2">IF(SUM(C11:J11)=0,"NO",SUM(C11,F11:H11)+28*SUM(D11)+265*SUM(E11)+23500*SUM(I11)+16100*SUM(J11))</f>
        <v>339796.00820204499</v>
      </c>
    </row>
    <row r="12" spans="1:15" ht="18" customHeight="1" x14ac:dyDescent="0.25">
      <c r="B12" s="1369" t="s">
        <v>1922</v>
      </c>
      <c r="C12" s="3794">
        <f>Table1!C11</f>
        <v>291389.68945926498</v>
      </c>
      <c r="D12" s="617">
        <f>Table1!D11</f>
        <v>128.54219617695563</v>
      </c>
      <c r="E12" s="617">
        <f>Table1!E11</f>
        <v>8.7468410505869389</v>
      </c>
      <c r="F12" s="69"/>
      <c r="G12" s="69"/>
      <c r="H12" s="69"/>
      <c r="I12" s="69"/>
      <c r="J12" s="69"/>
      <c r="K12" s="617">
        <f>Table1!F11</f>
        <v>1714.1466095243122</v>
      </c>
      <c r="L12" s="617">
        <f>Table1!G11</f>
        <v>5651.6882061311626</v>
      </c>
      <c r="M12" s="617">
        <f>Table1!H11</f>
        <v>616.67057311473366</v>
      </c>
      <c r="N12" s="619">
        <f>Table1!I11</f>
        <v>630.54789855287822</v>
      </c>
      <c r="O12" s="3716">
        <f t="shared" si="2"/>
        <v>297306.7838306253</v>
      </c>
    </row>
    <row r="13" spans="1:15" ht="18" customHeight="1" x14ac:dyDescent="0.25">
      <c r="B13" s="1370" t="s">
        <v>1923</v>
      </c>
      <c r="C13" s="3794">
        <f>Table1!C12</f>
        <v>168676.2909260561</v>
      </c>
      <c r="D13" s="617">
        <f>Table1!D12</f>
        <v>7.0619913656581117</v>
      </c>
      <c r="E13" s="617">
        <f>Table1!E12</f>
        <v>2.0352450444763979</v>
      </c>
      <c r="F13" s="69"/>
      <c r="G13" s="69"/>
      <c r="H13" s="69"/>
      <c r="I13" s="69"/>
      <c r="J13" s="69"/>
      <c r="K13" s="617">
        <f>Table1!F12</f>
        <v>528.98965156409986</v>
      </c>
      <c r="L13" s="617">
        <f>Table1!G12</f>
        <v>83.158180930304781</v>
      </c>
      <c r="M13" s="617">
        <f>Table1!H12</f>
        <v>13.037331770635623</v>
      </c>
      <c r="N13" s="619">
        <f>Table1!I12</f>
        <v>495.2528213780094</v>
      </c>
      <c r="O13" s="3717">
        <f t="shared" si="2"/>
        <v>169413.36662108076</v>
      </c>
    </row>
    <row r="14" spans="1:15" ht="18" customHeight="1" x14ac:dyDescent="0.25">
      <c r="B14" s="1370" t="s">
        <v>1924</v>
      </c>
      <c r="C14" s="3794">
        <f>Table1!C16</f>
        <v>37342.362579876841</v>
      </c>
      <c r="D14" s="3718">
        <f>Table1!D16</f>
        <v>2.2444637673842891</v>
      </c>
      <c r="E14" s="3718">
        <f>Table1!E16</f>
        <v>1.316378999783244</v>
      </c>
      <c r="F14" s="3719"/>
      <c r="G14" s="3719"/>
      <c r="H14" s="3719"/>
      <c r="I14" s="3719"/>
      <c r="J14" s="69"/>
      <c r="K14" s="3718">
        <f>Table1!F16</f>
        <v>519.97937411684711</v>
      </c>
      <c r="L14" s="3718">
        <f>Table1!G16</f>
        <v>167.92946236106135</v>
      </c>
      <c r="M14" s="3718">
        <f>Table1!H16</f>
        <v>66.064699160187473</v>
      </c>
      <c r="N14" s="3720">
        <f>Table1!I16</f>
        <v>95.936402632047574</v>
      </c>
      <c r="O14" s="3721">
        <f t="shared" si="2"/>
        <v>37754.04800030616</v>
      </c>
    </row>
    <row r="15" spans="1:15" ht="18" customHeight="1" x14ac:dyDescent="0.25">
      <c r="B15" s="1370" t="s">
        <v>1925</v>
      </c>
      <c r="C15" s="3794">
        <f>Table1!C24</f>
        <v>69276.048857972593</v>
      </c>
      <c r="D15" s="617">
        <f>Table1!D24</f>
        <v>30.23862509934867</v>
      </c>
      <c r="E15" s="617">
        <f>Table1!E24</f>
        <v>4.7758348071430996</v>
      </c>
      <c r="F15" s="69"/>
      <c r="G15" s="69"/>
      <c r="H15" s="69"/>
      <c r="I15" s="69"/>
      <c r="J15" s="69"/>
      <c r="K15" s="617">
        <f>Table1!F24</f>
        <v>418.68254242453781</v>
      </c>
      <c r="L15" s="617">
        <f>Table1!G24</f>
        <v>4322.7202803998407</v>
      </c>
      <c r="M15" s="617">
        <f>Table1!H24</f>
        <v>381.22662548398228</v>
      </c>
      <c r="N15" s="619">
        <f>Table1!I24</f>
        <v>32.643787933069547</v>
      </c>
      <c r="O15" s="3717">
        <f t="shared" si="2"/>
        <v>71388.326584647279</v>
      </c>
    </row>
    <row r="16" spans="1:15" ht="18" customHeight="1" x14ac:dyDescent="0.25">
      <c r="B16" s="1370" t="s">
        <v>1926</v>
      </c>
      <c r="C16" s="3794">
        <f>Table1!C30</f>
        <v>15281.499188238162</v>
      </c>
      <c r="D16" s="617">
        <f>Table1!D30</f>
        <v>88.953625740979518</v>
      </c>
      <c r="E16" s="617">
        <f>Table1!E30</f>
        <v>0.59697391044693204</v>
      </c>
      <c r="F16" s="69"/>
      <c r="G16" s="69"/>
      <c r="H16" s="69"/>
      <c r="I16" s="69"/>
      <c r="J16" s="69"/>
      <c r="K16" s="617">
        <f>Table1!F30</f>
        <v>237.97721274387172</v>
      </c>
      <c r="L16" s="617">
        <f>Table1!G30</f>
        <v>1071.6710136625416</v>
      </c>
      <c r="M16" s="617">
        <f>Table1!H30</f>
        <v>155.65782466249959</v>
      </c>
      <c r="N16" s="619">
        <f>Table1!I30</f>
        <v>6.3801784430890134</v>
      </c>
      <c r="O16" s="3717">
        <f t="shared" si="2"/>
        <v>17930.398795254023</v>
      </c>
    </row>
    <row r="17" spans="2:15" ht="18" customHeight="1" x14ac:dyDescent="0.25">
      <c r="B17" s="1370" t="s">
        <v>1927</v>
      </c>
      <c r="C17" s="3794">
        <f>Table1!C34</f>
        <v>813.48790712126572</v>
      </c>
      <c r="D17" s="617">
        <f>Table1!D34</f>
        <v>4.3490203585043824E-2</v>
      </c>
      <c r="E17" s="617">
        <f>Table1!E34</f>
        <v>2.2408288737265684E-2</v>
      </c>
      <c r="F17" s="69"/>
      <c r="G17" s="69"/>
      <c r="H17" s="69"/>
      <c r="I17" s="69"/>
      <c r="J17" s="69"/>
      <c r="K17" s="617">
        <f>Table1!F34</f>
        <v>8.5178286749558065</v>
      </c>
      <c r="L17" s="617">
        <f>Table1!G34</f>
        <v>6.2092687774141648</v>
      </c>
      <c r="M17" s="617">
        <f>Table1!H34</f>
        <v>0.68409203742877411</v>
      </c>
      <c r="N17" s="619">
        <f>Table1!I34</f>
        <v>0.33470816666269676</v>
      </c>
      <c r="O17" s="3717">
        <f t="shared" si="2"/>
        <v>820.64382933702234</v>
      </c>
    </row>
    <row r="18" spans="2:15" ht="18" customHeight="1" x14ac:dyDescent="0.25">
      <c r="B18" s="1369" t="s">
        <v>201</v>
      </c>
      <c r="C18" s="3711">
        <f>Table1!C37</f>
        <v>6687.6113833756262</v>
      </c>
      <c r="D18" s="3795">
        <f>Table1!D37</f>
        <v>1277.8021449634116</v>
      </c>
      <c r="E18" s="3795">
        <f>Table1!E37</f>
        <v>8.7369543654904458E-2</v>
      </c>
      <c r="F18" s="69"/>
      <c r="G18" s="69"/>
      <c r="H18" s="69"/>
      <c r="I18" s="69"/>
      <c r="J18" s="69"/>
      <c r="K18" s="3795">
        <f>Table1!F37</f>
        <v>2.9245032407334035</v>
      </c>
      <c r="L18" s="617">
        <f>Table1!G37</f>
        <v>16.961918796253737</v>
      </c>
      <c r="M18" s="617">
        <f>Table1!H37</f>
        <v>182.63295729166694</v>
      </c>
      <c r="N18" s="619" t="str">
        <f>Table1!I37</f>
        <v>NO</v>
      </c>
      <c r="O18" s="3717">
        <f t="shared" si="2"/>
        <v>42489.224371419703</v>
      </c>
    </row>
    <row r="19" spans="2:15" ht="18" customHeight="1" x14ac:dyDescent="0.25">
      <c r="B19" s="1370" t="s">
        <v>1928</v>
      </c>
      <c r="C19" s="3712">
        <f>Table1!C38</f>
        <v>1333.0836919676028</v>
      </c>
      <c r="D19" s="3722">
        <f>Table1!D38</f>
        <v>973.656088470236</v>
      </c>
      <c r="E19" s="3795">
        <f>Table1!E38</f>
        <v>1.4331691445815465E-5</v>
      </c>
      <c r="F19" s="69"/>
      <c r="G19" s="69"/>
      <c r="H19" s="69"/>
      <c r="I19" s="69"/>
      <c r="J19" s="69"/>
      <c r="K19" s="3795" t="str">
        <f>Table1!F38</f>
        <v>NO</v>
      </c>
      <c r="L19" s="617" t="str">
        <f>Table1!G38</f>
        <v>NO</v>
      </c>
      <c r="M19" s="617" t="str">
        <f>Table1!H38</f>
        <v>NO</v>
      </c>
      <c r="N19" s="619" t="str">
        <f>Table1!I38</f>
        <v>NO</v>
      </c>
      <c r="O19" s="3717">
        <f t="shared" si="2"/>
        <v>28595.457967032446</v>
      </c>
    </row>
    <row r="20" spans="2:15" ht="18" customHeight="1" x14ac:dyDescent="0.25">
      <c r="B20" s="1371" t="s">
        <v>1929</v>
      </c>
      <c r="C20" s="3712">
        <f>Table1!C42</f>
        <v>5354.5276914080232</v>
      </c>
      <c r="D20" s="3796">
        <f>Table1!D42</f>
        <v>304.14605649317554</v>
      </c>
      <c r="E20" s="3795">
        <f>Table1!E42</f>
        <v>8.7355211963458648E-2</v>
      </c>
      <c r="F20" s="3719"/>
      <c r="G20" s="3719"/>
      <c r="H20" s="3719"/>
      <c r="I20" s="3719"/>
      <c r="J20" s="69"/>
      <c r="K20" s="3795">
        <f>Table1!F42</f>
        <v>2.9245032407334035</v>
      </c>
      <c r="L20" s="3718">
        <f>Table1!G42</f>
        <v>16.961918796253737</v>
      </c>
      <c r="M20" s="3718">
        <f>Table1!H42</f>
        <v>182.63295729166694</v>
      </c>
      <c r="N20" s="3720" t="str">
        <f>Table1!I42</f>
        <v>NO</v>
      </c>
      <c r="O20" s="3721">
        <f t="shared" si="2"/>
        <v>13893.766404387256</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21073.538601312313</v>
      </c>
      <c r="D22" s="3727">
        <f>'Table2(I)'!D10</f>
        <v>3.933880206206898</v>
      </c>
      <c r="E22" s="3728">
        <f>'Table2(I)'!E10</f>
        <v>5.3797144649726709</v>
      </c>
      <c r="F22" s="3713">
        <f>'Table2(I)'!F10</f>
        <v>426.82299941723301</v>
      </c>
      <c r="G22" s="3713">
        <f>'Table2(I)'!G10</f>
        <v>1104.5946842688734</v>
      </c>
      <c r="H22" s="3713" t="str">
        <f>'Table2(I)'!H10</f>
        <v>NO</v>
      </c>
      <c r="I22" s="3713">
        <f>'Table2(I)'!I10</f>
        <v>1.1700572754966308E-2</v>
      </c>
      <c r="J22" s="3713" t="str">
        <f>'Table2(I)'!J10</f>
        <v>NO</v>
      </c>
      <c r="K22" s="3713">
        <f>'Table2(I)'!K10</f>
        <v>43.721525637951594</v>
      </c>
      <c r="L22" s="3713">
        <f>'Table2(I)'!L10</f>
        <v>11.645795811283044</v>
      </c>
      <c r="M22" s="3713">
        <f>'Table2(I)'!M10</f>
        <v>227.55644350992225</v>
      </c>
      <c r="N22" s="960">
        <f>'Table2(I)'!N10</f>
        <v>1186.9258310473886</v>
      </c>
      <c r="O22" s="3715">
        <f t="shared" si="2"/>
        <v>24415.692723731678</v>
      </c>
    </row>
    <row r="23" spans="2:15" ht="18" customHeight="1" x14ac:dyDescent="0.25">
      <c r="B23" s="1129" t="s">
        <v>1932</v>
      </c>
      <c r="C23" s="3729">
        <f>'Table2(I)'!C11</f>
        <v>5977.0239216720511</v>
      </c>
      <c r="D23" s="3730"/>
      <c r="E23" s="98"/>
      <c r="F23" s="98"/>
      <c r="G23" s="98"/>
      <c r="H23" s="98"/>
      <c r="I23" s="98"/>
      <c r="J23" s="69"/>
      <c r="K23" s="620" t="str">
        <f>'Table2(I)'!K11</f>
        <v>NO</v>
      </c>
      <c r="L23" s="620" t="str">
        <f>'Table2(I)'!L11</f>
        <v>NO</v>
      </c>
      <c r="M23" s="620" t="str">
        <f>'Table2(I)'!M11</f>
        <v>NO</v>
      </c>
      <c r="N23" s="622" t="str">
        <f>'Table2(I)'!N11</f>
        <v>NO</v>
      </c>
      <c r="O23" s="3716">
        <f t="shared" si="2"/>
        <v>5977.0239216720511</v>
      </c>
    </row>
    <row r="24" spans="2:15" ht="18" customHeight="1" x14ac:dyDescent="0.25">
      <c r="B24" s="1129" t="s">
        <v>846</v>
      </c>
      <c r="C24" s="3729">
        <f>'Table2(I)'!C16</f>
        <v>1420.3346702602551</v>
      </c>
      <c r="D24" s="3731">
        <f>'Table2(I)'!D16</f>
        <v>0.56978379999999995</v>
      </c>
      <c r="E24" s="3732">
        <f>'Table2(I)'!E16</f>
        <v>5.2946687564516139</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5.9733937669999992</v>
      </c>
      <c r="N24" s="619" t="str">
        <f>'Table2(I)'!N16</f>
        <v>NO</v>
      </c>
      <c r="O24" s="3717">
        <f t="shared" si="2"/>
        <v>2839.3758371199328</v>
      </c>
    </row>
    <row r="25" spans="2:15" ht="18" customHeight="1" x14ac:dyDescent="0.25">
      <c r="B25" s="1129" t="s">
        <v>637</v>
      </c>
      <c r="C25" s="3729">
        <f>'Table2(I)'!C27</f>
        <v>13255.058139770597</v>
      </c>
      <c r="D25" s="3731">
        <f>'Table2(I)'!D27</f>
        <v>3.3640964062068983</v>
      </c>
      <c r="E25" s="3732">
        <f>'Table2(I)'!E27</f>
        <v>8.5045708521057403E-2</v>
      </c>
      <c r="F25" s="617" t="str">
        <f>'Table2(I)'!F27</f>
        <v>NO</v>
      </c>
      <c r="G25" s="617">
        <f>'Table2(I)'!G27</f>
        <v>1104.5946842688734</v>
      </c>
      <c r="H25" s="617" t="str">
        <f>'Table2(I)'!H27</f>
        <v>NO</v>
      </c>
      <c r="I25" s="617">
        <f>'Table2(I)'!I27</f>
        <v>2.5000000000000001E-4</v>
      </c>
      <c r="J25" s="617" t="str">
        <f>'Table2(I)'!J27</f>
        <v>NO</v>
      </c>
      <c r="K25" s="617">
        <f>'Table2(I)'!K27</f>
        <v>43.721525637951594</v>
      </c>
      <c r="L25" s="617">
        <f>'Table2(I)'!L27</f>
        <v>11.645795811283044</v>
      </c>
      <c r="M25" s="617">
        <f>'Table2(I)'!M27</f>
        <v>0.10586983206691467</v>
      </c>
      <c r="N25" s="619">
        <f>'Table2(I)'!N27</f>
        <v>1186.9258310473886</v>
      </c>
      <c r="O25" s="3717">
        <f t="shared" si="2"/>
        <v>14482.259636171344</v>
      </c>
    </row>
    <row r="26" spans="2:15" ht="18" customHeight="1" x14ac:dyDescent="0.25">
      <c r="B26" s="1129" t="s">
        <v>1933</v>
      </c>
      <c r="C26" s="3729">
        <f>'Table2(I)'!C35</f>
        <v>278.53303650000004</v>
      </c>
      <c r="D26" s="3733" t="str">
        <f>'Table2(I)'!D35</f>
        <v>NO</v>
      </c>
      <c r="E26" s="602" t="str">
        <f>'Table2(I)'!E35</f>
        <v>NO</v>
      </c>
      <c r="F26" s="69"/>
      <c r="G26" s="69"/>
      <c r="H26" s="69"/>
      <c r="I26" s="69"/>
      <c r="J26" s="69"/>
      <c r="K26" s="602" t="str">
        <f>'Table2(I)'!K35</f>
        <v>NO</v>
      </c>
      <c r="L26" s="3732" t="str">
        <f>'Table2(I)'!L35</f>
        <v>NO</v>
      </c>
      <c r="M26" s="3732">
        <f>'Table2(I)'!M35</f>
        <v>164.99153641085533</v>
      </c>
      <c r="N26" s="3734" t="str">
        <f>'Table2(I)'!N35</f>
        <v>NO</v>
      </c>
      <c r="O26" s="3717">
        <f t="shared" si="2"/>
        <v>278.53303650000004</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426.82299941723301</v>
      </c>
      <c r="G28" s="3718" t="str">
        <f>'Table2(I)'!G45</f>
        <v>NO</v>
      </c>
      <c r="H28" s="3718" t="str">
        <f>'Table2(I)'!H45</f>
        <v>NO</v>
      </c>
      <c r="I28" s="3718" t="str">
        <f>'Table2(I)'!I45</f>
        <v>NO</v>
      </c>
      <c r="J28" s="3718" t="str">
        <f>'Table2(I)'!J45</f>
        <v>NO</v>
      </c>
      <c r="K28" s="3719"/>
      <c r="L28" s="3719"/>
      <c r="M28" s="3719"/>
      <c r="N28" s="3738"/>
      <c r="O28" s="3721">
        <f t="shared" si="2"/>
        <v>426.82299941723301</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1.1450572754966307E-2</v>
      </c>
      <c r="J29" s="602" t="str">
        <f>'Table2(I)'!J52</f>
        <v>NO</v>
      </c>
      <c r="K29" s="3741" t="str">
        <f>'Table2(I)'!K52</f>
        <v>NO</v>
      </c>
      <c r="L29" s="3741" t="str">
        <f>'Table2(I)'!L52</f>
        <v>NO</v>
      </c>
      <c r="M29" s="3741" t="str">
        <f>'Table2(I)'!M52</f>
        <v>NO</v>
      </c>
      <c r="N29" s="3742" t="str">
        <f>'Table2(I)'!N52</f>
        <v>NO</v>
      </c>
      <c r="O29" s="3721">
        <f t="shared" si="2"/>
        <v>269.08845974170822</v>
      </c>
    </row>
    <row r="30" spans="2:15" ht="18" customHeight="1" thickBot="1" x14ac:dyDescent="0.3">
      <c r="B30" s="1374" t="s">
        <v>1936</v>
      </c>
      <c r="C30" s="3743">
        <f>'Table2(I)'!C57</f>
        <v>142.58883310941064</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56.485643499999995</v>
      </c>
      <c r="N30" s="3746" t="str">
        <f>'Table2(I)'!N57</f>
        <v>NA</v>
      </c>
      <c r="O30" s="3747">
        <f t="shared" si="2"/>
        <v>142.58883310941064</v>
      </c>
    </row>
    <row r="31" spans="2:15" ht="18" customHeight="1" x14ac:dyDescent="0.25">
      <c r="B31" s="1130" t="s">
        <v>1937</v>
      </c>
      <c r="C31" s="3789">
        <f>Table3!C10</f>
        <v>1153.6863212061298</v>
      </c>
      <c r="D31" s="3748">
        <f>Table3!D10</f>
        <v>2605.6643009837471</v>
      </c>
      <c r="E31" s="3749">
        <f>Table3!E10</f>
        <v>38.753188280834244</v>
      </c>
      <c r="F31" s="3750"/>
      <c r="G31" s="3750"/>
      <c r="H31" s="3750"/>
      <c r="I31" s="3750"/>
      <c r="J31" s="3750"/>
      <c r="K31" s="3751">
        <f>Table3!F10</f>
        <v>37.195809767810161</v>
      </c>
      <c r="L31" s="3751">
        <f>Table3!G10</f>
        <v>617.14540814598058</v>
      </c>
      <c r="M31" s="3751">
        <f>Table3!H10</f>
        <v>36.000148808515533</v>
      </c>
      <c r="N31" s="3752" t="str">
        <f>Table3!I10</f>
        <v>NO</v>
      </c>
      <c r="O31" s="3716">
        <f t="shared" si="2"/>
        <v>84381.881643172121</v>
      </c>
    </row>
    <row r="32" spans="2:15" ht="18" customHeight="1" x14ac:dyDescent="0.25">
      <c r="B32" s="1131" t="s">
        <v>1938</v>
      </c>
      <c r="C32" s="3735"/>
      <c r="D32" s="3753">
        <f>Table3!D11</f>
        <v>2337.4335101675829</v>
      </c>
      <c r="E32" s="98"/>
      <c r="F32" s="3754"/>
      <c r="G32" s="3754"/>
      <c r="H32" s="3730"/>
      <c r="I32" s="3754"/>
      <c r="J32" s="3730"/>
      <c r="K32" s="98"/>
      <c r="L32" s="98"/>
      <c r="M32" s="98"/>
      <c r="N32" s="3755"/>
      <c r="O32" s="3716">
        <f t="shared" si="2"/>
        <v>65448.138284692322</v>
      </c>
    </row>
    <row r="33" spans="2:15" ht="18" customHeight="1" x14ac:dyDescent="0.25">
      <c r="B33" s="1131" t="s">
        <v>1939</v>
      </c>
      <c r="C33" s="3735"/>
      <c r="D33" s="3722">
        <f>Table3!D21</f>
        <v>224.84494272300051</v>
      </c>
      <c r="E33" s="3722">
        <f>Table3!E21</f>
        <v>1.1237627605458389</v>
      </c>
      <c r="F33" s="3754"/>
      <c r="G33" s="3754"/>
      <c r="H33" s="3754"/>
      <c r="I33" s="3754"/>
      <c r="J33" s="3754"/>
      <c r="K33" s="69"/>
      <c r="L33" s="69"/>
      <c r="M33" s="3756" t="str">
        <f>Table3!H21</f>
        <v>NE</v>
      </c>
      <c r="N33" s="3757"/>
      <c r="O33" s="3717">
        <f t="shared" si="2"/>
        <v>6593.455527788662</v>
      </c>
    </row>
    <row r="34" spans="2:15" ht="18" customHeight="1" x14ac:dyDescent="0.25">
      <c r="B34" s="1131" t="s">
        <v>1940</v>
      </c>
      <c r="C34" s="3735"/>
      <c r="D34" s="3722">
        <f>Table3!D32</f>
        <v>27.561606858651462</v>
      </c>
      <c r="E34" s="69"/>
      <c r="F34" s="3754"/>
      <c r="G34" s="3754"/>
      <c r="H34" s="3754"/>
      <c r="I34" s="3754"/>
      <c r="J34" s="3754"/>
      <c r="K34" s="69"/>
      <c r="L34" s="69"/>
      <c r="M34" s="3756" t="str">
        <f>Table3!H32</f>
        <v>NE</v>
      </c>
      <c r="N34" s="3757"/>
      <c r="O34" s="3717">
        <f t="shared" si="2"/>
        <v>771.72499204224096</v>
      </c>
    </row>
    <row r="35" spans="2:15" ht="18" customHeight="1" x14ac:dyDescent="0.25">
      <c r="B35" s="1131" t="s">
        <v>1941</v>
      </c>
      <c r="C35" s="3758"/>
      <c r="D35" s="3722" t="str">
        <f>Table3!D33</f>
        <v>NE</v>
      </c>
      <c r="E35" s="3722">
        <f>Table3!E33</f>
        <v>36.985622270477037</v>
      </c>
      <c r="F35" s="3754"/>
      <c r="G35" s="3754"/>
      <c r="H35" s="3754"/>
      <c r="I35" s="3754"/>
      <c r="J35" s="3754"/>
      <c r="K35" s="3756" t="str">
        <f>Table3!F33</f>
        <v>NO</v>
      </c>
      <c r="L35" s="3756" t="str">
        <f>Table3!G33</f>
        <v>NO</v>
      </c>
      <c r="M35" s="3756" t="str">
        <f>Table3!H33</f>
        <v>NO</v>
      </c>
      <c r="N35" s="3757"/>
      <c r="O35" s="3717">
        <f t="shared" si="2"/>
        <v>9801.1899016764146</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15.82424123451232</v>
      </c>
      <c r="E37" s="3722">
        <f>Table3!E44</f>
        <v>0.64380324981137249</v>
      </c>
      <c r="F37" s="3754"/>
      <c r="G37" s="3754"/>
      <c r="H37" s="3754"/>
      <c r="I37" s="3754"/>
      <c r="J37" s="3754"/>
      <c r="K37" s="3756">
        <f>Table3!F44</f>
        <v>37.195809767810161</v>
      </c>
      <c r="L37" s="3756">
        <f>Table3!G44</f>
        <v>617.14540814598058</v>
      </c>
      <c r="M37" s="3756">
        <f>Table3!H44</f>
        <v>36.000148808515533</v>
      </c>
      <c r="N37" s="3756" t="str">
        <f>Table3!I44</f>
        <v>NO</v>
      </c>
      <c r="O37" s="3717">
        <f t="shared" si="2"/>
        <v>613.68661576635873</v>
      </c>
    </row>
    <row r="38" spans="2:15" ht="18" customHeight="1" x14ac:dyDescent="0.25">
      <c r="B38" s="1132" t="s">
        <v>955</v>
      </c>
      <c r="C38" s="3739">
        <f>Table3!C45</f>
        <v>485.71530671337609</v>
      </c>
      <c r="D38" s="3759"/>
      <c r="E38" s="3759"/>
      <c r="F38" s="3736"/>
      <c r="G38" s="3736"/>
      <c r="H38" s="3736"/>
      <c r="I38" s="3736"/>
      <c r="J38" s="3736"/>
      <c r="K38" s="3760"/>
      <c r="L38" s="3760"/>
      <c r="M38" s="3760"/>
      <c r="N38" s="3738"/>
      <c r="O38" s="3721">
        <f t="shared" si="2"/>
        <v>485.71530671337609</v>
      </c>
    </row>
    <row r="39" spans="2:15" ht="18" customHeight="1" x14ac:dyDescent="0.25">
      <c r="B39" s="1132" t="s">
        <v>956</v>
      </c>
      <c r="C39" s="3761">
        <f>Table3!C46</f>
        <v>667.97101449275374</v>
      </c>
      <c r="D39" s="3759"/>
      <c r="E39" s="3759"/>
      <c r="F39" s="3736"/>
      <c r="G39" s="3736"/>
      <c r="H39" s="3736"/>
      <c r="I39" s="3736"/>
      <c r="J39" s="3736"/>
      <c r="K39" s="3760"/>
      <c r="L39" s="3760"/>
      <c r="M39" s="3760"/>
      <c r="N39" s="3738"/>
      <c r="O39" s="3721">
        <f t="shared" si="2"/>
        <v>667.97101449275374</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20070.184448754575</v>
      </c>
      <c r="D42" s="3765">
        <f>Table4!D10</f>
        <v>639.89687490486892</v>
      </c>
      <c r="E42" s="3766">
        <f>Table4!E10</f>
        <v>14.446979675196147</v>
      </c>
      <c r="F42" s="3750"/>
      <c r="G42" s="3750"/>
      <c r="H42" s="3750"/>
      <c r="I42" s="3750"/>
      <c r="J42" s="3750"/>
      <c r="K42" s="3767">
        <f>Table4!F10</f>
        <v>842.50158827546556</v>
      </c>
      <c r="L42" s="3767">
        <f>Table4!G10</f>
        <v>22075.002535724401</v>
      </c>
      <c r="M42" s="3767">
        <f>Table4!H10</f>
        <v>587.16126918048008</v>
      </c>
      <c r="N42" s="3768" t="str">
        <f>N50</f>
        <v>NO</v>
      </c>
      <c r="O42" s="3715">
        <f t="shared" si="2"/>
        <v>41815.746560017884</v>
      </c>
    </row>
    <row r="43" spans="2:15" ht="18" customHeight="1" x14ac:dyDescent="0.25">
      <c r="B43" s="1131" t="s">
        <v>1947</v>
      </c>
      <c r="C43" s="3769">
        <f>Table4!C11</f>
        <v>-41260.607239294819</v>
      </c>
      <c r="D43" s="3770">
        <f>Table4!D11</f>
        <v>215.46067450390416</v>
      </c>
      <c r="E43" s="3771">
        <f>Table4!E11</f>
        <v>4.6070512651177884</v>
      </c>
      <c r="F43" s="3736"/>
      <c r="G43" s="3736"/>
      <c r="H43" s="3736"/>
      <c r="I43" s="3736"/>
      <c r="J43" s="3736"/>
      <c r="K43" s="3756">
        <f>Table4!F11</f>
        <v>241.26713767827607</v>
      </c>
      <c r="L43" s="3756">
        <f>Table4!G11</f>
        <v>6388.5460021916479</v>
      </c>
      <c r="M43" s="3756">
        <f>Table4!H11</f>
        <v>191.1496503230926</v>
      </c>
      <c r="N43" s="3772"/>
      <c r="O43" s="3773">
        <f t="shared" si="2"/>
        <v>-34006.83976792929</v>
      </c>
    </row>
    <row r="44" spans="2:15" ht="18" customHeight="1" x14ac:dyDescent="0.25">
      <c r="B44" s="1131" t="s">
        <v>1948</v>
      </c>
      <c r="C44" s="3769">
        <f>Table4!C14</f>
        <v>7370.6323877009927</v>
      </c>
      <c r="D44" s="3774">
        <f>Table4!D14</f>
        <v>5.6829143958953345</v>
      </c>
      <c r="E44" s="3774">
        <f>Table4!E14</f>
        <v>0.19151287850847243</v>
      </c>
      <c r="F44" s="3754"/>
      <c r="G44" s="3754"/>
      <c r="H44" s="3754"/>
      <c r="I44" s="3754"/>
      <c r="J44" s="3754"/>
      <c r="K44" s="3756">
        <f>Table4!F14</f>
        <v>4.2790992326235697</v>
      </c>
      <c r="L44" s="3756">
        <f>Table4!G14</f>
        <v>167.59335510117259</v>
      </c>
      <c r="M44" s="3756">
        <f>Table4!H14</f>
        <v>20.258537429812069</v>
      </c>
      <c r="N44" s="3775"/>
      <c r="O44" s="3717">
        <f t="shared" si="2"/>
        <v>7580.5049035908069</v>
      </c>
    </row>
    <row r="45" spans="2:15" ht="18" customHeight="1" x14ac:dyDescent="0.25">
      <c r="B45" s="1131" t="s">
        <v>1949</v>
      </c>
      <c r="C45" s="3769">
        <f>Table4!C17</f>
        <v>53306.60912101654</v>
      </c>
      <c r="D45" s="3774">
        <f>Table4!D17</f>
        <v>331.74685781944299</v>
      </c>
      <c r="E45" s="3774">
        <f>Table4!E17</f>
        <v>9.2004231383396089</v>
      </c>
      <c r="F45" s="3754"/>
      <c r="G45" s="3754"/>
      <c r="H45" s="3754"/>
      <c r="I45" s="3754"/>
      <c r="J45" s="3754"/>
      <c r="K45" s="3756">
        <f>Table4!F17</f>
        <v>570.67324314548273</v>
      </c>
      <c r="L45" s="3756">
        <f>Table4!G17</f>
        <v>14847.197518694615</v>
      </c>
      <c r="M45" s="3756">
        <f>Table4!H17</f>
        <v>362.46930790424506</v>
      </c>
      <c r="N45" s="3775"/>
      <c r="O45" s="3717">
        <f t="shared" si="2"/>
        <v>65033.633271620936</v>
      </c>
    </row>
    <row r="46" spans="2:15" ht="18" customHeight="1" x14ac:dyDescent="0.25">
      <c r="B46" s="1131" t="s">
        <v>1950</v>
      </c>
      <c r="C46" s="3769">
        <f>Table4!C20</f>
        <v>1451.8113940927544</v>
      </c>
      <c r="D46" s="3774">
        <f>Table4!D20</f>
        <v>83.381729648206544</v>
      </c>
      <c r="E46" s="3774">
        <f>Table4!E20</f>
        <v>0.33190858053478117</v>
      </c>
      <c r="F46" s="3754"/>
      <c r="G46" s="3754"/>
      <c r="H46" s="3754"/>
      <c r="I46" s="3754"/>
      <c r="J46" s="3754"/>
      <c r="K46" s="3756">
        <f>Table4!F20</f>
        <v>23.552796522752161</v>
      </c>
      <c r="L46" s="3756">
        <f>Table4!G20</f>
        <v>564.77061490657377</v>
      </c>
      <c r="M46" s="3756">
        <f>Table4!H20</f>
        <v>0.3623944778983848</v>
      </c>
      <c r="N46" s="3775"/>
      <c r="O46" s="3717">
        <f t="shared" si="2"/>
        <v>3874.4555980842542</v>
      </c>
    </row>
    <row r="47" spans="2:15" ht="18" customHeight="1" x14ac:dyDescent="0.25">
      <c r="B47" s="1131" t="s">
        <v>1951</v>
      </c>
      <c r="C47" s="3769">
        <f>Table4!C23</f>
        <v>5552.4542556861061</v>
      </c>
      <c r="D47" s="3774">
        <f>Table4!D23</f>
        <v>3.6246985374198863</v>
      </c>
      <c r="E47" s="3776">
        <f>Table4!E23</f>
        <v>7.929420269549585E-2</v>
      </c>
      <c r="F47" s="3754"/>
      <c r="G47" s="3754"/>
      <c r="H47" s="3754"/>
      <c r="I47" s="3754"/>
      <c r="J47" s="3754"/>
      <c r="K47" s="3756">
        <f>Table4!F23</f>
        <v>2.7293116963310444</v>
      </c>
      <c r="L47" s="3756">
        <f>Table4!G23</f>
        <v>106.89504483039201</v>
      </c>
      <c r="M47" s="3756">
        <f>Table4!H23</f>
        <v>12.921379045431999</v>
      </c>
      <c r="N47" s="1842"/>
      <c r="O47" s="3717">
        <f t="shared" si="2"/>
        <v>5674.9587784481691</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-6351.2423647902106</v>
      </c>
      <c r="D49" s="3736"/>
      <c r="E49" s="3736"/>
      <c r="F49" s="3736"/>
      <c r="G49" s="3736"/>
      <c r="H49" s="3736"/>
      <c r="I49" s="3736"/>
      <c r="J49" s="3736"/>
      <c r="K49" s="3736"/>
      <c r="L49" s="3736"/>
      <c r="M49" s="3736"/>
      <c r="N49" s="3781"/>
      <c r="O49" s="3721">
        <f t="shared" si="2"/>
        <v>-6351.2423647902106</v>
      </c>
    </row>
    <row r="50" spans="2:15" ht="18" customHeight="1" thickBot="1" x14ac:dyDescent="0.3">
      <c r="B50" s="1375" t="s">
        <v>1954</v>
      </c>
      <c r="C50" s="3782">
        <f>Table4!C30</f>
        <v>0.52689434321333339</v>
      </c>
      <c r="D50" s="3783" t="str">
        <f>Table4!D30</f>
        <v>NO</v>
      </c>
      <c r="E50" s="3783">
        <f>Table4!E30</f>
        <v>3.6789610000000007E-2</v>
      </c>
      <c r="F50" s="3762"/>
      <c r="G50" s="3762"/>
      <c r="H50" s="3762"/>
      <c r="I50" s="3762"/>
      <c r="J50" s="3762"/>
      <c r="K50" s="3784" t="str">
        <f>Table4!F30</f>
        <v>NO</v>
      </c>
      <c r="L50" s="3784" t="str">
        <f>Table4!G30</f>
        <v>NO</v>
      </c>
      <c r="M50" s="3784" t="str">
        <f>Table4!H30</f>
        <v>NO</v>
      </c>
      <c r="N50" s="3785" t="s">
        <v>199</v>
      </c>
      <c r="O50" s="3747">
        <f t="shared" si="2"/>
        <v>10.276140993213335</v>
      </c>
    </row>
    <row r="51" spans="2:15" ht="18" customHeight="1" x14ac:dyDescent="0.25">
      <c r="B51" s="1376" t="s">
        <v>1955</v>
      </c>
      <c r="C51" s="3786">
        <f>Table5!C10</f>
        <v>28.498582921678484</v>
      </c>
      <c r="D51" s="3748">
        <f>Table5!D10</f>
        <v>703.22776101202669</v>
      </c>
      <c r="E51" s="3749">
        <f>Table5!E10</f>
        <v>0.72880389471375717</v>
      </c>
      <c r="F51" s="3750"/>
      <c r="G51" s="3750"/>
      <c r="H51" s="3750"/>
      <c r="I51" s="3750"/>
      <c r="J51" s="3750"/>
      <c r="K51" s="3751" t="str">
        <f>Table5!F10</f>
        <v>NO</v>
      </c>
      <c r="L51" s="3751" t="str">
        <f>Table5!G10</f>
        <v>NO</v>
      </c>
      <c r="M51" s="3751">
        <f>Table5!H10</f>
        <v>427.57135692747676</v>
      </c>
      <c r="N51" s="3752" t="str">
        <f>Table5!I10</f>
        <v>NO</v>
      </c>
      <c r="O51" s="3787">
        <f t="shared" si="2"/>
        <v>19912.008923357575</v>
      </c>
    </row>
    <row r="52" spans="2:15" ht="18" customHeight="1" x14ac:dyDescent="0.25">
      <c r="B52" s="1131" t="s">
        <v>1956</v>
      </c>
      <c r="C52" s="3758"/>
      <c r="D52" s="3753">
        <f>Table5!D11</f>
        <v>521.0311924030334</v>
      </c>
      <c r="E52" s="3788"/>
      <c r="F52" s="3750"/>
      <c r="G52" s="3750"/>
      <c r="H52" s="3750"/>
      <c r="I52" s="3750"/>
      <c r="J52" s="3750"/>
      <c r="K52" s="3756" t="str">
        <f>Table5!F11</f>
        <v>NO</v>
      </c>
      <c r="L52" s="3756" t="str">
        <f>Table5!G11</f>
        <v>NO</v>
      </c>
      <c r="M52" s="3756">
        <f>Table5!H11</f>
        <v>2.7515132163242844</v>
      </c>
      <c r="N52" s="3755"/>
      <c r="O52" s="3787">
        <f t="shared" si="2"/>
        <v>14588.873387284935</v>
      </c>
    </row>
    <row r="53" spans="2:15" ht="18" customHeight="1" x14ac:dyDescent="0.25">
      <c r="B53" s="1131" t="s">
        <v>1957</v>
      </c>
      <c r="C53" s="3758"/>
      <c r="D53" s="3753">
        <f>Table5!D15</f>
        <v>1.2801080569279952</v>
      </c>
      <c r="E53" s="3753">
        <f>Table5!E15</f>
        <v>0.16385383128678338</v>
      </c>
      <c r="F53" s="3754"/>
      <c r="G53" s="3754"/>
      <c r="H53" s="3754"/>
      <c r="I53" s="3754"/>
      <c r="J53" s="3754"/>
      <c r="K53" s="3756" t="str">
        <f>Table5!F15</f>
        <v>NA,NE</v>
      </c>
      <c r="L53" s="3756" t="str">
        <f>Table5!G15</f>
        <v>NA,NE</v>
      </c>
      <c r="M53" s="3756" t="str">
        <f>Table5!H15</f>
        <v>NA,NE</v>
      </c>
      <c r="N53" s="3755"/>
      <c r="O53" s="3716">
        <f t="shared" si="2"/>
        <v>79.264290884981463</v>
      </c>
    </row>
    <row r="54" spans="2:15" ht="18" customHeight="1" x14ac:dyDescent="0.25">
      <c r="B54" s="1131" t="s">
        <v>1958</v>
      </c>
      <c r="C54" s="3817">
        <f>Table5!C18</f>
        <v>28.498582921678484</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28.498582921678484</v>
      </c>
    </row>
    <row r="55" spans="2:15" ht="18" customHeight="1" x14ac:dyDescent="0.25">
      <c r="B55" s="1131" t="s">
        <v>1959</v>
      </c>
      <c r="C55" s="3735"/>
      <c r="D55" s="3722">
        <f>Table5!D21</f>
        <v>180.91646055206525</v>
      </c>
      <c r="E55" s="3722">
        <f>Table5!E21</f>
        <v>0.56495006342697385</v>
      </c>
      <c r="F55" s="3754"/>
      <c r="G55" s="3754"/>
      <c r="H55" s="3754"/>
      <c r="I55" s="3754"/>
      <c r="J55" s="3754"/>
      <c r="K55" s="3756" t="str">
        <f>Table5!F21</f>
        <v>NO</v>
      </c>
      <c r="L55" s="3756" t="str">
        <f>Table5!G21</f>
        <v>NO</v>
      </c>
      <c r="M55" s="3756">
        <f>Table5!H21</f>
        <v>424.81984371115249</v>
      </c>
      <c r="N55" s="3755"/>
      <c r="O55" s="3791">
        <f t="shared" si="2"/>
        <v>5215.3726622659751</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9141.9429999999993</v>
      </c>
      <c r="D61" s="3802">
        <f>Table1!D52</f>
        <v>0.25615829499999998</v>
      </c>
      <c r="E61" s="3802">
        <f>Table1!E52</f>
        <v>0.10435733409736841</v>
      </c>
      <c r="F61" s="615"/>
      <c r="G61" s="615"/>
      <c r="H61" s="615"/>
      <c r="I61" s="615"/>
      <c r="J61" s="615"/>
      <c r="K61" s="3802">
        <f>Table1!F52</f>
        <v>100.53891086552632</v>
      </c>
      <c r="L61" s="3802">
        <f>Table1!G52</f>
        <v>12.741734088684211</v>
      </c>
      <c r="M61" s="3802">
        <f>Table1!H52</f>
        <v>7.1281166662894737</v>
      </c>
      <c r="N61" s="3803">
        <f>Table1!I52</f>
        <v>37.546874458839412</v>
      </c>
      <c r="O61" s="3787">
        <f t="shared" ref="O61:O67" si="4">IF(SUM(C61:J61)=0,"NO",SUM(C61,F61:H61)+28*SUM(D61)+265*SUM(E61)+23500*SUM(I61)+16100*SUM(J61))</f>
        <v>9176.7701257958015</v>
      </c>
    </row>
    <row r="62" spans="2:15" ht="18" customHeight="1" x14ac:dyDescent="0.25">
      <c r="B62" s="1370" t="s">
        <v>218</v>
      </c>
      <c r="C62" s="3804">
        <f>Table1!C53</f>
        <v>6595.9919999999984</v>
      </c>
      <c r="D62" s="620">
        <f>Table1!D53</f>
        <v>1.1718295E-2</v>
      </c>
      <c r="E62" s="620">
        <f>Table1!E53</f>
        <v>3.4517334097368416E-2</v>
      </c>
      <c r="F62" s="615"/>
      <c r="G62" s="615"/>
      <c r="H62" s="615"/>
      <c r="I62" s="615"/>
      <c r="J62" s="2161"/>
      <c r="K62" s="620">
        <f>Table1!F53</f>
        <v>33.441510865526311</v>
      </c>
      <c r="L62" s="620">
        <f>Table1!G53</f>
        <v>10.42818408868421</v>
      </c>
      <c r="M62" s="620">
        <f>Table1!H53</f>
        <v>5.0391666662894741</v>
      </c>
      <c r="N62" s="622">
        <f>Table1!I53</f>
        <v>0.77711399999999986</v>
      </c>
      <c r="O62" s="3716">
        <f t="shared" si="4"/>
        <v>6605.4672057958014</v>
      </c>
    </row>
    <row r="63" spans="2:15" ht="18" customHeight="1" x14ac:dyDescent="0.25">
      <c r="B63" s="1379" t="s">
        <v>1963</v>
      </c>
      <c r="C63" s="3804">
        <f>Table1!C54</f>
        <v>2545.951</v>
      </c>
      <c r="D63" s="617">
        <f>Table1!D54</f>
        <v>0.24443999999999999</v>
      </c>
      <c r="E63" s="617">
        <f>Table1!E54</f>
        <v>6.9839999999999999E-2</v>
      </c>
      <c r="F63" s="615"/>
      <c r="G63" s="615"/>
      <c r="H63" s="615"/>
      <c r="I63" s="615"/>
      <c r="J63" s="615"/>
      <c r="K63" s="617">
        <f>Table1!F54</f>
        <v>67.097400000000007</v>
      </c>
      <c r="L63" s="617">
        <f>Table1!G54</f>
        <v>2.3135500000000002</v>
      </c>
      <c r="M63" s="617">
        <f>Table1!H54</f>
        <v>2.0889500000000001</v>
      </c>
      <c r="N63" s="619">
        <f>Table1!I54</f>
        <v>36.769760458839414</v>
      </c>
      <c r="O63" s="3717">
        <f t="shared" si="4"/>
        <v>2571.3029200000001</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19020.636109999999</v>
      </c>
      <c r="D65" s="3806"/>
      <c r="E65" s="3806"/>
      <c r="F65" s="3807"/>
      <c r="G65" s="3807"/>
      <c r="H65" s="3807"/>
      <c r="I65" s="3807"/>
      <c r="J65" s="3806"/>
      <c r="K65" s="3806"/>
      <c r="L65" s="3806"/>
      <c r="M65" s="3806"/>
      <c r="N65" s="3808"/>
      <c r="O65" s="3773">
        <f t="shared" si="4"/>
        <v>19020.636109999999</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216505.66544917307</v>
      </c>
      <c r="D67" s="3807"/>
      <c r="E67" s="3807"/>
      <c r="F67" s="3811"/>
      <c r="G67" s="3807"/>
      <c r="H67" s="3807"/>
      <c r="I67" s="3807"/>
      <c r="J67" s="3807"/>
      <c r="K67" s="3807"/>
      <c r="L67" s="3807"/>
      <c r="M67" s="3807"/>
      <c r="N67" s="3812"/>
      <c r="O67" s="3721">
        <f t="shared" si="4"/>
        <v>216505.66544917307</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340403.20879683539</v>
      </c>
      <c r="D10" s="3798">
        <f>IFERROR(Summary1!D10*28,Summary1!D10)</f>
        <v>150053.88043092209</v>
      </c>
      <c r="E10" s="3798">
        <f>IFERROR(Summary1!E10*265,Summary1!E10)</f>
        <v>18057.867681139047</v>
      </c>
      <c r="F10" s="3798">
        <f>Summary1!F10</f>
        <v>426.82299941723301</v>
      </c>
      <c r="G10" s="3798">
        <f>Summary1!G10</f>
        <v>1104.5946842688734</v>
      </c>
      <c r="H10" s="3798" t="str">
        <f>Summary1!H10</f>
        <v>NO</v>
      </c>
      <c r="I10" s="3827">
        <f>IFERROR(Summary1!I10*23500,Summary1!I10)</f>
        <v>274.96345974170822</v>
      </c>
      <c r="J10" s="4181" t="str">
        <f>IFERROR(Summary1!J10*16100,Summary1!J10)</f>
        <v>NO</v>
      </c>
      <c r="K10" s="3799">
        <f>IF(SUM(C10:J10)=0,"NO",SUM(C10:J10))</f>
        <v>510321.33805232437</v>
      </c>
    </row>
    <row r="11" spans="2:12" ht="18" customHeight="1" x14ac:dyDescent="0.2">
      <c r="B11" s="1549" t="s">
        <v>1921</v>
      </c>
      <c r="C11" s="3767">
        <f>Summary1!C11</f>
        <v>298077.30084264063</v>
      </c>
      <c r="D11" s="3767">
        <f>IFERROR(Summary1!D11*28,Summary1!D11)</f>
        <v>39377.641551930283</v>
      </c>
      <c r="E11" s="3767">
        <f>IFERROR(Summary1!E11*265,Summary1!E11)</f>
        <v>2341.0658074740886</v>
      </c>
      <c r="F11" s="1550"/>
      <c r="G11" s="1550"/>
      <c r="H11" s="1551"/>
      <c r="I11" s="1551"/>
      <c r="J11" s="613"/>
      <c r="K11" s="3828">
        <f t="shared" ref="K11:K55" si="0">IF(SUM(C11:J11)=0,"NO",SUM(C11:J11))</f>
        <v>339796.00820204499</v>
      </c>
      <c r="L11" s="19"/>
    </row>
    <row r="12" spans="2:12" ht="18" customHeight="1" x14ac:dyDescent="0.2">
      <c r="B12" s="606" t="s">
        <v>242</v>
      </c>
      <c r="C12" s="3756">
        <f>Summary1!C12</f>
        <v>291389.68945926498</v>
      </c>
      <c r="D12" s="3756">
        <f>IFERROR(Summary1!D12*28,Summary1!D12)</f>
        <v>3599.1814929547577</v>
      </c>
      <c r="E12" s="3756">
        <f>IFERROR(Summary1!E12*265,Summary1!E12)</f>
        <v>2317.9128784055388</v>
      </c>
      <c r="F12" s="615"/>
      <c r="G12" s="615"/>
      <c r="H12" s="615"/>
      <c r="I12" s="69"/>
      <c r="J12" s="69"/>
      <c r="K12" s="3829">
        <f t="shared" si="0"/>
        <v>297306.7838306253</v>
      </c>
      <c r="L12" s="19"/>
    </row>
    <row r="13" spans="2:12" ht="18" customHeight="1" x14ac:dyDescent="0.2">
      <c r="B13" s="1391" t="s">
        <v>1923</v>
      </c>
      <c r="C13" s="3756">
        <f>Summary1!C13</f>
        <v>168676.2909260561</v>
      </c>
      <c r="D13" s="3756">
        <f>IFERROR(Summary1!D13*28,Summary1!D13)</f>
        <v>197.73575823842714</v>
      </c>
      <c r="E13" s="3756">
        <f>IFERROR(Summary1!E13*265,Summary1!E13)</f>
        <v>539.3399367862454</v>
      </c>
      <c r="F13" s="615"/>
      <c r="G13" s="615"/>
      <c r="H13" s="615"/>
      <c r="I13" s="69"/>
      <c r="J13" s="69"/>
      <c r="K13" s="3829">
        <f t="shared" si="0"/>
        <v>169413.36662108076</v>
      </c>
      <c r="L13" s="19"/>
    </row>
    <row r="14" spans="2:12" ht="18" customHeight="1" x14ac:dyDescent="0.2">
      <c r="B14" s="1391" t="s">
        <v>1976</v>
      </c>
      <c r="C14" s="3756">
        <f>Summary1!C14</f>
        <v>37342.362579876841</v>
      </c>
      <c r="D14" s="3756">
        <f>IFERROR(Summary1!D14*28,Summary1!D14)</f>
        <v>62.844985486760095</v>
      </c>
      <c r="E14" s="3756">
        <f>IFERROR(Summary1!E14*265,Summary1!E14)</f>
        <v>348.84043494255968</v>
      </c>
      <c r="F14" s="615"/>
      <c r="G14" s="615"/>
      <c r="H14" s="615"/>
      <c r="I14" s="69"/>
      <c r="J14" s="69"/>
      <c r="K14" s="3829">
        <f t="shared" si="0"/>
        <v>37754.04800030616</v>
      </c>
      <c r="L14" s="19"/>
    </row>
    <row r="15" spans="2:12" ht="18" customHeight="1" x14ac:dyDescent="0.2">
      <c r="B15" s="1391" t="s">
        <v>1925</v>
      </c>
      <c r="C15" s="3756">
        <f>Summary1!C15</f>
        <v>69276.048857972593</v>
      </c>
      <c r="D15" s="3756">
        <f>IFERROR(Summary1!D15*28,Summary1!D15)</f>
        <v>846.68150278176279</v>
      </c>
      <c r="E15" s="3756">
        <f>IFERROR(Summary1!E15*265,Summary1!E15)</f>
        <v>1265.5962238929214</v>
      </c>
      <c r="F15" s="615"/>
      <c r="G15" s="615"/>
      <c r="H15" s="615"/>
      <c r="I15" s="69"/>
      <c r="J15" s="69"/>
      <c r="K15" s="3829">
        <f t="shared" si="0"/>
        <v>71388.326584647279</v>
      </c>
      <c r="L15" s="19"/>
    </row>
    <row r="16" spans="2:12" ht="18" customHeight="1" x14ac:dyDescent="0.2">
      <c r="B16" s="1391" t="s">
        <v>1926</v>
      </c>
      <c r="C16" s="3756">
        <f>Summary1!C16</f>
        <v>15281.499188238162</v>
      </c>
      <c r="D16" s="3756">
        <f>IFERROR(Summary1!D16*28,Summary1!D16)</f>
        <v>2490.7015207474265</v>
      </c>
      <c r="E16" s="3756">
        <f>IFERROR(Summary1!E16*265,Summary1!E16)</f>
        <v>158.19808626843698</v>
      </c>
      <c r="F16" s="615"/>
      <c r="G16" s="615"/>
      <c r="H16" s="615"/>
      <c r="I16" s="69"/>
      <c r="J16" s="69"/>
      <c r="K16" s="3829">
        <f t="shared" si="0"/>
        <v>17930.398795254023</v>
      </c>
      <c r="L16" s="19"/>
    </row>
    <row r="17" spans="2:12" ht="18" customHeight="1" x14ac:dyDescent="0.2">
      <c r="B17" s="1391" t="s">
        <v>1927</v>
      </c>
      <c r="C17" s="3756">
        <f>Summary1!C17</f>
        <v>813.48790712126572</v>
      </c>
      <c r="D17" s="3756">
        <f>IFERROR(Summary1!D17*28,Summary1!D17)</f>
        <v>1.217725700381227</v>
      </c>
      <c r="E17" s="3756">
        <f>IFERROR(Summary1!E17*265,Summary1!E17)</f>
        <v>5.9381965153754059</v>
      </c>
      <c r="F17" s="615"/>
      <c r="G17" s="615"/>
      <c r="H17" s="615"/>
      <c r="I17" s="69"/>
      <c r="J17" s="69"/>
      <c r="K17" s="3829">
        <f t="shared" si="0"/>
        <v>820.64382933702234</v>
      </c>
      <c r="L17" s="19"/>
    </row>
    <row r="18" spans="2:12" ht="18" customHeight="1" x14ac:dyDescent="0.2">
      <c r="B18" s="606" t="s">
        <v>201</v>
      </c>
      <c r="C18" s="3756">
        <f>Summary1!C18</f>
        <v>6687.6113833756262</v>
      </c>
      <c r="D18" s="3756">
        <f>IFERROR(Summary1!D18*28,Summary1!D18)</f>
        <v>35778.460058975528</v>
      </c>
      <c r="E18" s="3756">
        <f>IFERROR(Summary1!E18*265,Summary1!E18)</f>
        <v>23.152929068549682</v>
      </c>
      <c r="F18" s="615"/>
      <c r="G18" s="615"/>
      <c r="H18" s="615"/>
      <c r="I18" s="69"/>
      <c r="J18" s="69"/>
      <c r="K18" s="3829">
        <f t="shared" si="0"/>
        <v>42489.224371419703</v>
      </c>
      <c r="L18" s="19"/>
    </row>
    <row r="19" spans="2:12" ht="18" customHeight="1" x14ac:dyDescent="0.2">
      <c r="B19" s="1391" t="s">
        <v>1928</v>
      </c>
      <c r="C19" s="3756">
        <f>Summary1!C19</f>
        <v>1333.0836919676028</v>
      </c>
      <c r="D19" s="3756">
        <f>IFERROR(Summary1!D19*28,Summary1!D19)</f>
        <v>27262.370477166609</v>
      </c>
      <c r="E19" s="3756">
        <f>IFERROR(Summary1!E19*265,Summary1!E19)</f>
        <v>3.7978982331410985E-3</v>
      </c>
      <c r="F19" s="615"/>
      <c r="G19" s="615"/>
      <c r="H19" s="615"/>
      <c r="I19" s="69"/>
      <c r="J19" s="69"/>
      <c r="K19" s="3829">
        <f t="shared" si="0"/>
        <v>28595.457967032446</v>
      </c>
      <c r="L19" s="19"/>
    </row>
    <row r="20" spans="2:12" ht="18" customHeight="1" x14ac:dyDescent="0.2">
      <c r="B20" s="1392" t="s">
        <v>1929</v>
      </c>
      <c r="C20" s="3756">
        <f>Summary1!C20</f>
        <v>5354.5276914080232</v>
      </c>
      <c r="D20" s="3756">
        <f>IFERROR(Summary1!D20*28,Summary1!D20)</f>
        <v>8516.0895818089157</v>
      </c>
      <c r="E20" s="3756">
        <f>IFERROR(Summary1!E20*265,Summary1!E20)</f>
        <v>23.14913117031654</v>
      </c>
      <c r="F20" s="615"/>
      <c r="G20" s="615"/>
      <c r="H20" s="615"/>
      <c r="I20" s="69"/>
      <c r="J20" s="69"/>
      <c r="K20" s="3829">
        <f t="shared" si="0"/>
        <v>13893.766404387256</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21073.538601312313</v>
      </c>
      <c r="D22" s="3767">
        <f>IFERROR(Summary1!D22*28,Summary1!D22)</f>
        <v>110.14864577379315</v>
      </c>
      <c r="E22" s="3767">
        <f>IFERROR(Summary1!E22*265,Summary1!E22)</f>
        <v>1425.6243332177578</v>
      </c>
      <c r="F22" s="3767">
        <f>Summary1!F22</f>
        <v>426.82299941723301</v>
      </c>
      <c r="G22" s="3767">
        <f>Summary1!G22</f>
        <v>1104.5946842688734</v>
      </c>
      <c r="H22" s="3767" t="str">
        <f>Summary1!H22</f>
        <v>NO</v>
      </c>
      <c r="I22" s="3767">
        <f>IFERROR(Summary1!I22*23500,Summary1!I22)</f>
        <v>274.96345974170822</v>
      </c>
      <c r="J22" s="3831" t="str">
        <f>IFERROR(Summary1!J22*16100,Summary1!J22)</f>
        <v>NO</v>
      </c>
      <c r="K22" s="3828">
        <f t="shared" si="0"/>
        <v>24415.692723731678</v>
      </c>
      <c r="L22" s="19"/>
    </row>
    <row r="23" spans="2:12" ht="18" customHeight="1" x14ac:dyDescent="0.2">
      <c r="B23" s="1393" t="s">
        <v>1932</v>
      </c>
      <c r="C23" s="3756">
        <f>Summary1!C23</f>
        <v>5977.0239216720511</v>
      </c>
      <c r="D23" s="615"/>
      <c r="E23" s="615"/>
      <c r="F23" s="615"/>
      <c r="G23" s="615"/>
      <c r="H23" s="615"/>
      <c r="I23" s="69"/>
      <c r="J23" s="69"/>
      <c r="K23" s="3829">
        <f t="shared" si="0"/>
        <v>5977.0239216720511</v>
      </c>
      <c r="L23" s="19"/>
    </row>
    <row r="24" spans="2:12" ht="18" customHeight="1" x14ac:dyDescent="0.2">
      <c r="B24" s="1393" t="s">
        <v>846</v>
      </c>
      <c r="C24" s="3756">
        <f>Summary1!C24</f>
        <v>1420.3346702602551</v>
      </c>
      <c r="D24" s="3756">
        <f>IFERROR(Summary1!D24*28,Summary1!D24)</f>
        <v>15.9539464</v>
      </c>
      <c r="E24" s="3756">
        <f>IFERROR(Summary1!E24*265,Summary1!E24)</f>
        <v>1403.0872204596776</v>
      </c>
      <c r="F24" s="1949" t="str">
        <f>Summary1!F24</f>
        <v>NO</v>
      </c>
      <c r="G24" s="1949" t="str">
        <f>Summary1!G24</f>
        <v>NO</v>
      </c>
      <c r="H24" s="1949" t="str">
        <f>Summary1!H24</f>
        <v>NO</v>
      </c>
      <c r="I24" s="602" t="str">
        <f>IFERROR(Summary1!I24*23500,Summary1!I24)</f>
        <v>NO</v>
      </c>
      <c r="J24" s="602" t="str">
        <f>IFERROR(Summary1!J24*16100,Summary1!J24)</f>
        <v>NO</v>
      </c>
      <c r="K24" s="3829">
        <f t="shared" si="0"/>
        <v>2839.3758371199328</v>
      </c>
      <c r="L24" s="19"/>
    </row>
    <row r="25" spans="2:12" ht="18" customHeight="1" x14ac:dyDescent="0.2">
      <c r="B25" s="1393" t="s">
        <v>637</v>
      </c>
      <c r="C25" s="3756">
        <f>Summary1!C25</f>
        <v>13255.058139770597</v>
      </c>
      <c r="D25" s="3756">
        <f>IFERROR(Summary1!D25*28,Summary1!D25)</f>
        <v>94.194699373793156</v>
      </c>
      <c r="E25" s="3756">
        <f>IFERROR(Summary1!E25*265,Summary1!E25)</f>
        <v>22.537112758080212</v>
      </c>
      <c r="F25" s="1949" t="str">
        <f>Summary1!F25</f>
        <v>NO</v>
      </c>
      <c r="G25" s="3756">
        <f>Summary1!G25</f>
        <v>1104.5946842688734</v>
      </c>
      <c r="H25" s="3756" t="str">
        <f>Summary1!H25</f>
        <v>NO</v>
      </c>
      <c r="I25" s="3756">
        <f>IFERROR(Summary1!I25*23500,Summary1!I25)</f>
        <v>5.875</v>
      </c>
      <c r="J25" s="3756" t="str">
        <f>IFERROR(Summary1!J25*16100,Summary1!J25)</f>
        <v>NO</v>
      </c>
      <c r="K25" s="3829">
        <f t="shared" si="0"/>
        <v>14482.259636171344</v>
      </c>
      <c r="L25" s="19"/>
    </row>
    <row r="26" spans="2:12" ht="18" customHeight="1" x14ac:dyDescent="0.2">
      <c r="B26" s="1394" t="s">
        <v>1978</v>
      </c>
      <c r="C26" s="3756">
        <f>Summary1!C26</f>
        <v>278.53303650000004</v>
      </c>
      <c r="D26" s="3756" t="str">
        <f>IFERROR(Summary1!D26*28,Summary1!D26)</f>
        <v>NO</v>
      </c>
      <c r="E26" s="3756" t="str">
        <f>IFERROR(Summary1!E26*265,Summary1!E26)</f>
        <v>NO</v>
      </c>
      <c r="F26" s="615"/>
      <c r="G26" s="615"/>
      <c r="H26" s="615"/>
      <c r="I26" s="69"/>
      <c r="J26" s="69"/>
      <c r="K26" s="3829">
        <f t="shared" si="0"/>
        <v>278.53303650000004</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426.82299941723301</v>
      </c>
      <c r="G28" s="3756" t="str">
        <f>Summary1!G28</f>
        <v>NO</v>
      </c>
      <c r="H28" s="3756" t="str">
        <f>Summary1!H28</f>
        <v>NO</v>
      </c>
      <c r="I28" s="3756" t="str">
        <f>IFERROR(Summary1!I28*23500,Summary1!I28)</f>
        <v>NO</v>
      </c>
      <c r="J28" s="3756" t="str">
        <f>IFERROR(Summary1!J28*16100,Summary1!J28)</f>
        <v>NO</v>
      </c>
      <c r="K28" s="3829">
        <f t="shared" si="0"/>
        <v>426.82299941723301</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269.08845974170822</v>
      </c>
      <c r="J29" s="3756" t="str">
        <f>IFERROR(Summary1!J29*16100,Summary1!J29)</f>
        <v>NO</v>
      </c>
      <c r="K29" s="3829">
        <f t="shared" si="0"/>
        <v>269.08845974170822</v>
      </c>
      <c r="L29" s="19"/>
    </row>
    <row r="30" spans="2:12" ht="18" customHeight="1" thickBot="1" x14ac:dyDescent="0.25">
      <c r="B30" s="1406" t="s">
        <v>1982</v>
      </c>
      <c r="C30" s="3784">
        <f>Summary1!C30</f>
        <v>142.58883310941064</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142.58883310941064</v>
      </c>
      <c r="L30" s="19"/>
    </row>
    <row r="31" spans="2:12" ht="18" customHeight="1" x14ac:dyDescent="0.2">
      <c r="B31" s="780" t="s">
        <v>1937</v>
      </c>
      <c r="C31" s="3767">
        <f>Summary1!C31</f>
        <v>1153.6863212061298</v>
      </c>
      <c r="D31" s="3767">
        <f>IFERROR(Summary1!D31*28,Summary1!D31)</f>
        <v>72958.600427544923</v>
      </c>
      <c r="E31" s="3767">
        <f>IFERROR(Summary1!E31*265,Summary1!E31)</f>
        <v>10269.594894421074</v>
      </c>
      <c r="F31" s="1550"/>
      <c r="G31" s="1550"/>
      <c r="H31" s="1550"/>
      <c r="I31" s="1553"/>
      <c r="J31" s="613"/>
      <c r="K31" s="3828">
        <f t="shared" si="0"/>
        <v>84381.881643172121</v>
      </c>
      <c r="L31" s="19"/>
    </row>
    <row r="32" spans="2:12" ht="18" customHeight="1" x14ac:dyDescent="0.2">
      <c r="B32" s="606" t="s">
        <v>1938</v>
      </c>
      <c r="C32" s="615"/>
      <c r="D32" s="3756">
        <f>IFERROR(Summary1!D32*28,Summary1!D32)</f>
        <v>65448.138284692322</v>
      </c>
      <c r="E32" s="615"/>
      <c r="F32" s="615"/>
      <c r="G32" s="615"/>
      <c r="H32" s="615"/>
      <c r="I32" s="69"/>
      <c r="J32" s="69"/>
      <c r="K32" s="3829">
        <f t="shared" si="0"/>
        <v>65448.138284692322</v>
      </c>
      <c r="L32" s="19"/>
    </row>
    <row r="33" spans="2:12" ht="18" customHeight="1" x14ac:dyDescent="0.2">
      <c r="B33" s="606" t="s">
        <v>1939</v>
      </c>
      <c r="C33" s="615"/>
      <c r="D33" s="3756">
        <f>IFERROR(Summary1!D33*28,Summary1!D33)</f>
        <v>6295.6583962440145</v>
      </c>
      <c r="E33" s="3756">
        <f>IFERROR(Summary1!E33*265,Summary1!E33)</f>
        <v>297.7971315446473</v>
      </c>
      <c r="F33" s="615"/>
      <c r="G33" s="615"/>
      <c r="H33" s="615"/>
      <c r="I33" s="69"/>
      <c r="J33" s="69"/>
      <c r="K33" s="3829">
        <f t="shared" si="0"/>
        <v>6593.455527788662</v>
      </c>
      <c r="L33" s="19"/>
    </row>
    <row r="34" spans="2:12" ht="18" customHeight="1" x14ac:dyDescent="0.2">
      <c r="B34" s="606" t="s">
        <v>1940</v>
      </c>
      <c r="C34" s="615"/>
      <c r="D34" s="3756">
        <f>IFERROR(Summary1!D34*28,Summary1!D34)</f>
        <v>771.72499204224096</v>
      </c>
      <c r="E34" s="615"/>
      <c r="F34" s="615"/>
      <c r="G34" s="615"/>
      <c r="H34" s="615"/>
      <c r="I34" s="69"/>
      <c r="J34" s="69"/>
      <c r="K34" s="3829">
        <f t="shared" si="0"/>
        <v>771.72499204224096</v>
      </c>
      <c r="L34" s="19"/>
    </row>
    <row r="35" spans="2:12" ht="18" customHeight="1" x14ac:dyDescent="0.2">
      <c r="B35" s="606" t="s">
        <v>1941</v>
      </c>
      <c r="C35" s="1950"/>
      <c r="D35" s="3756" t="str">
        <f>IFERROR(Summary1!D35*28,Summary1!D35)</f>
        <v>NE</v>
      </c>
      <c r="E35" s="3756">
        <f>IFERROR(Summary1!E35*265,Summary1!E35)</f>
        <v>9801.1899016764146</v>
      </c>
      <c r="F35" s="615"/>
      <c r="G35" s="615"/>
      <c r="H35" s="615"/>
      <c r="I35" s="69"/>
      <c r="J35" s="69"/>
      <c r="K35" s="3829">
        <f t="shared" si="0"/>
        <v>9801.1899016764146</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443.07875456634497</v>
      </c>
      <c r="E37" s="3756">
        <f>IFERROR(Summary1!E37*265,Summary1!E37)</f>
        <v>170.6078612000137</v>
      </c>
      <c r="F37" s="615"/>
      <c r="G37" s="615"/>
      <c r="H37" s="615"/>
      <c r="I37" s="69"/>
      <c r="J37" s="69"/>
      <c r="K37" s="3829">
        <f t="shared" si="0"/>
        <v>613.68661576635873</v>
      </c>
      <c r="L37" s="19"/>
    </row>
    <row r="38" spans="2:12" ht="18" customHeight="1" x14ac:dyDescent="0.2">
      <c r="B38" s="606" t="s">
        <v>955</v>
      </c>
      <c r="C38" s="1949">
        <f>Summary1!C38</f>
        <v>485.71530671337609</v>
      </c>
      <c r="D38" s="3832"/>
      <c r="E38" s="3832"/>
      <c r="F38" s="615"/>
      <c r="G38" s="615"/>
      <c r="H38" s="615"/>
      <c r="I38" s="69"/>
      <c r="J38" s="69"/>
      <c r="K38" s="3829">
        <f t="shared" si="0"/>
        <v>485.71530671337609</v>
      </c>
      <c r="L38" s="19"/>
    </row>
    <row r="39" spans="2:12" ht="18" customHeight="1" x14ac:dyDescent="0.2">
      <c r="B39" s="606" t="s">
        <v>956</v>
      </c>
      <c r="C39" s="1949">
        <f>Summary1!C39</f>
        <v>667.97101449275374</v>
      </c>
      <c r="D39" s="3832"/>
      <c r="E39" s="3832"/>
      <c r="F39" s="615"/>
      <c r="G39" s="615"/>
      <c r="H39" s="615"/>
      <c r="I39" s="69"/>
      <c r="J39" s="69"/>
      <c r="K39" s="3829">
        <f t="shared" si="0"/>
        <v>667.97101449275374</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20070.184448754575</v>
      </c>
      <c r="D42" s="1952">
        <f>IFERROR(Summary1!D42*28,Summary1!D42)</f>
        <v>17917.112497336329</v>
      </c>
      <c r="E42" s="1952">
        <f>IFERROR(Summary1!E42*265,Summary1!E42)</f>
        <v>3828.4496139269791</v>
      </c>
      <c r="F42" s="1550"/>
      <c r="G42" s="1550"/>
      <c r="H42" s="1550"/>
      <c r="I42" s="1553"/>
      <c r="J42" s="613"/>
      <c r="K42" s="3828">
        <f t="shared" si="0"/>
        <v>41815.746560017884</v>
      </c>
      <c r="L42" s="19"/>
    </row>
    <row r="43" spans="2:12" ht="18" customHeight="1" x14ac:dyDescent="0.2">
      <c r="B43" s="606" t="s">
        <v>1252</v>
      </c>
      <c r="C43" s="1949">
        <f>Summary1!C43</f>
        <v>-41260.607239294819</v>
      </c>
      <c r="D43" s="1949">
        <f>IFERROR(Summary1!D43*28,Summary1!D43)</f>
        <v>6032.8988861093167</v>
      </c>
      <c r="E43" s="1949">
        <f>IFERROR(Summary1!E43*265,Summary1!E43)</f>
        <v>1220.8685852562139</v>
      </c>
      <c r="F43" s="627"/>
      <c r="G43" s="627"/>
      <c r="H43" s="627"/>
      <c r="I43" s="614"/>
      <c r="J43" s="69"/>
      <c r="K43" s="3829">
        <f t="shared" si="0"/>
        <v>-34006.83976792929</v>
      </c>
      <c r="L43" s="19"/>
    </row>
    <row r="44" spans="2:12" ht="18" customHeight="1" x14ac:dyDescent="0.2">
      <c r="B44" s="606" t="s">
        <v>1255</v>
      </c>
      <c r="C44" s="1949">
        <f>Summary1!C44</f>
        <v>7370.6323877009927</v>
      </c>
      <c r="D44" s="1949">
        <f>IFERROR(Summary1!D44*28,Summary1!D44)</f>
        <v>159.12160308506935</v>
      </c>
      <c r="E44" s="1949">
        <f>IFERROR(Summary1!E44*265,Summary1!E44)</f>
        <v>50.750912804745191</v>
      </c>
      <c r="F44" s="627"/>
      <c r="G44" s="627"/>
      <c r="H44" s="627"/>
      <c r="I44" s="614"/>
      <c r="J44" s="69"/>
      <c r="K44" s="3829">
        <f t="shared" si="0"/>
        <v>7580.5049035908069</v>
      </c>
      <c r="L44" s="19"/>
    </row>
    <row r="45" spans="2:12" ht="18" customHeight="1" x14ac:dyDescent="0.2">
      <c r="B45" s="606" t="s">
        <v>1258</v>
      </c>
      <c r="C45" s="1949">
        <f>Summary1!C45</f>
        <v>53306.60912101654</v>
      </c>
      <c r="D45" s="1949">
        <f>IFERROR(Summary1!D45*28,Summary1!D45)</f>
        <v>9288.9120189444038</v>
      </c>
      <c r="E45" s="1949">
        <f>IFERROR(Summary1!E45*265,Summary1!E45)</f>
        <v>2438.1121316599965</v>
      </c>
      <c r="F45" s="627"/>
      <c r="G45" s="627"/>
      <c r="H45" s="627"/>
      <c r="I45" s="614"/>
      <c r="J45" s="69"/>
      <c r="K45" s="3829">
        <f t="shared" si="0"/>
        <v>65033.633271620936</v>
      </c>
      <c r="L45" s="19"/>
    </row>
    <row r="46" spans="2:12" ht="18" customHeight="1" x14ac:dyDescent="0.2">
      <c r="B46" s="606" t="s">
        <v>1984</v>
      </c>
      <c r="C46" s="1949">
        <f>Summary1!C46</f>
        <v>1451.8113940927544</v>
      </c>
      <c r="D46" s="1949">
        <f>IFERROR(Summary1!D46*28,Summary1!D46)</f>
        <v>2334.688430149783</v>
      </c>
      <c r="E46" s="1949">
        <f>IFERROR(Summary1!E46*265,Summary1!E46)</f>
        <v>87.955773841717004</v>
      </c>
      <c r="F46" s="627"/>
      <c r="G46" s="627"/>
      <c r="H46" s="627"/>
      <c r="I46" s="614"/>
      <c r="J46" s="69"/>
      <c r="K46" s="3829">
        <f t="shared" si="0"/>
        <v>3874.4555980842542</v>
      </c>
      <c r="L46" s="19"/>
    </row>
    <row r="47" spans="2:12" ht="18" customHeight="1" x14ac:dyDescent="0.2">
      <c r="B47" s="606" t="s">
        <v>1985</v>
      </c>
      <c r="C47" s="1949">
        <f>Summary1!C47</f>
        <v>5552.4542556861061</v>
      </c>
      <c r="D47" s="1949">
        <f>IFERROR(Summary1!D47*28,Summary1!D47)</f>
        <v>101.49155904775682</v>
      </c>
      <c r="E47" s="1949">
        <f>IFERROR(Summary1!E47*265,Summary1!E47)</f>
        <v>21.012963714306402</v>
      </c>
      <c r="F47" s="627"/>
      <c r="G47" s="627"/>
      <c r="H47" s="627"/>
      <c r="I47" s="614"/>
      <c r="J47" s="69"/>
      <c r="K47" s="3829">
        <f t="shared" si="0"/>
        <v>5674.9587784481691</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-6351.2423647902106</v>
      </c>
      <c r="D49" s="3833"/>
      <c r="E49" s="3833"/>
      <c r="F49" s="627"/>
      <c r="G49" s="627"/>
      <c r="H49" s="627"/>
      <c r="I49" s="614"/>
      <c r="J49" s="69"/>
      <c r="K49" s="3829">
        <f t="shared" si="0"/>
        <v>-6351.2423647902106</v>
      </c>
      <c r="L49" s="19"/>
    </row>
    <row r="50" spans="2:12" ht="18" customHeight="1" thickBot="1" x14ac:dyDescent="0.25">
      <c r="B50" s="1554" t="s">
        <v>1988</v>
      </c>
      <c r="C50" s="1951">
        <f>Summary1!C50</f>
        <v>0.52689434321333339</v>
      </c>
      <c r="D50" s="1951" t="str">
        <f>IFERROR(Summary1!D50*28,Summary1!D50)</f>
        <v>NO</v>
      </c>
      <c r="E50" s="1951">
        <f>IFERROR(Summary1!E50*265,Summary1!E50)</f>
        <v>9.7492466500000017</v>
      </c>
      <c r="F50" s="1953"/>
      <c r="G50" s="1953"/>
      <c r="H50" s="1953"/>
      <c r="I50" s="1555"/>
      <c r="J50" s="87"/>
      <c r="K50" s="3830">
        <f t="shared" si="0"/>
        <v>10.276140993213335</v>
      </c>
      <c r="L50" s="19"/>
    </row>
    <row r="51" spans="2:12" ht="18" customHeight="1" x14ac:dyDescent="0.2">
      <c r="B51" s="1549" t="s">
        <v>1955</v>
      </c>
      <c r="C51" s="1952">
        <f>Summary1!C51</f>
        <v>28.498582921678484</v>
      </c>
      <c r="D51" s="1952">
        <f>IFERROR(Summary1!D51*28,Summary1!D51)</f>
        <v>19690.377308336749</v>
      </c>
      <c r="E51" s="1952">
        <f>IFERROR(Summary1!E51*265,Summary1!E51)</f>
        <v>193.13303209914565</v>
      </c>
      <c r="F51" s="1550"/>
      <c r="G51" s="1550"/>
      <c r="H51" s="1550"/>
      <c r="I51" s="1553"/>
      <c r="J51" s="613"/>
      <c r="K51" s="3828">
        <f t="shared" si="0"/>
        <v>19912.008923357575</v>
      </c>
      <c r="L51" s="19"/>
    </row>
    <row r="52" spans="2:12" ht="18" customHeight="1" x14ac:dyDescent="0.2">
      <c r="B52" s="606" t="s">
        <v>1989</v>
      </c>
      <c r="C52" s="615"/>
      <c r="D52" s="1949">
        <f>IFERROR(Summary1!D52*28,Summary1!D52)</f>
        <v>14588.873387284935</v>
      </c>
      <c r="E52" s="627"/>
      <c r="F52" s="615"/>
      <c r="G52" s="615"/>
      <c r="H52" s="615"/>
      <c r="I52" s="69"/>
      <c r="J52" s="69"/>
      <c r="K52" s="3829">
        <f t="shared" si="0"/>
        <v>14588.873387284935</v>
      </c>
      <c r="L52" s="19"/>
    </row>
    <row r="53" spans="2:12" ht="18" customHeight="1" x14ac:dyDescent="0.2">
      <c r="B53" s="1395" t="s">
        <v>1990</v>
      </c>
      <c r="C53" s="615"/>
      <c r="D53" s="1949">
        <f>IFERROR(Summary1!D53*28,Summary1!D53)</f>
        <v>35.843025593983867</v>
      </c>
      <c r="E53" s="1949">
        <f>IFERROR(Summary1!E53*265,Summary1!E53)</f>
        <v>43.421265290997596</v>
      </c>
      <c r="F53" s="615"/>
      <c r="G53" s="615"/>
      <c r="H53" s="615"/>
      <c r="I53" s="69"/>
      <c r="J53" s="69"/>
      <c r="K53" s="3829">
        <f t="shared" si="0"/>
        <v>79.264290884981463</v>
      </c>
      <c r="L53" s="19"/>
    </row>
    <row r="54" spans="2:12" ht="18" customHeight="1" x14ac:dyDescent="0.2">
      <c r="B54" s="1396" t="s">
        <v>1991</v>
      </c>
      <c r="C54" s="1949">
        <f>Summary1!C54</f>
        <v>28.498582921678484</v>
      </c>
      <c r="D54" s="1949" t="str">
        <f>IFERROR(Summary1!D54*28,Summary1!D54)</f>
        <v>NO,NE</v>
      </c>
      <c r="E54" s="1949" t="str">
        <f>IFERROR(Summary1!E54*265,Summary1!E54)</f>
        <v>NO,NE</v>
      </c>
      <c r="F54" s="615"/>
      <c r="G54" s="615"/>
      <c r="H54" s="615"/>
      <c r="I54" s="69"/>
      <c r="J54" s="69"/>
      <c r="K54" s="3829">
        <f t="shared" si="0"/>
        <v>28.498582921678484</v>
      </c>
      <c r="L54" s="19"/>
    </row>
    <row r="55" spans="2:12" ht="18" customHeight="1" x14ac:dyDescent="0.2">
      <c r="B55" s="606" t="s">
        <v>1992</v>
      </c>
      <c r="C55" s="615"/>
      <c r="D55" s="1949">
        <f>IFERROR(Summary1!D55*28,Summary1!D55)</f>
        <v>5065.6608954578269</v>
      </c>
      <c r="E55" s="1949">
        <f>IFERROR(Summary1!E55*265,Summary1!E55)</f>
        <v>149.71176680814807</v>
      </c>
      <c r="F55" s="615"/>
      <c r="G55" s="615"/>
      <c r="H55" s="615"/>
      <c r="I55" s="69"/>
      <c r="J55" s="69"/>
      <c r="K55" s="3829">
        <f t="shared" si="0"/>
        <v>5215.3726622659751</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9141.9429999999993</v>
      </c>
      <c r="D60" s="617">
        <f>IFERROR(Summary1!D61*28,Summary1!D61)</f>
        <v>7.172432259999999</v>
      </c>
      <c r="E60" s="617">
        <f>IFERROR(Summary1!E61*265,Summary1!E61)</f>
        <v>27.654693535802629</v>
      </c>
      <c r="F60" s="1957"/>
      <c r="G60" s="1957"/>
      <c r="H60" s="1958"/>
      <c r="I60" s="618"/>
      <c r="J60" s="618"/>
      <c r="K60" s="619">
        <f t="shared" ref="K60:K66" si="2">IF(SUM(C60:J60)=0,"NO",SUM(C60:J60))</f>
        <v>9176.7701257958015</v>
      </c>
    </row>
    <row r="61" spans="2:12" ht="18" customHeight="1" x14ac:dyDescent="0.2">
      <c r="B61" s="1385" t="s">
        <v>218</v>
      </c>
      <c r="C61" s="617">
        <f>Summary1!C62</f>
        <v>6595.9919999999984</v>
      </c>
      <c r="D61" s="617">
        <f>IFERROR(Summary1!D62*28,Summary1!D62)</f>
        <v>0.32811225999999999</v>
      </c>
      <c r="E61" s="617">
        <f>IFERROR(Summary1!E62*265,Summary1!E62)</f>
        <v>9.1470935358026306</v>
      </c>
      <c r="F61" s="615"/>
      <c r="G61" s="615"/>
      <c r="H61" s="615"/>
      <c r="I61" s="621"/>
      <c r="J61" s="621"/>
      <c r="K61" s="622">
        <f t="shared" si="2"/>
        <v>6605.4672057958014</v>
      </c>
    </row>
    <row r="62" spans="2:12" ht="18" customHeight="1" x14ac:dyDescent="0.2">
      <c r="B62" s="1386" t="s">
        <v>1963</v>
      </c>
      <c r="C62" s="617">
        <f>Summary1!C63</f>
        <v>2545.951</v>
      </c>
      <c r="D62" s="617">
        <f>IFERROR(Summary1!D63*28,Summary1!D63)</f>
        <v>6.8443199999999997</v>
      </c>
      <c r="E62" s="617">
        <f>IFERROR(Summary1!E63*265,Summary1!E63)</f>
        <v>18.5076</v>
      </c>
      <c r="F62" s="615"/>
      <c r="G62" s="615"/>
      <c r="H62" s="615"/>
      <c r="I62" s="623"/>
      <c r="J62" s="623"/>
      <c r="K62" s="619">
        <f t="shared" si="2"/>
        <v>2571.3029200000001</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19020.636109999999</v>
      </c>
      <c r="D64" s="627"/>
      <c r="E64" s="627"/>
      <c r="F64" s="627"/>
      <c r="G64" s="627"/>
      <c r="H64" s="627"/>
      <c r="I64" s="614"/>
      <c r="J64" s="614"/>
      <c r="K64" s="628">
        <f t="shared" si="2"/>
        <v>19020.636109999999</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216505.66544917307</v>
      </c>
      <c r="D66" s="631"/>
      <c r="E66" s="631"/>
      <c r="F66" s="631"/>
      <c r="G66" s="631"/>
      <c r="H66" s="631"/>
      <c r="I66" s="630"/>
      <c r="J66" s="630"/>
      <c r="K66" s="632">
        <f t="shared" si="2"/>
        <v>216505.66544917307</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468505.5914923065</v>
      </c>
      <c r="N71" s="1122"/>
    </row>
    <row r="72" spans="2:14" s="636" customFormat="1" ht="18" customHeight="1" x14ac:dyDescent="0.25">
      <c r="B72" s="640"/>
      <c r="C72" s="641"/>
      <c r="D72" s="641"/>
      <c r="E72" s="641"/>
      <c r="F72" s="641"/>
      <c r="G72" s="641"/>
      <c r="H72" s="641"/>
      <c r="I72" s="641"/>
      <c r="J72" s="2573" t="s">
        <v>1999</v>
      </c>
      <c r="K72" s="628">
        <f>K10</f>
        <v>510321.33805232437</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716604.90157117264</v>
      </c>
      <c r="D10" s="3055" t="s">
        <v>97</v>
      </c>
      <c r="E10" s="615"/>
      <c r="F10" s="615"/>
      <c r="G10" s="615"/>
      <c r="H10" s="4219">
        <f>IF(SUM(H11:H15)=0,"NO",SUM(H11:H15))</f>
        <v>37342.362579876841</v>
      </c>
      <c r="I10" s="4219">
        <f t="shared" ref="I10:K10" si="0">IF(SUM(I11:I16)=0,"NO",SUM(I11:I16))</f>
        <v>2.2444637673842891</v>
      </c>
      <c r="J10" s="4226">
        <f t="shared" si="0"/>
        <v>1.316378999783244</v>
      </c>
      <c r="K10" s="3044" t="str">
        <f t="shared" si="0"/>
        <v>NO</v>
      </c>
    </row>
    <row r="11" spans="2:11" ht="18" customHeight="1" x14ac:dyDescent="0.2">
      <c r="B11" s="282" t="s">
        <v>243</v>
      </c>
      <c r="C11" s="1938">
        <f>IF(SUM(C18,C25,C32,C39,C46,C53,C68,C75,C82,C89,C96,C103,C120,C110:C113)=0,"NO",SUM(C18,C25,C32,C39,C46,C53,C68,C75,C82,C89,C96,C103,C120,C110:C113))</f>
        <v>161245.15390087091</v>
      </c>
      <c r="D11" s="3056" t="s">
        <v>97</v>
      </c>
      <c r="E11" s="1938">
        <f>IFERROR(H11*1000/$C11,"NA")</f>
        <v>68.695483702140251</v>
      </c>
      <c r="F11" s="1938">
        <f t="shared" ref="F11:G16" si="1">IFERROR(I11*1000000/$C11,"NA")</f>
        <v>4.448847478516849</v>
      </c>
      <c r="G11" s="1938">
        <f t="shared" si="1"/>
        <v>2.1999027622562992</v>
      </c>
      <c r="H11" s="1938">
        <f>IF(SUM(H18,H25,H32,H39,H46,H53,H68,H75,H82,H89,H96,H103,H120,H110:H113)=0,"NO",SUM(H18,H25,H32,H39,H46,H53,H68,H75,H82,H89,H96,H103,H120,H110:H113))</f>
        <v>11076.813841846375</v>
      </c>
      <c r="I11" s="1938">
        <f>IF(SUM(I18,I25,I32,I39,I46,I53,I68,I75,I82,I89,I96,I103,I120,I110:I113)=0,"NO",SUM(I18,I25,I32,I39,I46,I53,I68,I75,I82,I89,I96,I103,I120,I110:I113))</f>
        <v>0.71735509635495076</v>
      </c>
      <c r="J11" s="1938">
        <f>IF(SUM(J18,J25,J32,J39,J46,J53,J68,J75,J82,J89,J96,J103,J120,J110:J113)=0,"NO",SUM(J18,J25,J32,J39,J46,J53,J68,J75,J82,J89,J96,J103,J120,J110:J113))</f>
        <v>0.35472365946696799</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134560.24229175996</v>
      </c>
      <c r="D12" s="3056" t="s">
        <v>97</v>
      </c>
      <c r="E12" s="1938">
        <f t="shared" ref="E12:E16" si="2">IFERROR(H12*1000/$C12,"NA")</f>
        <v>80.592766353974824</v>
      </c>
      <c r="F12" s="1938">
        <f t="shared" si="1"/>
        <v>0.96878143573265119</v>
      </c>
      <c r="G12" s="1938">
        <f t="shared" si="1"/>
        <v>0.69955115225315789</v>
      </c>
      <c r="H12" s="1938">
        <f>IF(SUM(H19,H26,H33,H40,H47,H54,H69,H76,H83,H90,H97,H104,H121)=0,"NO",SUM(H19,H26,H33,H40,H47,H54,H69,H76,H83,H90,H97,H104,H121))</f>
        <v>10844.582167554052</v>
      </c>
      <c r="I12" s="1938">
        <f>IF(SUM(I19,I26,I33,I40,I47,I54,I69,I76,I83,I90,I97,I104,I121)=0,"NO",SUM(I19,I26,I33,I40,I47,I54,I69,I76,I83,I90,I97,I104,I121))</f>
        <v>0.13035946471994461</v>
      </c>
      <c r="J12" s="1938">
        <f>IF(SUM(J19,J26,J33,J40,J47,J54,J69,J76,J83,J90,J97,J104,J121)=0,"NO",SUM(J19,J26,J33,J40,J47,J54,J69,J76,J83,J90,J97,J104,J121))</f>
        <v>9.4131772542664777E-2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299949.25434826472</v>
      </c>
      <c r="D13" s="3056" t="s">
        <v>97</v>
      </c>
      <c r="E13" s="1938">
        <f t="shared" si="2"/>
        <v>51.411918339265007</v>
      </c>
      <c r="F13" s="1938">
        <f t="shared" si="1"/>
        <v>0.96334708069103303</v>
      </c>
      <c r="G13" s="1938">
        <f t="shared" si="1"/>
        <v>0.54197090921334679</v>
      </c>
      <c r="H13" s="1938">
        <f t="shared" ref="H13:K14" si="3">IF(SUM(H20,H27,H34,H41,H48,H55,H70,H77,H84,H91,H98,H105,H122,H115)=0,"NO",SUM(H20,H27,H34,H41,H48,H55,H70,H77,H84,H91,H98,H105,H122,H115))</f>
        <v>15420.966570476414</v>
      </c>
      <c r="I13" s="1938">
        <f t="shared" si="3"/>
        <v>0.28895523853185295</v>
      </c>
      <c r="J13" s="1938">
        <f t="shared" si="3"/>
        <v>0.16256377009699444</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120850.25103027716</v>
      </c>
      <c r="D16" s="3071" t="s">
        <v>97</v>
      </c>
      <c r="E16" s="1938">
        <f t="shared" si="2"/>
        <v>94.779892885838237</v>
      </c>
      <c r="F16" s="1938">
        <f t="shared" si="1"/>
        <v>9.1666666666666696</v>
      </c>
      <c r="G16" s="1938">
        <f t="shared" si="1"/>
        <v>5.8333333333333339</v>
      </c>
      <c r="H16" s="1938">
        <f>IF(SUM(H23,H30,H37,H44,H51,H58,H73,H80,H87,H94,H101,H108,H125,H117)=0,"NO",SUM(H23,H30,H37,H44,H51,H58,H73,H80,H87,H94,H101,H108,H125,H117))</f>
        <v>11454.173847876331</v>
      </c>
      <c r="I16" s="1938">
        <f>IF(SUM(I23,I30,I37,I44,I51,I58,I73,I80,I87,I94,I101,I108,I125,I117)=0,"NO",SUM(I23,I30,I37,I44,I51,I58,I73,I80,I87,I94,I101,I108,I125,I117))</f>
        <v>1.1077939677775408</v>
      </c>
      <c r="J16" s="1938">
        <f>IF(SUM(J23,J30,J37,J44,J51,J58,J73,J80,J87,J94,J101,J108,J125,J117)=0,"NO",SUM(J23,J30,J37,J44,J51,J58,J73,J80,J87,J94,J101,J108,J125,J117))</f>
        <v>0.70495979767661676</v>
      </c>
      <c r="K16" s="3044" t="str">
        <f>IF(SUM(K23,K30,K37,K44,K51,K58,K73,K80,K87,K94,K101,K108,K125,K117)=0,"NO",SUM(K23,K30,K37,K44,K51,K58,K73,K80,K87,K94,K101,K108,K125,K117))</f>
        <v>NO</v>
      </c>
    </row>
    <row r="17" spans="2:11" ht="18" customHeight="1" x14ac:dyDescent="0.2">
      <c r="B17" s="1240" t="s">
        <v>264</v>
      </c>
      <c r="C17" s="1938">
        <f>IF(SUM(C18:C23)=0,"NO",SUM(C18:C23))</f>
        <v>58741.756710364607</v>
      </c>
      <c r="D17" s="3055" t="s">
        <v>97</v>
      </c>
      <c r="E17" s="615"/>
      <c r="F17" s="615"/>
      <c r="G17" s="615"/>
      <c r="H17" s="1938">
        <f>IF(SUM(H18:H22)=0,"NO",SUM(H18:H22))</f>
        <v>2817.6324883629732</v>
      </c>
      <c r="I17" s="1938">
        <f t="shared" ref="I17:K17" si="4">IF(SUM(I18:I23)=0,"NO",SUM(I18:I23))</f>
        <v>0.10882471399879215</v>
      </c>
      <c r="J17" s="1938">
        <f t="shared" si="4"/>
        <v>3.5373567700475644E-2</v>
      </c>
      <c r="K17" s="3044" t="str">
        <f t="shared" si="4"/>
        <v>NO</v>
      </c>
    </row>
    <row r="18" spans="2:11" ht="18" customHeight="1" x14ac:dyDescent="0.2">
      <c r="B18" s="282" t="s">
        <v>243</v>
      </c>
      <c r="C18" s="699">
        <v>2500</v>
      </c>
      <c r="D18" s="3056" t="s">
        <v>97</v>
      </c>
      <c r="E18" s="1938">
        <f>IFERROR(H18*1000/$C18,"NA")</f>
        <v>67.111999999999995</v>
      </c>
      <c r="F18" s="1938">
        <f t="shared" ref="F18:G23" si="5">IFERROR(I18*1000000/$C18,"NA")</f>
        <v>22.046257681940698</v>
      </c>
      <c r="G18" s="1938">
        <f t="shared" si="5"/>
        <v>1.3350612758310871</v>
      </c>
      <c r="H18" s="699">
        <v>167.78</v>
      </c>
      <c r="I18" s="699">
        <v>5.5115644204851745E-2</v>
      </c>
      <c r="J18" s="699">
        <v>3.337653189577718E-3</v>
      </c>
      <c r="K18" s="3072" t="s">
        <v>199</v>
      </c>
    </row>
    <row r="19" spans="2:11" ht="18" customHeight="1" x14ac:dyDescent="0.2">
      <c r="B19" s="282" t="s">
        <v>245</v>
      </c>
      <c r="C19" s="699">
        <v>26641.756710364611</v>
      </c>
      <c r="D19" s="3056" t="s">
        <v>97</v>
      </c>
      <c r="E19" s="1938">
        <f t="shared" ref="E19:E23" si="6">IFERROR(H19*1000/$C19,"NA")</f>
        <v>42.34179141354717</v>
      </c>
      <c r="F19" s="1938">
        <f t="shared" si="5"/>
        <v>0.9553409651447814</v>
      </c>
      <c r="G19" s="1938">
        <f t="shared" si="5"/>
        <v>0.58339591375476929</v>
      </c>
      <c r="H19" s="699">
        <v>1128.059705520729</v>
      </c>
      <c r="I19" s="699">
        <v>2.5451961568832181E-2</v>
      </c>
      <c r="J19" s="699">
        <v>1.5542692000075419E-2</v>
      </c>
      <c r="K19" s="3072" t="s">
        <v>199</v>
      </c>
    </row>
    <row r="20" spans="2:11" ht="18" customHeight="1" x14ac:dyDescent="0.2">
      <c r="B20" s="282" t="s">
        <v>246</v>
      </c>
      <c r="C20" s="699">
        <v>29599.999999999996</v>
      </c>
      <c r="D20" s="3056" t="s">
        <v>97</v>
      </c>
      <c r="E20" s="1938">
        <f t="shared" si="6"/>
        <v>51.411918339265007</v>
      </c>
      <c r="F20" s="1938">
        <f t="shared" si="5"/>
        <v>0.95463203463203483</v>
      </c>
      <c r="G20" s="1938">
        <f t="shared" si="5"/>
        <v>0.55720346320346315</v>
      </c>
      <c r="H20" s="699">
        <v>1521.7927828422439</v>
      </c>
      <c r="I20" s="699">
        <v>2.8257108225108227E-2</v>
      </c>
      <c r="J20" s="699">
        <v>1.6493222510822508E-2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194469.27507546451</v>
      </c>
      <c r="D24" s="3056" t="s">
        <v>97</v>
      </c>
      <c r="E24" s="615"/>
      <c r="F24" s="615"/>
      <c r="G24" s="615"/>
      <c r="H24" s="1938">
        <f>IF(SUM(H25:H29)=0,"NO",SUM(H25:H29))</f>
        <v>12488.50413632076</v>
      </c>
      <c r="I24" s="1938">
        <f t="shared" ref="I24:K24" si="7">IF(SUM(I25:I30)=0,"NO",SUM(I25:I30))</f>
        <v>0.22999461761072054</v>
      </c>
      <c r="J24" s="1938">
        <f t="shared" si="7"/>
        <v>0.13461914770887942</v>
      </c>
      <c r="K24" s="3044" t="str">
        <f t="shared" si="7"/>
        <v>NO</v>
      </c>
    </row>
    <row r="25" spans="2:11" ht="18" customHeight="1" x14ac:dyDescent="0.2">
      <c r="B25" s="282" t="s">
        <v>243</v>
      </c>
      <c r="C25" s="699">
        <v>31171.240075464477</v>
      </c>
      <c r="D25" s="3056" t="s">
        <v>97</v>
      </c>
      <c r="E25" s="1938">
        <f>IFERROR(H25*1000/$C25,"NA")</f>
        <v>72.538444543114423</v>
      </c>
      <c r="F25" s="1938">
        <f t="shared" ref="F25:G30" si="8">IFERROR(I25*1000000/$C25,"NA")</f>
        <v>1.7653618915737757</v>
      </c>
      <c r="G25" s="1938">
        <f t="shared" si="8"/>
        <v>0.73239730278453052</v>
      </c>
      <c r="H25" s="699">
        <v>2261.1132695541855</v>
      </c>
      <c r="I25" s="699">
        <v>5.5028519342322252E-2</v>
      </c>
      <c r="J25" s="699">
        <v>2.2829732155719248E-2</v>
      </c>
      <c r="K25" s="3072" t="s">
        <v>199</v>
      </c>
    </row>
    <row r="26" spans="2:11" ht="18" customHeight="1" x14ac:dyDescent="0.2">
      <c r="B26" s="282" t="s">
        <v>245</v>
      </c>
      <c r="C26" s="699">
        <v>48298.034999999996</v>
      </c>
      <c r="D26" s="3056" t="s">
        <v>97</v>
      </c>
      <c r="E26" s="1938">
        <f t="shared" ref="E26:E30" si="9">IFERROR(H26*1000/$C26,"NA")</f>
        <v>91.789814428918433</v>
      </c>
      <c r="F26" s="1938">
        <f t="shared" si="8"/>
        <v>0.95238095238095244</v>
      </c>
      <c r="G26" s="1938">
        <f t="shared" si="8"/>
        <v>0.70609523809523811</v>
      </c>
      <c r="H26" s="699">
        <v>4433.267669931407</v>
      </c>
      <c r="I26" s="699">
        <v>4.599812857142857E-2</v>
      </c>
      <c r="J26" s="699">
        <v>3.4103012522857142E-2</v>
      </c>
      <c r="K26" s="3072" t="s">
        <v>199</v>
      </c>
    </row>
    <row r="27" spans="2:11" ht="18" customHeight="1" x14ac:dyDescent="0.2">
      <c r="B27" s="282" t="s">
        <v>246</v>
      </c>
      <c r="C27" s="699">
        <v>112700.00000000003</v>
      </c>
      <c r="D27" s="3056" t="s">
        <v>97</v>
      </c>
      <c r="E27" s="1938">
        <f t="shared" si="9"/>
        <v>51.411918339265</v>
      </c>
      <c r="F27" s="1938">
        <f t="shared" si="8"/>
        <v>0.95727272727272728</v>
      </c>
      <c r="G27" s="1938">
        <f t="shared" si="8"/>
        <v>0.57027272727272726</v>
      </c>
      <c r="H27" s="699">
        <v>5794.1231968351667</v>
      </c>
      <c r="I27" s="699">
        <v>0.10788463636363639</v>
      </c>
      <c r="J27" s="699">
        <v>6.4269736363636379E-2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2300.0000000000009</v>
      </c>
      <c r="D30" s="3056" t="s">
        <v>97</v>
      </c>
      <c r="E30" s="1938">
        <f t="shared" si="9"/>
        <v>94</v>
      </c>
      <c r="F30" s="1938">
        <f t="shared" si="8"/>
        <v>9.1666666666666679</v>
      </c>
      <c r="G30" s="1938">
        <f t="shared" si="8"/>
        <v>5.833333333333333</v>
      </c>
      <c r="H30" s="699">
        <v>216.20000000000007</v>
      </c>
      <c r="I30" s="699">
        <v>2.1083333333333343E-2</v>
      </c>
      <c r="J30" s="699">
        <v>1.3416666666666672E-2</v>
      </c>
      <c r="K30" s="3072" t="s">
        <v>199</v>
      </c>
    </row>
    <row r="31" spans="2:11" ht="18" customHeight="1" x14ac:dyDescent="0.2">
      <c r="B31" s="1240" t="s">
        <v>266</v>
      </c>
      <c r="C31" s="1938">
        <f>IF(SUM(C32:C37)=0,"NO",SUM(C32:C37))</f>
        <v>89292.998548071017</v>
      </c>
      <c r="D31" s="3056" t="s">
        <v>97</v>
      </c>
      <c r="E31" s="615"/>
      <c r="F31" s="615"/>
      <c r="G31" s="615"/>
      <c r="H31" s="1938">
        <f>IF(SUM(H32:H36)=0,"NO",SUM(H32:H36))</f>
        <v>5473.7449184233501</v>
      </c>
      <c r="I31" s="1938">
        <f t="shared" ref="I31:K31" si="10">IF(SUM(I32:I37)=0,"NO",SUM(I32:I37))</f>
        <v>0.22823681200665064</v>
      </c>
      <c r="J31" s="1938">
        <f t="shared" si="10"/>
        <v>6.3826187427368619E-2</v>
      </c>
      <c r="K31" s="3044" t="str">
        <f t="shared" si="10"/>
        <v>NO</v>
      </c>
    </row>
    <row r="32" spans="2:11" ht="18" customHeight="1" x14ac:dyDescent="0.2">
      <c r="B32" s="282" t="s">
        <v>243</v>
      </c>
      <c r="C32" s="699">
        <v>41032.305246317956</v>
      </c>
      <c r="D32" s="3056" t="s">
        <v>97</v>
      </c>
      <c r="E32" s="1938">
        <f>IFERROR(H32*1000/$C32,"NA")</f>
        <v>65.113956555798069</v>
      </c>
      <c r="F32" s="1938">
        <f t="shared" ref="F32:G37" si="11">IFERROR(I32*1000000/$C32,"NA")</f>
        <v>4.436244554443503</v>
      </c>
      <c r="G32" s="1938">
        <f t="shared" si="11"/>
        <v>0.964096304965812</v>
      </c>
      <c r="H32" s="699">
        <v>2671.7757411929929</v>
      </c>
      <c r="I32" s="699">
        <v>0.1820293407052416</v>
      </c>
      <c r="J32" s="699">
        <v>3.9559093872204444E-2</v>
      </c>
      <c r="K32" s="3072" t="s">
        <v>199</v>
      </c>
    </row>
    <row r="33" spans="2:11" ht="18" customHeight="1" x14ac:dyDescent="0.2">
      <c r="B33" s="282" t="s">
        <v>245</v>
      </c>
      <c r="C33" s="699">
        <v>8171.438953488373</v>
      </c>
      <c r="D33" s="3056" t="s">
        <v>97</v>
      </c>
      <c r="E33" s="1938">
        <f t="shared" ref="E33:E37" si="12">IFERROR(H33*1000/$C33,"NA")</f>
        <v>90.669918800416227</v>
      </c>
      <c r="F33" s="1938">
        <f t="shared" si="11"/>
        <v>0.95238095238095233</v>
      </c>
      <c r="G33" s="1938">
        <f t="shared" si="11"/>
        <v>0.66666666666666663</v>
      </c>
      <c r="H33" s="699">
        <v>740.90370639534888</v>
      </c>
      <c r="I33" s="699">
        <v>7.7823228128460686E-3</v>
      </c>
      <c r="J33" s="699">
        <v>5.4476259689922478E-3</v>
      </c>
      <c r="K33" s="3072" t="s">
        <v>199</v>
      </c>
    </row>
    <row r="34" spans="2:11" ht="18" customHeight="1" x14ac:dyDescent="0.2">
      <c r="B34" s="282" t="s">
        <v>246</v>
      </c>
      <c r="C34" s="699">
        <v>40089.254348264687</v>
      </c>
      <c r="D34" s="3056" t="s">
        <v>97</v>
      </c>
      <c r="E34" s="1938">
        <f t="shared" si="12"/>
        <v>51.411918339264986</v>
      </c>
      <c r="F34" s="1938">
        <f t="shared" si="11"/>
        <v>0.95848997725811347</v>
      </c>
      <c r="G34" s="1938">
        <f t="shared" si="11"/>
        <v>0.46943920240278925</v>
      </c>
      <c r="H34" s="699">
        <v>2061.065470835008</v>
      </c>
      <c r="I34" s="699">
        <v>3.8425148488562946E-2</v>
      </c>
      <c r="J34" s="699">
        <v>1.8819467586171926E-2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43500</v>
      </c>
      <c r="D38" s="3056" t="s">
        <v>97</v>
      </c>
      <c r="E38" s="615"/>
      <c r="F38" s="615"/>
      <c r="G38" s="615"/>
      <c r="H38" s="1938">
        <f>IF(SUM(H39:H43)=0,"NO",SUM(H39:H43))</f>
        <v>1376.4848288244136</v>
      </c>
      <c r="I38" s="1938">
        <f t="shared" ref="I38:K38" si="13">IF(SUM(I39:I44)=0,"NO",SUM(I39:I44))</f>
        <v>0.20296928571428574</v>
      </c>
      <c r="J38" s="1938">
        <f t="shared" si="13"/>
        <v>0.13581410952380954</v>
      </c>
      <c r="K38" s="3044" t="str">
        <f t="shared" si="13"/>
        <v>NO</v>
      </c>
    </row>
    <row r="39" spans="2:11" ht="18" customHeight="1" x14ac:dyDescent="0.2">
      <c r="B39" s="282" t="s">
        <v>243</v>
      </c>
      <c r="C39" s="699">
        <v>1600</v>
      </c>
      <c r="D39" s="3056" t="s">
        <v>97</v>
      </c>
      <c r="E39" s="1938">
        <f>IFERROR(H39*1000/$C39,"NA")</f>
        <v>67.093750000000014</v>
      </c>
      <c r="F39" s="1938">
        <f t="shared" ref="F39:G44" si="14">IFERROR(I39*1000000/$C39,"NA")</f>
        <v>0.71636904761904763</v>
      </c>
      <c r="G39" s="1938">
        <f t="shared" si="14"/>
        <v>1.1274642857142856</v>
      </c>
      <c r="H39" s="699">
        <v>107.35000000000001</v>
      </c>
      <c r="I39" s="699">
        <v>1.1461904761904762E-3</v>
      </c>
      <c r="J39" s="699">
        <v>1.8039428571428571E-3</v>
      </c>
      <c r="K39" s="3072" t="s">
        <v>199</v>
      </c>
    </row>
    <row r="40" spans="2:11" ht="18" customHeight="1" x14ac:dyDescent="0.2">
      <c r="B40" s="282" t="s">
        <v>245</v>
      </c>
      <c r="C40" s="699">
        <v>3399.9999999999995</v>
      </c>
      <c r="D40" s="3056" t="s">
        <v>97</v>
      </c>
      <c r="E40" s="1938">
        <f t="shared" ref="E40:E44" si="15">IFERROR(H40*1000/$C40,"NA")</f>
        <v>90.509398788281842</v>
      </c>
      <c r="F40" s="1938">
        <f t="shared" si="14"/>
        <v>0.95238095238095233</v>
      </c>
      <c r="G40" s="1938">
        <f t="shared" si="14"/>
        <v>0.66666666666666674</v>
      </c>
      <c r="H40" s="699">
        <v>307.73195588015824</v>
      </c>
      <c r="I40" s="699">
        <v>3.2380952380952374E-3</v>
      </c>
      <c r="J40" s="699">
        <v>2.2666666666666664E-3</v>
      </c>
      <c r="K40" s="3072" t="s">
        <v>199</v>
      </c>
    </row>
    <row r="41" spans="2:11" ht="18" customHeight="1" x14ac:dyDescent="0.2">
      <c r="B41" s="282" t="s">
        <v>246</v>
      </c>
      <c r="C41" s="699">
        <v>18699.999999999996</v>
      </c>
      <c r="D41" s="3056" t="s">
        <v>97</v>
      </c>
      <c r="E41" s="1938">
        <f t="shared" si="15"/>
        <v>51.411918339265</v>
      </c>
      <c r="F41" s="1938">
        <f t="shared" si="14"/>
        <v>0.91363636363636358</v>
      </c>
      <c r="G41" s="1938">
        <f t="shared" si="14"/>
        <v>0.86863636363636354</v>
      </c>
      <c r="H41" s="699">
        <v>961.40287294425536</v>
      </c>
      <c r="I41" s="699">
        <v>1.7084999999999996E-2</v>
      </c>
      <c r="J41" s="699">
        <v>1.6243499999999994E-2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19800</v>
      </c>
      <c r="D44" s="3055" t="s">
        <v>97</v>
      </c>
      <c r="E44" s="1938">
        <f t="shared" si="15"/>
        <v>94</v>
      </c>
      <c r="F44" s="1938">
        <f t="shared" si="14"/>
        <v>9.1666666666666679</v>
      </c>
      <c r="G44" s="1938">
        <f t="shared" si="14"/>
        <v>5.8333333333333339</v>
      </c>
      <c r="H44" s="699">
        <v>1861.2</v>
      </c>
      <c r="I44" s="699">
        <v>0.18150000000000002</v>
      </c>
      <c r="J44" s="699">
        <v>0.11550000000000002</v>
      </c>
      <c r="K44" s="3072" t="s">
        <v>199</v>
      </c>
    </row>
    <row r="45" spans="2:11" ht="18" customHeight="1" x14ac:dyDescent="0.2">
      <c r="B45" s="1240" t="s">
        <v>268</v>
      </c>
      <c r="C45" s="1938">
        <f>IF(SUM(C46:C51)=0,"NO",SUM(C46:C51))</f>
        <v>145959.26265818413</v>
      </c>
      <c r="D45" s="3055" t="s">
        <v>97</v>
      </c>
      <c r="E45" s="615"/>
      <c r="F45" s="615"/>
      <c r="G45" s="615"/>
      <c r="H45" s="1938">
        <f>IF(SUM(H46:H50)=0,"NO",SUM(H46:H50))</f>
        <v>3144.0937136586517</v>
      </c>
      <c r="I45" s="1938">
        <f t="shared" ref="I45:K45" si="16">IF(SUM(I46:I51)=0,"NO",SUM(I46:I51))</f>
        <v>0.94456898852833571</v>
      </c>
      <c r="J45" s="1938">
        <f t="shared" si="16"/>
        <v>0.62013011363619297</v>
      </c>
      <c r="K45" s="3044" t="str">
        <f t="shared" si="16"/>
        <v>NO</v>
      </c>
    </row>
    <row r="46" spans="2:11" ht="18" customHeight="1" x14ac:dyDescent="0.2">
      <c r="B46" s="282" t="s">
        <v>243</v>
      </c>
      <c r="C46" s="699">
        <v>5900.0000000000009</v>
      </c>
      <c r="D46" s="3055" t="s">
        <v>97</v>
      </c>
      <c r="E46" s="1938">
        <f>IFERROR(H46*1000/$C46,"NA")</f>
        <v>64.405084745762707</v>
      </c>
      <c r="F46" s="1938">
        <f t="shared" ref="F46:G51" si="17">IFERROR(I46*1000000/$C46,"NA")</f>
        <v>1.5728595166880306</v>
      </c>
      <c r="G46" s="1938">
        <f t="shared" si="17"/>
        <v>2.739558040165218</v>
      </c>
      <c r="H46" s="699">
        <v>379.99</v>
      </c>
      <c r="I46" s="699">
        <v>9.2798711484593822E-3</v>
      </c>
      <c r="J46" s="699">
        <v>1.6163392436974788E-2</v>
      </c>
      <c r="K46" s="3072" t="s">
        <v>199</v>
      </c>
    </row>
    <row r="47" spans="2:11" ht="18" customHeight="1" x14ac:dyDescent="0.2">
      <c r="B47" s="282" t="s">
        <v>245</v>
      </c>
      <c r="C47" s="699">
        <v>14909.011627906973</v>
      </c>
      <c r="D47" s="3055" t="s">
        <v>97</v>
      </c>
      <c r="E47" s="1938">
        <f t="shared" ref="E47:E51" si="18">IFERROR(H47*1000/$C47,"NA")</f>
        <v>90.912609433189729</v>
      </c>
      <c r="F47" s="1938">
        <f t="shared" si="17"/>
        <v>0.95238095238095266</v>
      </c>
      <c r="G47" s="1938">
        <f t="shared" si="17"/>
        <v>0.6752380952380953</v>
      </c>
      <c r="H47" s="699">
        <v>1355.4171511627908</v>
      </c>
      <c r="I47" s="699">
        <v>1.419905869324474E-2</v>
      </c>
      <c r="J47" s="699">
        <v>1.006713261351052E-2</v>
      </c>
      <c r="K47" s="3072" t="s">
        <v>199</v>
      </c>
    </row>
    <row r="48" spans="2:11" ht="18" customHeight="1" x14ac:dyDescent="0.2">
      <c r="B48" s="282" t="s">
        <v>246</v>
      </c>
      <c r="C48" s="699">
        <v>27399.999999999996</v>
      </c>
      <c r="D48" s="3055" t="s">
        <v>97</v>
      </c>
      <c r="E48" s="1938">
        <f t="shared" si="18"/>
        <v>51.411918339265007</v>
      </c>
      <c r="F48" s="1938">
        <f t="shared" si="17"/>
        <v>0.91409090909090918</v>
      </c>
      <c r="G48" s="1938">
        <f t="shared" si="17"/>
        <v>0.86459090909090897</v>
      </c>
      <c r="H48" s="699">
        <v>1408.6865624958609</v>
      </c>
      <c r="I48" s="699">
        <v>2.5046090909090907E-2</v>
      </c>
      <c r="J48" s="699">
        <v>2.3689790909090902E-2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97750.251030277155</v>
      </c>
      <c r="D51" s="3055" t="s">
        <v>97</v>
      </c>
      <c r="E51" s="1938">
        <f t="shared" si="18"/>
        <v>94.964194465353188</v>
      </c>
      <c r="F51" s="1938">
        <f t="shared" si="17"/>
        <v>9.1666666666666679</v>
      </c>
      <c r="G51" s="1938">
        <f t="shared" si="17"/>
        <v>5.833333333333333</v>
      </c>
      <c r="H51" s="699">
        <v>9282.7738478763313</v>
      </c>
      <c r="I51" s="699">
        <v>0.8960439677775407</v>
      </c>
      <c r="J51" s="699">
        <v>0.57020979767661673</v>
      </c>
      <c r="K51" s="3072" t="s">
        <v>199</v>
      </c>
    </row>
    <row r="52" spans="2:11" ht="18" customHeight="1" x14ac:dyDescent="0.2">
      <c r="B52" s="1240" t="s">
        <v>269</v>
      </c>
      <c r="C52" s="3073">
        <f>IF(SUM(C53:C58)=0,"NO",SUM(C53:C58))</f>
        <v>78000</v>
      </c>
      <c r="D52" s="3055" t="s">
        <v>97</v>
      </c>
      <c r="E52" s="615"/>
      <c r="F52" s="615"/>
      <c r="G52" s="615"/>
      <c r="H52" s="1938">
        <f>IF(SUM(H53:H57)=0,"NO",SUM(H53:H57))</f>
        <v>4844.6514108042948</v>
      </c>
      <c r="I52" s="1938">
        <f t="shared" ref="I52:K52" si="19">IF(SUM(I53:I58)=0,"NO",SUM(I53:I58))</f>
        <v>0.15731109038178831</v>
      </c>
      <c r="J52" s="1938">
        <f t="shared" si="19"/>
        <v>3.6994166806259561E-2</v>
      </c>
      <c r="K52" s="3044" t="str">
        <f t="shared" si="19"/>
        <v>NO</v>
      </c>
    </row>
    <row r="53" spans="2:11" ht="18" customHeight="1" x14ac:dyDescent="0.2">
      <c r="B53" s="282" t="s">
        <v>243</v>
      </c>
      <c r="C53" s="2173">
        <v>4300</v>
      </c>
      <c r="D53" s="3055" t="s">
        <v>97</v>
      </c>
      <c r="E53" s="1938">
        <f>IFERROR(H53*1000/$C53,"NA")</f>
        <v>65.399999999999991</v>
      </c>
      <c r="F53" s="1938">
        <f t="shared" ref="F53:G58" si="20">IFERROR(I53*1000000/$C53,"NA")</f>
        <v>17.803302001603843</v>
      </c>
      <c r="G53" s="1938">
        <f t="shared" si="20"/>
        <v>1.7633242044155408</v>
      </c>
      <c r="H53" s="699">
        <v>281.21999999999997</v>
      </c>
      <c r="I53" s="699">
        <v>7.6554198606896523E-2</v>
      </c>
      <c r="J53" s="699">
        <v>7.5822940789868256E-3</v>
      </c>
      <c r="K53" s="3072" t="s">
        <v>199</v>
      </c>
    </row>
    <row r="54" spans="2:11" ht="18" customHeight="1" x14ac:dyDescent="0.2">
      <c r="B54" s="282" t="s">
        <v>245</v>
      </c>
      <c r="C54" s="699">
        <v>21400.000000000007</v>
      </c>
      <c r="D54" s="3055" t="s">
        <v>97</v>
      </c>
      <c r="E54" s="1938">
        <f t="shared" ref="E54:E58" si="21">IFERROR(H54*1000/$C54,"NA")</f>
        <v>89.999999999999986</v>
      </c>
      <c r="F54" s="1938">
        <f t="shared" si="20"/>
        <v>0.95238095238095211</v>
      </c>
      <c r="G54" s="1938">
        <f t="shared" si="20"/>
        <v>0.82434890965732077</v>
      </c>
      <c r="H54" s="699">
        <v>1926.0000000000005</v>
      </c>
      <c r="I54" s="699">
        <v>2.0380952380952382E-2</v>
      </c>
      <c r="J54" s="699">
        <v>1.764106666666667E-2</v>
      </c>
      <c r="K54" s="3072" t="s">
        <v>199</v>
      </c>
    </row>
    <row r="55" spans="2:11" ht="18" customHeight="1" x14ac:dyDescent="0.2">
      <c r="B55" s="282" t="s">
        <v>246</v>
      </c>
      <c r="C55" s="699">
        <v>51300</v>
      </c>
      <c r="D55" s="3055" t="s">
        <v>97</v>
      </c>
      <c r="E55" s="1938">
        <f t="shared" si="21"/>
        <v>51.411918339265</v>
      </c>
      <c r="F55" s="1938">
        <f t="shared" si="20"/>
        <v>0.99823143717880547</v>
      </c>
      <c r="G55" s="1938">
        <f t="shared" si="20"/>
        <v>0.11574020910863017</v>
      </c>
      <c r="H55" s="699">
        <v>2637.4314108042945</v>
      </c>
      <c r="I55" s="699">
        <v>5.1209272727272721E-2</v>
      </c>
      <c r="J55" s="699">
        <v>5.9374727272727273E-3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1000</v>
      </c>
      <c r="D58" s="3055" t="s">
        <v>97</v>
      </c>
      <c r="E58" s="3074">
        <f t="shared" si="21"/>
        <v>94.000000000000014</v>
      </c>
      <c r="F58" s="3074">
        <f t="shared" si="20"/>
        <v>9.1666666666666696</v>
      </c>
      <c r="G58" s="3074">
        <f t="shared" si="20"/>
        <v>5.8333333333333348</v>
      </c>
      <c r="H58" s="2215">
        <v>94.000000000000014</v>
      </c>
      <c r="I58" s="699">
        <v>9.1666666666666702E-3</v>
      </c>
      <c r="J58" s="699">
        <v>5.8333333333333345E-3</v>
      </c>
      <c r="K58" s="3072" t="s">
        <v>199</v>
      </c>
    </row>
    <row r="59" spans="2:11" ht="18" customHeight="1" x14ac:dyDescent="0.2">
      <c r="B59" s="1240" t="s">
        <v>270</v>
      </c>
      <c r="C59" s="3073">
        <f>IF(SUM(C60:C65)=0,"NO",SUM(C60:C65))</f>
        <v>106641.60857908847</v>
      </c>
      <c r="D59" s="4224" t="s">
        <v>97</v>
      </c>
      <c r="E59" s="4225"/>
      <c r="F59" s="4225"/>
      <c r="G59" s="4225"/>
      <c r="H59" s="1938">
        <f>IF(SUM(H60:H64)=0,"NO",SUM(H60:H64))</f>
        <v>7197.251083482397</v>
      </c>
      <c r="I59" s="1938">
        <f t="shared" ref="I59:K59" si="22">IF(SUM(I60:I65)=0,"NO",SUM(I60:I65))</f>
        <v>0.37255825914371593</v>
      </c>
      <c r="J59" s="1938">
        <f t="shared" si="22"/>
        <v>0.28962170698025824</v>
      </c>
      <c r="K59" s="3044" t="str">
        <f t="shared" si="22"/>
        <v>NO</v>
      </c>
    </row>
    <row r="60" spans="2:11" ht="18" customHeight="1" x14ac:dyDescent="0.2">
      <c r="B60" s="282" t="s">
        <v>243</v>
      </c>
      <c r="C60" s="4223">
        <f>IF(SUM(C68,C75,C82,C89,C96,C103,C110,C111,C111,C112,C113,C120)=0,"NO",SUM(C68,C75,C82,C89,C96,C103,C110,C111,C111,C112,C113,C120))</f>
        <v>74741.608579088468</v>
      </c>
      <c r="D60" s="4224" t="s">
        <v>97</v>
      </c>
      <c r="E60" s="3074">
        <f t="shared" ref="E60:E65" si="23">IFERROR(H60*1000/$C60,"NA")</f>
        <v>69.67450835084378</v>
      </c>
      <c r="F60" s="3074">
        <f t="shared" ref="F60:F65" si="24">IFERROR(I60*1000000/$C60,"NA")</f>
        <v>4.5249405023591116</v>
      </c>
      <c r="G60" s="3074">
        <f t="shared" ref="G60:G65" si="25">IFERROR(J60*1000000/$C60,"NA")</f>
        <v>3.5247776423970443</v>
      </c>
      <c r="H60" s="3074">
        <f>IF(SUM(H68,H75,H82,H89,H96,H103,H110,H111,H111,H112,H113,H120)=0,"NO",SUM(H68,H75,H82,H89,H96,H103,H110,H111,H111,H112,H113,H120))</f>
        <v>5207.584831099196</v>
      </c>
      <c r="I60" s="3074">
        <f>IF(SUM(I68,I75,I82,I89,I96,I103,I110,I111,I111,I112,I113,I120)=0,"NO",SUM(I68,I75,I82,I89,I96,I103,I110,I111,I111,I112,I113,I120))</f>
        <v>0.33820133187098866</v>
      </c>
      <c r="J60" s="3074">
        <f>IF(SUM(J68,J75,J82,J89,J96,J103,J110,J111,J111,J112,J113,J120)=0,"NO",SUM(J68,J75,J82,J89,J96,J103,J110,J111,J111,J112,J113,J120))</f>
        <v>0.26344755087636212</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11740</v>
      </c>
      <c r="D61" s="4224" t="s">
        <v>97</v>
      </c>
      <c r="E61" s="3074">
        <f t="shared" si="23"/>
        <v>81.192672799286044</v>
      </c>
      <c r="F61" s="3074">
        <f t="shared" si="24"/>
        <v>1.133641009756853</v>
      </c>
      <c r="G61" s="3074">
        <f t="shared" si="25"/>
        <v>0.77202522179694244</v>
      </c>
      <c r="H61" s="3074">
        <f>IF(SUM(H69,H76,H83,H90,H97,H104,H121)=0,"NO",SUM(H69,H76,H83,H90,H97,H104,H121))</f>
        <v>953.20197866361809</v>
      </c>
      <c r="I61" s="3074">
        <f>IF(SUM(I69,I76,I83,I90,I97,I104,I121)=0,"NO",SUM(I69,I76,I83,I90,I97,I104,I121))</f>
        <v>1.3308945454545456E-2</v>
      </c>
      <c r="J61" s="3074">
        <f>IF(SUM(J69,J76,J83,J90,J97,J104,J121)=0,"NO",SUM(J69,J76,J83,J90,J97,J104,J121))</f>
        <v>9.0635761038961038E-3</v>
      </c>
      <c r="K61" s="3044" t="str">
        <f>IF(SUM(K69,K76,K83,K90,K97,K104,K121)=0,"NO",SUM(K69,K76,K83,K90,K97,K104,K121))</f>
        <v>NO</v>
      </c>
    </row>
    <row r="62" spans="2:11" ht="18" customHeight="1" x14ac:dyDescent="0.2">
      <c r="B62" s="282" t="s">
        <v>246</v>
      </c>
      <c r="C62" s="4223">
        <f>IF(SUM(C70,C77,C84,C91,C98,C105,C115,C122)=0,"NO",SUM(C70,C77,C84,C91,C98,C105,C115,C122))</f>
        <v>20160</v>
      </c>
      <c r="D62" s="4224" t="s">
        <v>97</v>
      </c>
      <c r="E62" s="3074">
        <f t="shared" si="23"/>
        <v>51.411918339265007</v>
      </c>
      <c r="F62" s="3074">
        <f t="shared" si="24"/>
        <v>1.0440467171717172</v>
      </c>
      <c r="G62" s="3074">
        <f t="shared" si="25"/>
        <v>0.84873908730158742</v>
      </c>
      <c r="H62" s="3074">
        <f t="shared" ref="H62:K63" si="26">IF(SUM(H70,H77,H84,H91,H98,H105,H115,H122)=0,"NO",SUM(H70,H77,H84,H91,H98,H105,H115,H122))</f>
        <v>1036.4642737195825</v>
      </c>
      <c r="I62" s="3074">
        <f t="shared" si="26"/>
        <v>2.1047981818181818E-2</v>
      </c>
      <c r="J62" s="3074">
        <f t="shared" si="26"/>
        <v>1.711058E-2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8099.9999999999991</v>
      </c>
      <c r="D67" s="3055" t="s">
        <v>97</v>
      </c>
      <c r="E67" s="615"/>
      <c r="F67" s="615"/>
      <c r="G67" s="615"/>
      <c r="H67" s="1938">
        <f>IF(SUM(H68:H72)=0,"NO",SUM(H68:H72))</f>
        <v>427.07342837485493</v>
      </c>
      <c r="I67" s="1938">
        <f t="shared" ref="I67:K67" si="27">IF(SUM(I68:I73)=0,"NO",SUM(I68:I73))</f>
        <v>5.4500476190476196E-2</v>
      </c>
      <c r="J67" s="1938">
        <f t="shared" si="27"/>
        <v>7.9671904761904749E-3</v>
      </c>
      <c r="K67" s="3044" t="str">
        <f t="shared" si="27"/>
        <v>NO</v>
      </c>
    </row>
    <row r="68" spans="2:11" ht="18" customHeight="1" x14ac:dyDescent="0.2">
      <c r="B68" s="158" t="s">
        <v>243</v>
      </c>
      <c r="C68" s="699">
        <v>1099.9999999999998</v>
      </c>
      <c r="D68" s="3055" t="s">
        <v>97</v>
      </c>
      <c r="E68" s="1938">
        <f>IFERROR(H68*1000/$C68,"NA")</f>
        <v>61.081818181818178</v>
      </c>
      <c r="F68" s="1938">
        <f t="shared" ref="F68:G73" si="28">IFERROR(I68*1000000/$C68,"NA")</f>
        <v>43.627705627705645</v>
      </c>
      <c r="G68" s="1938">
        <f t="shared" si="28"/>
        <v>2.0692640692640696</v>
      </c>
      <c r="H68" s="699">
        <v>67.189999999999984</v>
      </c>
      <c r="I68" s="699">
        <v>4.7990476190476195E-2</v>
      </c>
      <c r="J68" s="699">
        <v>2.2761904761904759E-3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6999.9999999999991</v>
      </c>
      <c r="D70" s="3055" t="s">
        <v>97</v>
      </c>
      <c r="E70" s="1938">
        <f t="shared" si="29"/>
        <v>51.411918339264993</v>
      </c>
      <c r="F70" s="1938">
        <f t="shared" si="28"/>
        <v>0.92999999999999994</v>
      </c>
      <c r="G70" s="1938">
        <f t="shared" si="28"/>
        <v>0.81299999999999994</v>
      </c>
      <c r="H70" s="699">
        <v>359.88342837485493</v>
      </c>
      <c r="I70" s="699">
        <v>6.5099999999999993E-3</v>
      </c>
      <c r="J70" s="699">
        <v>5.690999999999999E-3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55439.999999999985</v>
      </c>
      <c r="D81" s="3056" t="s">
        <v>97</v>
      </c>
      <c r="E81" s="615"/>
      <c r="F81" s="615"/>
      <c r="G81" s="615"/>
      <c r="H81" s="1938">
        <f>IF(SUM(H82:H86)=0,"NO",SUM(H82:H86))</f>
        <v>3940.1581059442833</v>
      </c>
      <c r="I81" s="1938">
        <f t="shared" ref="I81:K81" si="33">IF(SUM(I82:I87)=0,"NO",SUM(I82:I87))</f>
        <v>0.16761797056277053</v>
      </c>
      <c r="J81" s="1938">
        <f t="shared" si="33"/>
        <v>0.15987981939393933</v>
      </c>
      <c r="K81" s="3044" t="str">
        <f t="shared" si="33"/>
        <v>NO</v>
      </c>
    </row>
    <row r="82" spans="2:11" ht="18" customHeight="1" x14ac:dyDescent="0.2">
      <c r="B82" s="158" t="s">
        <v>243</v>
      </c>
      <c r="C82" s="699">
        <v>42539.999999999985</v>
      </c>
      <c r="D82" s="3056" t="s">
        <v>97</v>
      </c>
      <c r="E82" s="1938">
        <f>IFERROR(H82*1000/$C82,"NA")</f>
        <v>69.972355430183384</v>
      </c>
      <c r="F82" s="1938">
        <f t="shared" ref="F82:G87" si="34">IFERROR(I82*1000000/$C82,"NA")</f>
        <v>3.5446593682136704</v>
      </c>
      <c r="G82" s="1938">
        <f t="shared" si="34"/>
        <v>3.514999350751113</v>
      </c>
      <c r="H82" s="699">
        <v>2976.6239999999998</v>
      </c>
      <c r="I82" s="699">
        <v>0.15078980952380949</v>
      </c>
      <c r="J82" s="699">
        <v>0.14952807238095231</v>
      </c>
      <c r="K82" s="3072" t="s">
        <v>199</v>
      </c>
    </row>
    <row r="83" spans="2:11" ht="18" customHeight="1" x14ac:dyDescent="0.2">
      <c r="B83" s="158" t="s">
        <v>245</v>
      </c>
      <c r="C83" s="699">
        <v>10540</v>
      </c>
      <c r="D83" s="3056" t="s">
        <v>97</v>
      </c>
      <c r="E83" s="1938">
        <f t="shared" ref="E83:E87" si="35">IFERROR(H83*1000/$C83,"NA")</f>
        <v>79.90531106865447</v>
      </c>
      <c r="F83" s="1938">
        <f t="shared" si="34"/>
        <v>1.1542778284334263</v>
      </c>
      <c r="G83" s="1938">
        <f t="shared" si="34"/>
        <v>0.78402050321594907</v>
      </c>
      <c r="H83" s="699">
        <v>842.20197866361809</v>
      </c>
      <c r="I83" s="699">
        <v>1.2166088311688313E-2</v>
      </c>
      <c r="J83" s="699">
        <v>8.2635761038961034E-3</v>
      </c>
      <c r="K83" s="3072" t="s">
        <v>199</v>
      </c>
    </row>
    <row r="84" spans="2:11" ht="18" customHeight="1" x14ac:dyDescent="0.2">
      <c r="B84" s="158" t="s">
        <v>246</v>
      </c>
      <c r="C84" s="699">
        <v>2360.0000000000005</v>
      </c>
      <c r="D84" s="3056" t="s">
        <v>97</v>
      </c>
      <c r="E84" s="1938">
        <f t="shared" si="35"/>
        <v>51.411918339265</v>
      </c>
      <c r="F84" s="1938">
        <f t="shared" si="34"/>
        <v>1.9754545454545451</v>
      </c>
      <c r="G84" s="1938">
        <f t="shared" si="34"/>
        <v>0.88481818181818161</v>
      </c>
      <c r="H84" s="699">
        <v>121.33212728066542</v>
      </c>
      <c r="I84" s="699">
        <v>4.662072727272727E-3</v>
      </c>
      <c r="J84" s="699">
        <v>2.0881709090909088E-3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30101.608579088479</v>
      </c>
      <c r="D95" s="3056" t="s">
        <v>97</v>
      </c>
      <c r="E95" s="615"/>
      <c r="F95" s="615"/>
      <c r="G95" s="615"/>
      <c r="H95" s="1938">
        <f>IF(SUM(H96:H100)=0,"NO",SUM(H96:H100))</f>
        <v>2097.6544066009756</v>
      </c>
      <c r="I95" s="1938">
        <f t="shared" ref="I95:K95" si="41">IF(SUM(I96:I101)=0,"NO",SUM(I96:I101))</f>
        <v>0.11034398987964671</v>
      </c>
      <c r="J95" s="1938">
        <f t="shared" si="41"/>
        <v>0.10934031312744448</v>
      </c>
      <c r="K95" s="3044" t="str">
        <f t="shared" si="41"/>
        <v>NO</v>
      </c>
    </row>
    <row r="96" spans="2:11" ht="18" customHeight="1" x14ac:dyDescent="0.2">
      <c r="B96" s="158" t="s">
        <v>243</v>
      </c>
      <c r="C96" s="699">
        <v>29801.608579088479</v>
      </c>
      <c r="D96" s="3056" t="s">
        <v>97</v>
      </c>
      <c r="E96" s="1938">
        <f>IFERROR(H96*1000/$C96,"NA")</f>
        <v>69.869746311622876</v>
      </c>
      <c r="F96" s="1938">
        <f t="shared" ref="F96:G101" si="42">IFERROR(I96*1000000/$C96,"NA")</f>
        <v>3.6934671601638125</v>
      </c>
      <c r="G96" s="1938">
        <f t="shared" si="42"/>
        <v>3.6597885501807763</v>
      </c>
      <c r="H96" s="699">
        <v>2082.2308310991962</v>
      </c>
      <c r="I96" s="699">
        <v>0.11007126260691943</v>
      </c>
      <c r="J96" s="699">
        <v>0.10906758585471721</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300.00000000000006</v>
      </c>
      <c r="D98" s="3056" t="s">
        <v>97</v>
      </c>
      <c r="E98" s="1938">
        <f t="shared" si="43"/>
        <v>51.411918339264993</v>
      </c>
      <c r="F98" s="1938">
        <f t="shared" si="42"/>
        <v>0.90909090909090895</v>
      </c>
      <c r="G98" s="1938">
        <f t="shared" si="42"/>
        <v>0.90909090909090895</v>
      </c>
      <c r="H98" s="699">
        <v>15.423575501779501</v>
      </c>
      <c r="I98" s="699">
        <v>2.7272727272727274E-4</v>
      </c>
      <c r="J98" s="699">
        <v>2.7272727272727274E-4</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8800</v>
      </c>
      <c r="D102" s="3055" t="s">
        <v>97</v>
      </c>
      <c r="E102" s="615"/>
      <c r="F102" s="615"/>
      <c r="G102" s="615"/>
      <c r="H102" s="1938">
        <f>IF(SUM(H103:H107)=0,"NO",SUM(H103:H107))</f>
        <v>509.31342837485505</v>
      </c>
      <c r="I102" s="1938">
        <f t="shared" ref="I102:K102" si="47">IF(SUM(I103:I108)=0,"NO",SUM(I103:I108))</f>
        <v>8.2541991341991347E-3</v>
      </c>
      <c r="J102" s="1938">
        <f t="shared" si="47"/>
        <v>8.0650874458874471E-3</v>
      </c>
      <c r="K102" s="3044" t="str">
        <f t="shared" si="47"/>
        <v>NO</v>
      </c>
    </row>
    <row r="103" spans="2:11" ht="18" customHeight="1" x14ac:dyDescent="0.2">
      <c r="B103" s="158" t="s">
        <v>243</v>
      </c>
      <c r="C103" s="699">
        <v>600</v>
      </c>
      <c r="D103" s="3055" t="s">
        <v>97</v>
      </c>
      <c r="E103" s="1938">
        <f>IFERROR(H103*1000/$C103,"NA")</f>
        <v>64.050000000000011</v>
      </c>
      <c r="F103" s="1938">
        <f t="shared" ref="F103:G108" si="48">IFERROR(I103*1000000/$C103,"NA")</f>
        <v>1.1613275613275615</v>
      </c>
      <c r="G103" s="1938">
        <f t="shared" si="48"/>
        <v>2.2575699855699858</v>
      </c>
      <c r="H103" s="699">
        <v>38.430000000000007</v>
      </c>
      <c r="I103" s="699">
        <v>6.9679653679653687E-4</v>
      </c>
      <c r="J103" s="699">
        <v>1.3545419913419915E-3</v>
      </c>
      <c r="K103" s="3072" t="s">
        <v>199</v>
      </c>
    </row>
    <row r="104" spans="2:11" ht="18" customHeight="1" x14ac:dyDescent="0.2">
      <c r="B104" s="158" t="s">
        <v>245</v>
      </c>
      <c r="C104" s="699">
        <v>1200</v>
      </c>
      <c r="D104" s="3055" t="s">
        <v>97</v>
      </c>
      <c r="E104" s="1938">
        <f t="shared" ref="E104:E108" si="49">IFERROR(H104*1000/$C104,"NA")</f>
        <v>92.5</v>
      </c>
      <c r="F104" s="1938">
        <f t="shared" si="48"/>
        <v>0.95238095238095222</v>
      </c>
      <c r="G104" s="1938">
        <f t="shared" si="48"/>
        <v>0.66666666666666663</v>
      </c>
      <c r="H104" s="699">
        <v>111</v>
      </c>
      <c r="I104" s="699">
        <v>1.1428571428571427E-3</v>
      </c>
      <c r="J104" s="699">
        <v>8.0000000000000004E-4</v>
      </c>
      <c r="K104" s="3072" t="s">
        <v>199</v>
      </c>
    </row>
    <row r="105" spans="2:11" ht="18" customHeight="1" x14ac:dyDescent="0.2">
      <c r="B105" s="158" t="s">
        <v>246</v>
      </c>
      <c r="C105" s="699">
        <v>7000.0000000000009</v>
      </c>
      <c r="D105" s="3055" t="s">
        <v>97</v>
      </c>
      <c r="E105" s="1938">
        <f t="shared" si="49"/>
        <v>51.411918339264993</v>
      </c>
      <c r="F105" s="1938">
        <f t="shared" si="48"/>
        <v>0.91636363636363627</v>
      </c>
      <c r="G105" s="1938">
        <f t="shared" si="48"/>
        <v>0.84436363636363643</v>
      </c>
      <c r="H105" s="699">
        <v>359.88342837485504</v>
      </c>
      <c r="I105" s="699">
        <v>6.4145454545454549E-3</v>
      </c>
      <c r="J105" s="699">
        <v>5.9105454545454557E-3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4200</v>
      </c>
      <c r="D118" s="3055" t="s">
        <v>97</v>
      </c>
      <c r="E118" s="615"/>
      <c r="F118" s="615"/>
      <c r="G118" s="615"/>
      <c r="H118" s="1938">
        <f>H119</f>
        <v>223.05171418742751</v>
      </c>
      <c r="I118" s="1938">
        <f>I119</f>
        <v>3.1841623376623378E-2</v>
      </c>
      <c r="J118" s="1938">
        <f>J119</f>
        <v>4.369296536796536E-3</v>
      </c>
      <c r="K118" s="3044" t="str">
        <f>K119</f>
        <v>NO</v>
      </c>
    </row>
    <row r="119" spans="2:11" ht="18" customHeight="1" x14ac:dyDescent="0.2">
      <c r="B119" s="3069" t="s">
        <v>286</v>
      </c>
      <c r="C119" s="3077">
        <f>IF(SUM(C120:C125)=0,"NO",SUM(C120:C125))</f>
        <v>4200</v>
      </c>
      <c r="D119" s="3055" t="s">
        <v>97</v>
      </c>
      <c r="E119" s="615"/>
      <c r="F119" s="615"/>
      <c r="G119" s="615"/>
      <c r="H119" s="3077">
        <f>IF(SUM(H120:H124)=0,"NO",SUM(H120:H124))</f>
        <v>223.05171418742751</v>
      </c>
      <c r="I119" s="3077">
        <f t="shared" ref="I119" si="56">IF(SUM(I120:I125)=0,"NO",SUM(I120:I125))</f>
        <v>3.1841623376623378E-2</v>
      </c>
      <c r="J119" s="3077">
        <f t="shared" ref="J119" si="57">IF(SUM(J120:J125)=0,"NO",SUM(J120:J125))</f>
        <v>4.369296536796536E-3</v>
      </c>
      <c r="K119" s="3078" t="str">
        <f t="shared" ref="K119" si="58">IF(SUM(K120:K125)=0,"NO",SUM(K120:K125))</f>
        <v>NO</v>
      </c>
    </row>
    <row r="120" spans="2:11" ht="18" customHeight="1" x14ac:dyDescent="0.2">
      <c r="B120" s="158" t="s">
        <v>243</v>
      </c>
      <c r="C120" s="699">
        <v>700.00000000000011</v>
      </c>
      <c r="D120" s="3055" t="s">
        <v>97</v>
      </c>
      <c r="E120" s="1938">
        <f>IFERROR(H120*1000/$C120,"NA")</f>
        <v>61.585714285714289</v>
      </c>
      <c r="F120" s="1938">
        <f t="shared" ref="F120:G125" si="59">IFERROR(I120*1000000/$C120,"NA")</f>
        <v>40.932838589981436</v>
      </c>
      <c r="G120" s="1938">
        <f t="shared" si="59"/>
        <v>1.744514533085961</v>
      </c>
      <c r="H120" s="699">
        <v>43.110000000000007</v>
      </c>
      <c r="I120" s="699">
        <v>2.8652987012987012E-2</v>
      </c>
      <c r="J120" s="699">
        <v>1.2211601731601728E-3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3500</v>
      </c>
      <c r="D122" s="3055" t="s">
        <v>97</v>
      </c>
      <c r="E122" s="1938">
        <f t="shared" si="60"/>
        <v>51.411918339264993</v>
      </c>
      <c r="F122" s="1938">
        <f t="shared" si="59"/>
        <v>0.91103896103896098</v>
      </c>
      <c r="G122" s="1938">
        <f t="shared" si="59"/>
        <v>0.89946753246753242</v>
      </c>
      <c r="H122" s="699">
        <v>179.94171418742749</v>
      </c>
      <c r="I122" s="699">
        <v>3.1886363636363635E-3</v>
      </c>
      <c r="J122" s="699">
        <v>3.1481363636363634E-3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5359.0671582472169</v>
      </c>
      <c r="D10" s="695">
        <f t="shared" ref="D10:F10" si="0">SUM(D11:D16)</f>
        <v>28372.443864609082</v>
      </c>
      <c r="E10" s="695">
        <f t="shared" si="0"/>
        <v>2077.5927488327952</v>
      </c>
      <c r="F10" s="695">
        <f t="shared" si="0"/>
        <v>2640.4900364462728</v>
      </c>
      <c r="G10" s="696" t="s">
        <v>199</v>
      </c>
      <c r="H10" s="697" t="s">
        <v>2035</v>
      </c>
      <c r="I10" s="698" t="s">
        <v>2036</v>
      </c>
    </row>
    <row r="11" spans="2:9" ht="18" customHeight="1" x14ac:dyDescent="0.2">
      <c r="B11" s="1561" t="s">
        <v>1921</v>
      </c>
      <c r="C11" s="3696">
        <f>Table1!D10</f>
        <v>1406.3443411403673</v>
      </c>
      <c r="D11" s="3697">
        <f>Table1!G10</f>
        <v>5668.6501249274161</v>
      </c>
      <c r="E11" s="3697">
        <f>Table1!H10</f>
        <v>799.30353040640057</v>
      </c>
      <c r="F11" s="3697">
        <f>Table1!F10</f>
        <v>1717.0711127650457</v>
      </c>
      <c r="G11" s="3698" t="s">
        <v>199</v>
      </c>
      <c r="H11" s="3699" t="s">
        <v>221</v>
      </c>
      <c r="I11" s="3700" t="s">
        <v>221</v>
      </c>
    </row>
    <row r="12" spans="2:9" ht="18" customHeight="1" x14ac:dyDescent="0.2">
      <c r="B12" s="2419" t="s">
        <v>2037</v>
      </c>
      <c r="C12" s="3149">
        <f>'Table2(I)'!D10</f>
        <v>3.933880206206898</v>
      </c>
      <c r="D12" s="699">
        <f>'Table2(I)'!L10</f>
        <v>11.645795811283044</v>
      </c>
      <c r="E12" s="699">
        <f>'Table2(I)'!M10</f>
        <v>227.55644350992225</v>
      </c>
      <c r="F12" s="699">
        <f>'Table2(I)'!K10</f>
        <v>43.721525637951594</v>
      </c>
      <c r="G12" s="3125" t="s">
        <v>199</v>
      </c>
      <c r="H12" s="3701" t="s">
        <v>199</v>
      </c>
      <c r="I12" s="2921" t="s">
        <v>199</v>
      </c>
    </row>
    <row r="13" spans="2:9" ht="18" customHeight="1" x14ac:dyDescent="0.2">
      <c r="B13" s="2419" t="s">
        <v>2038</v>
      </c>
      <c r="C13" s="3149">
        <f>Table3!D10</f>
        <v>2605.6643009837471</v>
      </c>
      <c r="D13" s="699">
        <f>Table3!G10</f>
        <v>617.14540814598058</v>
      </c>
      <c r="E13" s="699">
        <f>Table3!H10</f>
        <v>36.000148808515533</v>
      </c>
      <c r="F13" s="699">
        <f>Table3!F10</f>
        <v>37.195809767810161</v>
      </c>
      <c r="G13" s="3702"/>
      <c r="H13" s="3701" t="s">
        <v>221</v>
      </c>
      <c r="I13" s="2921" t="s">
        <v>274</v>
      </c>
    </row>
    <row r="14" spans="2:9" ht="18" customHeight="1" x14ac:dyDescent="0.2">
      <c r="B14" s="2419" t="s">
        <v>2039</v>
      </c>
      <c r="C14" s="3149">
        <f>Table4!D10</f>
        <v>639.89687490486892</v>
      </c>
      <c r="D14" s="699">
        <f>Table4!G10</f>
        <v>22075.002535724401</v>
      </c>
      <c r="E14" s="3125">
        <f>Table4!H10</f>
        <v>587.16126918048008</v>
      </c>
      <c r="F14" s="3125">
        <f>Table4!F10</f>
        <v>842.50158827546556</v>
      </c>
      <c r="G14" s="3702"/>
      <c r="H14" s="3703" t="s">
        <v>221</v>
      </c>
      <c r="I14" s="2921" t="s">
        <v>221</v>
      </c>
    </row>
    <row r="15" spans="2:9" ht="18" customHeight="1" x14ac:dyDescent="0.2">
      <c r="B15" s="2419" t="s">
        <v>2040</v>
      </c>
      <c r="C15" s="3149">
        <f>Table5!D10</f>
        <v>703.22776101202669</v>
      </c>
      <c r="D15" s="699" t="str">
        <f>Table5!G10</f>
        <v>NO</v>
      </c>
      <c r="E15" s="3125">
        <f>Table5!H10</f>
        <v>427.57135692747676</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1997</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352203.16243617056</v>
      </c>
      <c r="D10" s="3840">
        <f>SUM(D11,D22,D30,D41,D50,D56)</f>
        <v>340403.20879683539</v>
      </c>
      <c r="E10" s="3842">
        <f>IF(D10="NO",IF(C10="NO","NA",-C10),IF(C10="NO",D10,D10-C10))</f>
        <v>-11799.953639335174</v>
      </c>
      <c r="F10" s="3840">
        <f>IF(E10="NA","NA",E10/C10*100)</f>
        <v>-3.3503258624129097</v>
      </c>
      <c r="G10" s="3843">
        <f>IF(E10="NA","NA",E10/Table8s2!$G$35*100)</f>
        <v>-2.5186366723499276</v>
      </c>
      <c r="H10" s="3844">
        <f>IF(E10="NA","NA",E10/Table8s2!$G$34*100)</f>
        <v>-2.3122595038589782</v>
      </c>
      <c r="I10" s="4488">
        <f>SUM(I11,I22,I30,I41,I50,I56)</f>
        <v>149484.18347741745</v>
      </c>
      <c r="J10" s="3840">
        <f>SUM(J11,J22,J30,J41,J50,J56)</f>
        <v>150053.88043092209</v>
      </c>
      <c r="K10" s="3842">
        <f t="shared" ref="K10:K12" si="0">IF(J10="NO",IF(I10="NO","NA",-I10),IF(I10="NO",J10,J10-I10))</f>
        <v>569.69695350463735</v>
      </c>
      <c r="L10" s="3840">
        <f t="shared" ref="L10:L12" si="1">IF(K10="NA","NA",K10/I10*100)</f>
        <v>0.38110851613321445</v>
      </c>
      <c r="M10" s="3843">
        <f>IF(K10="NA","NA",K10/Table8s2!$G$35*100)</f>
        <v>0.12159875225608542</v>
      </c>
      <c r="N10" s="3844">
        <f>IF(K10="NA","NA",K10/Table8s2!$G$34*100)</f>
        <v>0.11163494665516514</v>
      </c>
      <c r="O10" s="4488">
        <f>SUM(O11,O22,O30,O41,O50,O56)</f>
        <v>19356.613411283168</v>
      </c>
      <c r="P10" s="3840">
        <f>SUM(P11,P22,P30,P41,P50,P56)</f>
        <v>18057.867681139047</v>
      </c>
      <c r="Q10" s="3842">
        <f t="shared" ref="Q10:Q12" si="2">IF(P10="NO",IF(O10="NO","NA",-O10),IF(O10="NO",P10,P10-O10))</f>
        <v>-1298.7457301441209</v>
      </c>
      <c r="R10" s="3840">
        <f t="shared" ref="R10:R12" si="3">IF(Q10="NA","NA",Q10/O10*100)</f>
        <v>-6.7095710522744056</v>
      </c>
      <c r="S10" s="3843">
        <f>IF(Q10="NA","NA",Q10/Table8s2!$G$35*100)</f>
        <v>-0.27721029454681506</v>
      </c>
      <c r="T10" s="3844">
        <f>IF(Q10="NA","NA",Q10/Table8s2!$G$34*100)</f>
        <v>-0.25449567425514114</v>
      </c>
    </row>
    <row r="11" spans="2:20" ht="18" customHeight="1" x14ac:dyDescent="0.2">
      <c r="B11" s="1404" t="s">
        <v>1921</v>
      </c>
      <c r="C11" s="3841">
        <f>SUM(C12,C18,C21)</f>
        <v>298077.0340570187</v>
      </c>
      <c r="D11" s="3841">
        <f>Summary2!C11</f>
        <v>298077.30084264063</v>
      </c>
      <c r="E11" s="3845">
        <f t="shared" ref="E11:E38" si="4">IF(D11="NO",IF(C11="NO","NA",-C11),IF(C11="NO",D11,D11-C11))</f>
        <v>0.26678562193410471</v>
      </c>
      <c r="F11" s="3841">
        <f t="shared" ref="F11:F38" si="5">IF(E11="NA","NA",E11/C11*100)</f>
        <v>8.9502239841487312E-5</v>
      </c>
      <c r="G11" s="3846">
        <f>IF(E11="NA","NA",E11/Table8s2!$G$35*100)</f>
        <v>5.6943956865984532E-5</v>
      </c>
      <c r="H11" s="3847">
        <f>IF(E11="NA","NA",E11/Table8s2!$G$34*100)</f>
        <v>5.2277967241642284E-5</v>
      </c>
      <c r="I11" s="3848">
        <f>SUM(I12,I18,I21)</f>
        <v>39377.951380654893</v>
      </c>
      <c r="J11" s="3841">
        <f>Summary2!D11</f>
        <v>39377.641551930283</v>
      </c>
      <c r="K11" s="3845">
        <f t="shared" si="0"/>
        <v>-0.30982872461027</v>
      </c>
      <c r="L11" s="3841">
        <f t="shared" si="1"/>
        <v>-7.868076264690569E-4</v>
      </c>
      <c r="M11" s="3846">
        <f>IF(K11="NA","NA",K11/Table8s2!$G$35*100)</f>
        <v>-6.6131275749215434E-5</v>
      </c>
      <c r="N11" s="3847">
        <f>IF(K11="NA","NA",K11/Table8s2!$G$34*100)</f>
        <v>-6.0712476925372571E-5</v>
      </c>
      <c r="O11" s="3848">
        <f>SUM(O12,O18,O21)</f>
        <v>2341.0658074740886</v>
      </c>
      <c r="P11" s="3841">
        <f>Summary2!E11</f>
        <v>2341.0658074740886</v>
      </c>
      <c r="Q11" s="3845">
        <f t="shared" si="2"/>
        <v>0</v>
      </c>
      <c r="R11" s="3841">
        <f t="shared" si="3"/>
        <v>0</v>
      </c>
      <c r="S11" s="3846">
        <f>IF(Q11="NA","NA",Q11/Table8s2!$G$35*100)</f>
        <v>0</v>
      </c>
      <c r="T11" s="3847">
        <f>IF(Q11="NA","NA",Q11/Table8s2!$G$34*100)</f>
        <v>0</v>
      </c>
    </row>
    <row r="12" spans="2:20" ht="18" customHeight="1" x14ac:dyDescent="0.2">
      <c r="B12" s="606" t="s">
        <v>242</v>
      </c>
      <c r="C12" s="3841">
        <f>SUM(C13:C17)</f>
        <v>291389.68945926492</v>
      </c>
      <c r="D12" s="3841">
        <f>Summary2!C12</f>
        <v>291389.68945926498</v>
      </c>
      <c r="E12" s="3841">
        <f t="shared" si="4"/>
        <v>5.8207660913467407E-11</v>
      </c>
      <c r="F12" s="3849">
        <f t="shared" si="5"/>
        <v>1.9975882132783769E-14</v>
      </c>
      <c r="G12" s="3846">
        <f>IF(E12="NA","NA",E12/Table8s2!$G$35*100)</f>
        <v>1.2424112320209791E-14</v>
      </c>
      <c r="H12" s="3847">
        <f>IF(E12="NA","NA",E12/Table8s2!$G$34*100)</f>
        <v>1.1406080164239428E-14</v>
      </c>
      <c r="I12" s="3848">
        <f>SUM(I13:I17)</f>
        <v>3599.1814929547595</v>
      </c>
      <c r="J12" s="3841">
        <f>Summary2!D12</f>
        <v>3599.1814929547577</v>
      </c>
      <c r="K12" s="3841">
        <f t="shared" si="0"/>
        <v>-1.8189894035458565E-12</v>
      </c>
      <c r="L12" s="3849">
        <f t="shared" si="1"/>
        <v>-5.0538974128046855E-14</v>
      </c>
      <c r="M12" s="3846">
        <f>IF(K12="NA","NA",K12/Table8s2!$G$35*100)</f>
        <v>-3.8825351000655598E-16</v>
      </c>
      <c r="N12" s="3847">
        <f>IF(K12="NA","NA",K12/Table8s2!$G$34*100)</f>
        <v>-3.5644000513248212E-16</v>
      </c>
      <c r="O12" s="3850">
        <f>SUM(O13:O17)</f>
        <v>2317.9128784055388</v>
      </c>
      <c r="P12" s="3849">
        <f>Summary2!E12</f>
        <v>2317.9128784055388</v>
      </c>
      <c r="Q12" s="3841">
        <f t="shared" si="2"/>
        <v>0</v>
      </c>
      <c r="R12" s="3849">
        <f t="shared" si="3"/>
        <v>0</v>
      </c>
      <c r="S12" s="3846">
        <f>IF(Q12="NA","NA",Q12/Table8s2!$G$35*100)</f>
        <v>0</v>
      </c>
      <c r="T12" s="3847">
        <f>IF(Q12="NA","NA",Q12/Table8s2!$G$34*100)</f>
        <v>0</v>
      </c>
    </row>
    <row r="13" spans="2:20" ht="18" customHeight="1" x14ac:dyDescent="0.2">
      <c r="B13" s="1391" t="s">
        <v>1923</v>
      </c>
      <c r="C13" s="3849">
        <v>168676.29092605604</v>
      </c>
      <c r="D13" s="3841">
        <f>Summary2!C13</f>
        <v>168676.2909260561</v>
      </c>
      <c r="E13" s="3841">
        <f t="shared" si="4"/>
        <v>5.8207660913467407E-11</v>
      </c>
      <c r="F13" s="3849">
        <f t="shared" si="5"/>
        <v>3.4508501813680711E-14</v>
      </c>
      <c r="G13" s="3846">
        <f>IF(E13="NA","NA",E13/Table8s2!$G$35*100)</f>
        <v>1.2424112320209791E-14</v>
      </c>
      <c r="H13" s="3847">
        <f>IF(E13="NA","NA",E13/Table8s2!$G$34*100)</f>
        <v>1.1406080164239428E-14</v>
      </c>
      <c r="I13" s="3848">
        <v>197.73575823842714</v>
      </c>
      <c r="J13" s="3841">
        <f>Summary2!D13</f>
        <v>197.73575823842714</v>
      </c>
      <c r="K13" s="3841">
        <f t="shared" ref="K13" si="6">IF(J13="NO",IF(I13="NO","NA",-I13),IF(I13="NO",J13,J13-I13))</f>
        <v>0</v>
      </c>
      <c r="L13" s="3849">
        <f t="shared" ref="L13" si="7">IF(K13="NA","NA",K13/I13*100)</f>
        <v>0</v>
      </c>
      <c r="M13" s="3846">
        <f>IF(K13="NA","NA",K13/Table8s2!$G$35*100)</f>
        <v>0</v>
      </c>
      <c r="N13" s="3847">
        <f>IF(K13="NA","NA",K13/Table8s2!$G$34*100)</f>
        <v>0</v>
      </c>
      <c r="O13" s="3850">
        <v>539.3399367862454</v>
      </c>
      <c r="P13" s="3849">
        <f>Summary2!E13</f>
        <v>539.3399367862454</v>
      </c>
      <c r="Q13" s="3841">
        <f t="shared" ref="Q13" si="8">IF(P13="NO",IF(O13="NO","NA",-O13),IF(O13="NO",P13,P13-O13))</f>
        <v>0</v>
      </c>
      <c r="R13" s="3849">
        <f t="shared" ref="R13" si="9">IF(Q13="NA","NA",Q13/O13*100)</f>
        <v>0</v>
      </c>
      <c r="S13" s="3846">
        <f>IF(Q13="NA","NA",Q13/Table8s2!$G$35*100)</f>
        <v>0</v>
      </c>
      <c r="T13" s="3847">
        <f>IF(Q13="NA","NA",Q13/Table8s2!$G$34*100)</f>
        <v>0</v>
      </c>
    </row>
    <row r="14" spans="2:20" ht="18" customHeight="1" x14ac:dyDescent="0.2">
      <c r="B14" s="1391" t="s">
        <v>1976</v>
      </c>
      <c r="C14" s="3849">
        <v>37342.362579876848</v>
      </c>
      <c r="D14" s="3841">
        <f>Summary2!C14</f>
        <v>37342.362579876841</v>
      </c>
      <c r="E14" s="3841">
        <f t="shared" si="4"/>
        <v>-7.2759576141834259E-12</v>
      </c>
      <c r="F14" s="3849">
        <f t="shared" si="5"/>
        <v>-1.9484459770374339E-14</v>
      </c>
      <c r="G14" s="3846">
        <f>IF(E14="NA","NA",E14/Table8s2!$G$35*100)</f>
        <v>-1.5530140400262239E-15</v>
      </c>
      <c r="H14" s="3847">
        <f>IF(E14="NA","NA",E14/Table8s2!$G$34*100)</f>
        <v>-1.4257600205299285E-15</v>
      </c>
      <c r="I14" s="3848">
        <v>62.844985486760081</v>
      </c>
      <c r="J14" s="3841">
        <f>Summary2!D14</f>
        <v>62.844985486760095</v>
      </c>
      <c r="K14" s="3841">
        <f t="shared" ref="K14:K20" si="10">IF(J14="NO",IF(I14="NO","NA",-I14),IF(I14="NO",J14,J14-I14))</f>
        <v>1.4210854715202004E-14</v>
      </c>
      <c r="L14" s="3849">
        <f t="shared" ref="L14:L20" si="11">IF(K14="NA","NA",K14/I14*100)</f>
        <v>2.2612551510885286E-14</v>
      </c>
      <c r="M14" s="3846">
        <f>IF(K14="NA","NA",K14/Table8s2!$G$35*100)</f>
        <v>3.0332305469262186E-18</v>
      </c>
      <c r="N14" s="3847">
        <f>IF(K14="NA","NA",K14/Table8s2!$G$34*100)</f>
        <v>2.7846875400975165E-18</v>
      </c>
      <c r="O14" s="3850">
        <v>348.84043494255968</v>
      </c>
      <c r="P14" s="3849">
        <f>Summary2!E14</f>
        <v>348.84043494255968</v>
      </c>
      <c r="Q14" s="3841">
        <f t="shared" ref="Q14:Q20" si="12">IF(P14="NO",IF(O14="NO","NA",-O14),IF(O14="NO",P14,P14-O14))</f>
        <v>0</v>
      </c>
      <c r="R14" s="3849">
        <f t="shared" ref="R14:R20" si="13">IF(Q14="NA","NA",Q14/O14*100)</f>
        <v>0</v>
      </c>
      <c r="S14" s="3846">
        <f>IF(Q14="NA","NA",Q14/Table8s2!$G$35*100)</f>
        <v>0</v>
      </c>
      <c r="T14" s="3847">
        <f>IF(Q14="NA","NA",Q14/Table8s2!$G$34*100)</f>
        <v>0</v>
      </c>
    </row>
    <row r="15" spans="2:20" ht="18" customHeight="1" x14ac:dyDescent="0.2">
      <c r="B15" s="1391" t="s">
        <v>1925</v>
      </c>
      <c r="C15" s="3849">
        <v>69276.050596668138</v>
      </c>
      <c r="D15" s="3841">
        <f>Summary2!C15</f>
        <v>69276.048857972593</v>
      </c>
      <c r="E15" s="3841">
        <f t="shared" si="4"/>
        <v>-1.7386955441907048E-3</v>
      </c>
      <c r="F15" s="3849">
        <f t="shared" si="5"/>
        <v>-2.5098075441880459E-6</v>
      </c>
      <c r="G15" s="3846">
        <f>IF(E15="NA","NA",E15/Table8s2!$G$35*100)</f>
        <v>-3.7111521735579044E-7</v>
      </c>
      <c r="H15" s="3847">
        <f>IF(E15="NA","NA",E15/Table8s2!$G$34*100)</f>
        <v>-3.4070602472288403E-7</v>
      </c>
      <c r="I15" s="3848">
        <v>846.68150278176256</v>
      </c>
      <c r="J15" s="3841">
        <f>Summary2!D15</f>
        <v>846.68150278176279</v>
      </c>
      <c r="K15" s="3841">
        <f t="shared" si="10"/>
        <v>2.2737367544323206E-13</v>
      </c>
      <c r="L15" s="3849">
        <f t="shared" si="11"/>
        <v>2.6854687943010261E-14</v>
      </c>
      <c r="M15" s="3846">
        <f>IF(K15="NA","NA",K15/Table8s2!$G$35*100)</f>
        <v>4.8531688750819498E-17</v>
      </c>
      <c r="N15" s="3847">
        <f>IF(K15="NA","NA",K15/Table8s2!$G$34*100)</f>
        <v>4.4555000641560265E-17</v>
      </c>
      <c r="O15" s="3850">
        <v>1265.5962238929217</v>
      </c>
      <c r="P15" s="3849">
        <f>Summary2!E15</f>
        <v>1265.5962238929214</v>
      </c>
      <c r="Q15" s="3841">
        <f t="shared" si="12"/>
        <v>-2.2737367544323206E-13</v>
      </c>
      <c r="R15" s="3849">
        <f t="shared" si="13"/>
        <v>-1.7965735923566524E-14</v>
      </c>
      <c r="S15" s="3846">
        <f>IF(Q15="NA","NA",Q15/Table8s2!$G$35*100)</f>
        <v>-4.8531688750819498E-17</v>
      </c>
      <c r="T15" s="3847">
        <f>IF(Q15="NA","NA",Q15/Table8s2!$G$34*100)</f>
        <v>-4.4555000641560265E-17</v>
      </c>
    </row>
    <row r="16" spans="2:20" ht="18" customHeight="1" x14ac:dyDescent="0.2">
      <c r="B16" s="1391" t="s">
        <v>1926</v>
      </c>
      <c r="C16" s="3849">
        <v>15281.49744954262</v>
      </c>
      <c r="D16" s="3841">
        <f>Summary2!C16</f>
        <v>15281.499188238162</v>
      </c>
      <c r="E16" s="3841">
        <f t="shared" si="4"/>
        <v>1.7386955423717154E-3</v>
      </c>
      <c r="F16" s="3849">
        <f t="shared" si="5"/>
        <v>1.13777824988202E-5</v>
      </c>
      <c r="G16" s="3846">
        <f>IF(E16="NA","NA",E16/Table8s2!$G$35*100)</f>
        <v>3.711152169675369E-7</v>
      </c>
      <c r="H16" s="3847">
        <f>IF(E16="NA","NA",E16/Table8s2!$G$34*100)</f>
        <v>3.4070602436644399E-7</v>
      </c>
      <c r="I16" s="3848">
        <v>2490.7015207474283</v>
      </c>
      <c r="J16" s="3841">
        <f>Summary2!D16</f>
        <v>2490.7015207474265</v>
      </c>
      <c r="K16" s="3841">
        <f t="shared" si="10"/>
        <v>-1.8189894035458565E-12</v>
      </c>
      <c r="L16" s="3849">
        <f t="shared" si="11"/>
        <v>-7.3031207810079165E-14</v>
      </c>
      <c r="M16" s="3846">
        <f>IF(K16="NA","NA",K16/Table8s2!$G$35*100)</f>
        <v>-3.8825351000655598E-16</v>
      </c>
      <c r="N16" s="3847">
        <f>IF(K16="NA","NA",K16/Table8s2!$G$34*100)</f>
        <v>-3.5644000513248212E-16</v>
      </c>
      <c r="O16" s="3850">
        <v>158.19808626843698</v>
      </c>
      <c r="P16" s="3849">
        <f>Summary2!E16</f>
        <v>158.19808626843698</v>
      </c>
      <c r="Q16" s="3841">
        <f t="shared" si="12"/>
        <v>0</v>
      </c>
      <c r="R16" s="3849">
        <f t="shared" si="13"/>
        <v>0</v>
      </c>
      <c r="S16" s="3846">
        <f>IF(Q16="NA","NA",Q16/Table8s2!$G$35*100)</f>
        <v>0</v>
      </c>
      <c r="T16" s="3847">
        <f>IF(Q16="NA","NA",Q16/Table8s2!$G$34*100)</f>
        <v>0</v>
      </c>
    </row>
    <row r="17" spans="2:20" ht="18" customHeight="1" x14ac:dyDescent="0.2">
      <c r="B17" s="1391" t="s">
        <v>1927</v>
      </c>
      <c r="C17" s="3849">
        <v>813.48790712126583</v>
      </c>
      <c r="D17" s="3841">
        <f>Summary2!C17</f>
        <v>813.48790712126572</v>
      </c>
      <c r="E17" s="3841">
        <f t="shared" si="4"/>
        <v>-1.1368683772161603E-13</v>
      </c>
      <c r="F17" s="3849">
        <f t="shared" si="5"/>
        <v>-1.3975233894247534E-14</v>
      </c>
      <c r="G17" s="3846">
        <f>IF(E17="NA","NA",E17/Table8s2!$G$35*100)</f>
        <v>-2.4265844375409749E-17</v>
      </c>
      <c r="H17" s="3847">
        <f>IF(E17="NA","NA",E17/Table8s2!$G$34*100)</f>
        <v>-2.2277500320780132E-17</v>
      </c>
      <c r="I17" s="3848">
        <v>1.2177257003812272</v>
      </c>
      <c r="J17" s="3841">
        <f>Summary2!D17</f>
        <v>1.217725700381227</v>
      </c>
      <c r="K17" s="3841">
        <f t="shared" si="10"/>
        <v>-2.2204460492503131E-16</v>
      </c>
      <c r="L17" s="3849">
        <f t="shared" si="11"/>
        <v>-1.8234369600273439E-14</v>
      </c>
      <c r="M17" s="3846">
        <f>IF(K17="NA","NA",K17/Table8s2!$G$35*100)</f>
        <v>-4.7394227295722166E-20</v>
      </c>
      <c r="N17" s="3847">
        <f>IF(K17="NA","NA",K17/Table8s2!$G$34*100)</f>
        <v>-4.3510742814023696E-20</v>
      </c>
      <c r="O17" s="3850">
        <v>5.9381965153754059</v>
      </c>
      <c r="P17" s="3849">
        <f>Summary2!E17</f>
        <v>5.9381965153754059</v>
      </c>
      <c r="Q17" s="3841">
        <f t="shared" si="12"/>
        <v>0</v>
      </c>
      <c r="R17" s="3849">
        <f t="shared" si="13"/>
        <v>0</v>
      </c>
      <c r="S17" s="3846">
        <f>IF(Q17="NA","NA",Q17/Table8s2!$G$35*100)</f>
        <v>0</v>
      </c>
      <c r="T17" s="3847">
        <f>IF(Q17="NA","NA",Q17/Table8s2!$G$34*100)</f>
        <v>0</v>
      </c>
    </row>
    <row r="18" spans="2:20" ht="18" customHeight="1" x14ac:dyDescent="0.2">
      <c r="B18" s="606" t="s">
        <v>201</v>
      </c>
      <c r="C18" s="3849">
        <f>SUM(C19:C20)</f>
        <v>6687.344597753764</v>
      </c>
      <c r="D18" s="3841">
        <f>Summary2!C18</f>
        <v>6687.6113833756262</v>
      </c>
      <c r="E18" s="3841">
        <f t="shared" si="4"/>
        <v>0.26678562186225463</v>
      </c>
      <c r="F18" s="3849">
        <f t="shared" si="5"/>
        <v>3.989410414888238E-3</v>
      </c>
      <c r="G18" s="3846">
        <f>IF(E18="NA","NA",E18/Table8s2!$G$35*100)</f>
        <v>5.694395685064852E-5</v>
      </c>
      <c r="H18" s="3847">
        <f>IF(E18="NA","NA",E18/Table8s2!$G$34*100)</f>
        <v>5.2277967227562902E-5</v>
      </c>
      <c r="I18" s="3848">
        <f>SUM(I19:I20)</f>
        <v>35778.769887700131</v>
      </c>
      <c r="J18" s="3841">
        <f>Summary2!D18</f>
        <v>35778.460058975528</v>
      </c>
      <c r="K18" s="3841">
        <f t="shared" si="10"/>
        <v>-0.30982872460299404</v>
      </c>
      <c r="L18" s="3849">
        <f t="shared" si="11"/>
        <v>-8.6595689448089601E-4</v>
      </c>
      <c r="M18" s="3846">
        <f>IF(K18="NA","NA",K18/Table8s2!$G$35*100)</f>
        <v>-6.6131275747662423E-5</v>
      </c>
      <c r="N18" s="3847">
        <f>IF(K18="NA","NA",K18/Table8s2!$G$34*100)</f>
        <v>-6.0712476923946811E-5</v>
      </c>
      <c r="O18" s="3850">
        <f>SUM(O19:O20)</f>
        <v>23.152929068549685</v>
      </c>
      <c r="P18" s="3849">
        <f>Summary2!E18</f>
        <v>23.152929068549682</v>
      </c>
      <c r="Q18" s="3841">
        <f t="shared" si="12"/>
        <v>-3.5527136788005009E-15</v>
      </c>
      <c r="R18" s="3849">
        <f t="shared" si="13"/>
        <v>-1.534455389329729E-14</v>
      </c>
      <c r="S18" s="3846">
        <f>IF(Q18="NA","NA",Q18/Table8s2!$G$35*100)</f>
        <v>-7.5830763673155466E-19</v>
      </c>
      <c r="T18" s="3847">
        <f>IF(Q18="NA","NA",Q18/Table8s2!$G$34*100)</f>
        <v>-6.9617188502437914E-19</v>
      </c>
    </row>
    <row r="19" spans="2:20" ht="18" customHeight="1" x14ac:dyDescent="0.2">
      <c r="B19" s="1391" t="s">
        <v>1928</v>
      </c>
      <c r="C19" s="3849">
        <v>1333.0836919676028</v>
      </c>
      <c r="D19" s="3841">
        <f>Summary2!C19</f>
        <v>1333.0836919676028</v>
      </c>
      <c r="E19" s="3841">
        <f t="shared" si="4"/>
        <v>0</v>
      </c>
      <c r="F19" s="3849">
        <f t="shared" si="5"/>
        <v>0</v>
      </c>
      <c r="G19" s="3846">
        <f>IF(E19="NA","NA",E19/Table8s2!$G$35*100)</f>
        <v>0</v>
      </c>
      <c r="H19" s="3847">
        <f>IF(E19="NA","NA",E19/Table8s2!$G$34*100)</f>
        <v>0</v>
      </c>
      <c r="I19" s="3848">
        <v>27262.370477166609</v>
      </c>
      <c r="J19" s="3841">
        <f>Summary2!D19</f>
        <v>27262.370477166609</v>
      </c>
      <c r="K19" s="3841">
        <f t="shared" si="10"/>
        <v>0</v>
      </c>
      <c r="L19" s="3849">
        <f t="shared" si="11"/>
        <v>0</v>
      </c>
      <c r="M19" s="3846">
        <f>IF(K19="NA","NA",K19/Table8s2!$G$35*100)</f>
        <v>0</v>
      </c>
      <c r="N19" s="3847">
        <f>IF(K19="NA","NA",K19/Table8s2!$G$34*100)</f>
        <v>0</v>
      </c>
      <c r="O19" s="3850">
        <v>3.7978982331410985E-3</v>
      </c>
      <c r="P19" s="3849">
        <f>Summary2!E19</f>
        <v>3.7978982331410985E-3</v>
      </c>
      <c r="Q19" s="3841">
        <f t="shared" si="12"/>
        <v>0</v>
      </c>
      <c r="R19" s="3849">
        <f t="shared" si="13"/>
        <v>0</v>
      </c>
      <c r="S19" s="3846">
        <f>IF(Q19="NA","NA",Q19/Table8s2!$G$35*100)</f>
        <v>0</v>
      </c>
      <c r="T19" s="3847">
        <f>IF(Q19="NA","NA",Q19/Table8s2!$G$34*100)</f>
        <v>0</v>
      </c>
    </row>
    <row r="20" spans="2:20" ht="18" customHeight="1" x14ac:dyDescent="0.2">
      <c r="B20" s="1392" t="s">
        <v>1929</v>
      </c>
      <c r="C20" s="3851">
        <v>5354.2609057861609</v>
      </c>
      <c r="D20" s="3852">
        <f>Summary2!C20</f>
        <v>5354.5276914080232</v>
      </c>
      <c r="E20" s="3852">
        <f t="shared" si="4"/>
        <v>0.26678562186225463</v>
      </c>
      <c r="F20" s="3851">
        <f t="shared" si="5"/>
        <v>4.9826787778299861E-3</v>
      </c>
      <c r="G20" s="3853">
        <f>IF(E20="NA","NA",E20/Table8s2!$G$35*100)</f>
        <v>5.694395685064852E-5</v>
      </c>
      <c r="H20" s="3854">
        <f>IF(E20="NA","NA",E20/Table8s2!$G$34*100)</f>
        <v>5.2277967227562902E-5</v>
      </c>
      <c r="I20" s="3855">
        <v>8516.3994105335241</v>
      </c>
      <c r="J20" s="3852">
        <f>Summary2!D20</f>
        <v>8516.0895818089157</v>
      </c>
      <c r="K20" s="3841">
        <f t="shared" si="10"/>
        <v>-0.30982872460845101</v>
      </c>
      <c r="L20" s="3849">
        <f t="shared" si="11"/>
        <v>-3.6380248233219173E-3</v>
      </c>
      <c r="M20" s="3846">
        <f>IF(K20="NA","NA",K20/Table8s2!$G$35*100)</f>
        <v>-6.6131275748827181E-5</v>
      </c>
      <c r="N20" s="3847">
        <f>IF(K20="NA","NA",K20/Table8s2!$G$34*100)</f>
        <v>-6.071247692501614E-5</v>
      </c>
      <c r="O20" s="3856">
        <v>23.149131170316544</v>
      </c>
      <c r="P20" s="3851">
        <f>Summary2!E20</f>
        <v>23.14913117031654</v>
      </c>
      <c r="Q20" s="3841">
        <f t="shared" si="12"/>
        <v>-3.5527136788005009E-15</v>
      </c>
      <c r="R20" s="3849">
        <f t="shared" si="13"/>
        <v>-1.5347071355127325E-14</v>
      </c>
      <c r="S20" s="3846">
        <f>IF(Q20="NA","NA",Q20/Table8s2!$G$35*100)</f>
        <v>-7.5830763673155466E-19</v>
      </c>
      <c r="T20" s="3847">
        <f>IF(Q20="NA","NA",Q20/Table8s2!$G$34*100)</f>
        <v>-6.9617188502437914E-19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21073.538601312313</v>
      </c>
      <c r="D22" s="3841">
        <f>Summary2!C22</f>
        <v>21073.538601312313</v>
      </c>
      <c r="E22" s="3863">
        <f t="shared" si="4"/>
        <v>0</v>
      </c>
      <c r="F22" s="3863">
        <f t="shared" si="5"/>
        <v>0</v>
      </c>
      <c r="G22" s="3864">
        <f>IF(E22="NA","NA",E22/Table8s2!$G$35*100)</f>
        <v>0</v>
      </c>
      <c r="H22" s="3865">
        <f>IF(E22="NA","NA",E22/Table8s2!$G$34*100)</f>
        <v>0</v>
      </c>
      <c r="I22" s="3841">
        <f>SUM(I23:I29)</f>
        <v>110.14864577379316</v>
      </c>
      <c r="J22" s="3841">
        <f>Summary2!D22</f>
        <v>110.14864577379315</v>
      </c>
      <c r="K22" s="3863">
        <f t="shared" ref="K22" si="14">IF(J22="NO",IF(I22="NO","NA",-I22),IF(I22="NO",J22,J22-I22))</f>
        <v>-1.4210854715202004E-14</v>
      </c>
      <c r="L22" s="3863">
        <f t="shared" ref="L22" si="15">IF(K22="NA","NA",K22/I22*100)</f>
        <v>-1.2901524676377897E-14</v>
      </c>
      <c r="M22" s="3864">
        <f>IF(K22="NA","NA",K22/Table8s2!$G$35*100)</f>
        <v>-3.0332305469262186E-18</v>
      </c>
      <c r="N22" s="3865">
        <f>IF(K22="NA","NA",K22/Table8s2!$G$34*100)</f>
        <v>-2.7846875400975165E-18</v>
      </c>
      <c r="O22" s="3841">
        <f>SUM(O23:O29)</f>
        <v>1425.6243332177578</v>
      </c>
      <c r="P22" s="3841">
        <f>Summary2!E22</f>
        <v>1425.6243332177578</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5977.0239216720511</v>
      </c>
      <c r="D23" s="3841">
        <f>Summary2!C23</f>
        <v>5977.0239216720511</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1420.3346702602551</v>
      </c>
      <c r="D24" s="3841">
        <f>Summary2!C24</f>
        <v>1420.3346702602551</v>
      </c>
      <c r="E24" s="3841">
        <f t="shared" si="4"/>
        <v>0</v>
      </c>
      <c r="F24" s="3849">
        <f t="shared" si="5"/>
        <v>0</v>
      </c>
      <c r="G24" s="3846">
        <f>IF(E24="NA","NA",E24/Table8s2!$G$35*100)</f>
        <v>0</v>
      </c>
      <c r="H24" s="3847">
        <f>IF(E24="NA","NA",E24/Table8s2!$G$34*100)</f>
        <v>0</v>
      </c>
      <c r="I24" s="3848">
        <v>15.9539464</v>
      </c>
      <c r="J24" s="3841">
        <f>Summary2!D24</f>
        <v>15.9539464</v>
      </c>
      <c r="K24" s="3841">
        <f t="shared" ref="K24" si="18">IF(J24="NO",IF(I24="NO","NA",-I24),IF(I24="NO",J24,J24-I24))</f>
        <v>0</v>
      </c>
      <c r="L24" s="3849">
        <f t="shared" ref="L24" si="19">IF(K24="NA","NA",K24/I24*100)</f>
        <v>0</v>
      </c>
      <c r="M24" s="3846">
        <f>IF(K24="NA","NA",K24/Table8s2!$G$35*100)</f>
        <v>0</v>
      </c>
      <c r="N24" s="3847">
        <f>IF(K24="NA","NA",K24/Table8s2!$G$34*100)</f>
        <v>0</v>
      </c>
      <c r="O24" s="3850">
        <v>1403.0872204596776</v>
      </c>
      <c r="P24" s="3849">
        <f>Summary2!E24</f>
        <v>1403.0872204596776</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13255.058139770597</v>
      </c>
      <c r="D25" s="3841">
        <f>Summary2!C25</f>
        <v>13255.058139770597</v>
      </c>
      <c r="E25" s="3841">
        <f t="shared" si="4"/>
        <v>0</v>
      </c>
      <c r="F25" s="3849">
        <f t="shared" si="5"/>
        <v>0</v>
      </c>
      <c r="G25" s="3846">
        <f>IF(E25="NA","NA",E25/Table8s2!$G$35*100)</f>
        <v>0</v>
      </c>
      <c r="H25" s="3847">
        <f>IF(E25="NA","NA",E25/Table8s2!$G$34*100)</f>
        <v>0</v>
      </c>
      <c r="I25" s="3848">
        <v>94.194699373793156</v>
      </c>
      <c r="J25" s="3841">
        <f>Summary2!D25</f>
        <v>94.194699373793156</v>
      </c>
      <c r="K25" s="3841">
        <f t="shared" ref="K25:K26" si="22">IF(J25="NO",IF(I25="NO","NA",-I25),IF(I25="NO",J25,J25-I25))</f>
        <v>0</v>
      </c>
      <c r="L25" s="3849">
        <f t="shared" ref="L25:L26" si="23">IF(K25="NA","NA",K25/I25*100)</f>
        <v>0</v>
      </c>
      <c r="M25" s="3846">
        <f>IF(K25="NA","NA",K25/Table8s2!$G$35*100)</f>
        <v>0</v>
      </c>
      <c r="N25" s="3847">
        <f>IF(K25="NA","NA",K25/Table8s2!$G$34*100)</f>
        <v>0</v>
      </c>
      <c r="O25" s="3850">
        <v>22.537112758080216</v>
      </c>
      <c r="P25" s="3849">
        <f>Summary2!E25</f>
        <v>22.537112758080212</v>
      </c>
      <c r="Q25" s="3841">
        <f t="shared" ref="Q25:Q29" si="24">IF(P25="NO",IF(O25="NO","NA",-O25),IF(O25="NO",P25,P25-O25))</f>
        <v>-3.5527136788005009E-15</v>
      </c>
      <c r="R25" s="3849">
        <f t="shared" ref="R25:R29" si="25">IF(Q25="NA","NA",Q25/O25*100)</f>
        <v>-1.5763836818568291E-14</v>
      </c>
      <c r="S25" s="3846">
        <f>IF(Q25="NA","NA",Q25/Table8s2!$G$35*100)</f>
        <v>-7.5830763673155466E-19</v>
      </c>
      <c r="T25" s="3847">
        <f>IF(Q25="NA","NA",Q25/Table8s2!$G$34*100)</f>
        <v>-6.9617188502437914E-19</v>
      </c>
    </row>
    <row r="26" spans="2:20" ht="18" customHeight="1" x14ac:dyDescent="0.2">
      <c r="B26" s="1394" t="s">
        <v>1978</v>
      </c>
      <c r="C26" s="3841">
        <v>278.53303649999992</v>
      </c>
      <c r="D26" s="3841">
        <f>Summary2!C26</f>
        <v>278.53303650000004</v>
      </c>
      <c r="E26" s="3841">
        <f t="shared" si="4"/>
        <v>1.1368683772161603E-13</v>
      </c>
      <c r="F26" s="3849">
        <f t="shared" si="5"/>
        <v>4.0816284901132747E-14</v>
      </c>
      <c r="G26" s="3846">
        <f>IF(E26="NA","NA",E26/Table8s2!$G$35*100)</f>
        <v>2.4265844375409749E-17</v>
      </c>
      <c r="H26" s="3847">
        <f>IF(E26="NA","NA",E26/Table8s2!$G$34*100)</f>
        <v>2.2277500320780132E-17</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142.58883310941064</v>
      </c>
      <c r="D29" s="3857">
        <f>Summary2!C30</f>
        <v>142.58883310941064</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1153.6863212061298</v>
      </c>
      <c r="D30" s="3877">
        <f>Summary2!C31</f>
        <v>1153.6863212061298</v>
      </c>
      <c r="E30" s="3863">
        <f t="shared" si="4"/>
        <v>0</v>
      </c>
      <c r="F30" s="3878">
        <f t="shared" si="5"/>
        <v>0</v>
      </c>
      <c r="G30" s="3879">
        <f>IF(E30="NA","NA",E30/Table8s2!$G$35*100)</f>
        <v>0</v>
      </c>
      <c r="H30" s="3880">
        <f>IF(E30="NA","NA",E30/Table8s2!$G$34*100)</f>
        <v>0</v>
      </c>
      <c r="I30" s="3876">
        <f>SUM(I31:I40)</f>
        <v>72970.345291225894</v>
      </c>
      <c r="J30" s="3877">
        <f>Summary2!D31</f>
        <v>72958.600427544923</v>
      </c>
      <c r="K30" s="3863">
        <f t="shared" ref="K30" si="28">IF(J30="NO",IF(I30="NO","NA",-I30),IF(I30="NO",J30,J30-I30))</f>
        <v>-11.744863680971321</v>
      </c>
      <c r="L30" s="3878">
        <f t="shared" ref="L30" si="29">IF(K30="NA","NA",K30/I30*100)</f>
        <v>-1.6095392770991243E-2</v>
      </c>
      <c r="M30" s="3879">
        <f>IF(K30="NA","NA",K30/Table8s2!$G$35*100)</f>
        <v>-2.5068780168793752E-3</v>
      </c>
      <c r="N30" s="3880">
        <f>IF(K30="NA","NA",K30/Table8s2!$G$34*100)</f>
        <v>-2.301464352989115E-3</v>
      </c>
      <c r="O30" s="3876">
        <f>SUM(O31:O40)</f>
        <v>11573.519801067609</v>
      </c>
      <c r="P30" s="3877">
        <f>Summary2!E31</f>
        <v>10269.594894421074</v>
      </c>
      <c r="Q30" s="3863">
        <f t="shared" ref="Q30" si="30">IF(P30="NO",IF(O30="NO","NA",-O30),IF(O30="NO",P30,P30-O30))</f>
        <v>-1303.9249066465345</v>
      </c>
      <c r="R30" s="3882">
        <f t="shared" ref="R30" si="31">IF(Q30="NA","NA",Q30/O30*100)</f>
        <v>-11.26645073460066</v>
      </c>
      <c r="S30" s="3883">
        <f>IF(Q30="NA","NA",Q30/Table8s2!$G$35*100)</f>
        <v>-0.27831576193001462</v>
      </c>
      <c r="T30" s="3884">
        <f>IF(Q30="NA","NA",Q30/Table8s2!$G$34*100)</f>
        <v>-0.25551055960604185</v>
      </c>
    </row>
    <row r="31" spans="2:20" ht="18" customHeight="1" x14ac:dyDescent="0.2">
      <c r="B31" s="606" t="s">
        <v>1938</v>
      </c>
      <c r="C31" s="3869"/>
      <c r="D31" s="3869"/>
      <c r="E31" s="3870"/>
      <c r="F31" s="3870"/>
      <c r="G31" s="3871"/>
      <c r="H31" s="3872"/>
      <c r="I31" s="3848">
        <v>65448.138284692301</v>
      </c>
      <c r="J31" s="3841">
        <f>Summary2!D32</f>
        <v>65448.138284692322</v>
      </c>
      <c r="K31" s="3885">
        <f t="shared" ref="K31:K33" si="32">IF(J31="NO",IF(I31="NO","NA",-I31),IF(I31="NO",J31,J31-I31))</f>
        <v>2.1827872842550278E-11</v>
      </c>
      <c r="L31" s="3885">
        <f t="shared" ref="L31:L33" si="33">IF(K31="NA","NA",K31/I31*100)</f>
        <v>3.3351403744444803E-14</v>
      </c>
      <c r="M31" s="3886">
        <f>IF(K31="NA","NA",K31/Table8s2!$G$35*100)</f>
        <v>4.6590421200786712E-15</v>
      </c>
      <c r="N31" s="3887">
        <f>IF(K31="NA","NA",K31/Table8s2!$G$34*100)</f>
        <v>4.2772800615897858E-15</v>
      </c>
      <c r="O31" s="3888"/>
      <c r="P31" s="3889"/>
      <c r="Q31" s="3870"/>
      <c r="R31" s="3890"/>
      <c r="S31" s="3891"/>
      <c r="T31" s="3892"/>
    </row>
    <row r="32" spans="2:20" ht="18" customHeight="1" x14ac:dyDescent="0.2">
      <c r="B32" s="606" t="s">
        <v>1939</v>
      </c>
      <c r="C32" s="3893"/>
      <c r="D32" s="3893"/>
      <c r="E32" s="3894"/>
      <c r="F32" s="3894"/>
      <c r="G32" s="3871"/>
      <c r="H32" s="3872"/>
      <c r="I32" s="3848">
        <v>6307.403259925004</v>
      </c>
      <c r="J32" s="3849">
        <f>Summary2!D33</f>
        <v>6295.6583962440145</v>
      </c>
      <c r="K32" s="3895">
        <f t="shared" si="32"/>
        <v>-11.744863680989511</v>
      </c>
      <c r="L32" s="3895">
        <f t="shared" si="33"/>
        <v>-0.18620759125410921</v>
      </c>
      <c r="M32" s="3886">
        <f>IF(K32="NA","NA",K32/Table8s2!$G$35*100)</f>
        <v>-2.506878016883258E-3</v>
      </c>
      <c r="N32" s="3887">
        <f>IF(K32="NA","NA",K32/Table8s2!$G$34*100)</f>
        <v>-2.3014643529926794E-3</v>
      </c>
      <c r="O32" s="3850">
        <v>251.22144755975319</v>
      </c>
      <c r="P32" s="3849">
        <f>Summary2!E33</f>
        <v>297.7971315446473</v>
      </c>
      <c r="Q32" s="3895">
        <f t="shared" ref="Q32" si="34">IF(P32="NO",IF(O32="NO","NA",-O32),IF(O32="NO",P32,P32-O32))</f>
        <v>46.575683984894113</v>
      </c>
      <c r="R32" s="3896">
        <f t="shared" ref="R32" si="35">IF(Q32="NA","NA",Q32/O32*100)</f>
        <v>18.539692545086563</v>
      </c>
      <c r="S32" s="3897">
        <f>IF(Q32="NA","NA",Q32/Table8s2!$G$35*100)</f>
        <v>9.9413293737944542E-3</v>
      </c>
      <c r="T32" s="3898">
        <f>IF(Q32="NA","NA",Q32/Table8s2!$G$34*100)</f>
        <v>9.1267365308794132E-3</v>
      </c>
    </row>
    <row r="33" spans="2:21" ht="18" customHeight="1" x14ac:dyDescent="0.2">
      <c r="B33" s="606" t="s">
        <v>1940</v>
      </c>
      <c r="C33" s="3893"/>
      <c r="D33" s="3893"/>
      <c r="E33" s="3894"/>
      <c r="F33" s="3894"/>
      <c r="G33" s="3899"/>
      <c r="H33" s="3900"/>
      <c r="I33" s="3850">
        <v>771.72499204224096</v>
      </c>
      <c r="J33" s="3849">
        <f>Summary2!D34</f>
        <v>771.72499204224096</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11151.690492307842</v>
      </c>
      <c r="P34" s="3849">
        <f>Summary2!E35</f>
        <v>9801.1899016764146</v>
      </c>
      <c r="Q34" s="3895">
        <f t="shared" ref="Q34" si="36">IF(P34="NO",IF(O34="NO","NA",-O34),IF(O34="NO",P34,P34-O34))</f>
        <v>-1350.5005906314273</v>
      </c>
      <c r="R34" s="3896">
        <f t="shared" ref="R34" si="37">IF(Q34="NA","NA",Q34/O34*100)</f>
        <v>-12.110276837067607</v>
      </c>
      <c r="S34" s="3897">
        <f>IF(Q34="NA","NA",Q34/Table8s2!$G$35*100)</f>
        <v>-0.28825709130380878</v>
      </c>
      <c r="T34" s="3898">
        <f>IF(Q34="NA","NA",Q34/Table8s2!$G$34*100)</f>
        <v>-0.26463729613692094</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443.07875456634491</v>
      </c>
      <c r="J36" s="3849">
        <f>Summary2!D37</f>
        <v>443.07875456634497</v>
      </c>
      <c r="K36" s="3895">
        <f t="shared" ref="K36" si="38">IF(J36="NO",IF(I36="NO","NA",-I36),IF(I36="NO",J36,J36-I36))</f>
        <v>5.6843418860808015E-14</v>
      </c>
      <c r="L36" s="3895">
        <f t="shared" ref="L36" si="39">IF(K36="NA","NA",K36/I36*100)</f>
        <v>1.2829190809756259E-14</v>
      </c>
      <c r="M36" s="3886">
        <f>IF(K36="NA","NA",K36/Table8s2!$G$35*100)</f>
        <v>1.2132922187704874E-17</v>
      </c>
      <c r="N36" s="3887">
        <f>IF(K36="NA","NA",K36/Table8s2!$G$34*100)</f>
        <v>1.1138750160390066E-17</v>
      </c>
      <c r="O36" s="3850">
        <v>170.60786120001367</v>
      </c>
      <c r="P36" s="3849">
        <f>Summary2!E37</f>
        <v>170.6078612000137</v>
      </c>
      <c r="Q36" s="3895">
        <f t="shared" ref="Q36" si="40">IF(P36="NO",IF(O36="NO","NA",-O36),IF(O36="NO",P36,P36-O36))</f>
        <v>2.8421709430404007E-14</v>
      </c>
      <c r="R36" s="3896">
        <f t="shared" ref="R36" si="41">IF(Q36="NA","NA",Q36/O36*100)</f>
        <v>1.6659085478531121E-14</v>
      </c>
      <c r="S36" s="3897">
        <f>IF(Q36="NA","NA",Q36/Table8s2!$G$35*100)</f>
        <v>6.0664610938524372E-18</v>
      </c>
      <c r="T36" s="3898">
        <f>IF(Q36="NA","NA",Q36/Table8s2!$G$34*100)</f>
        <v>5.5693750801950331E-18</v>
      </c>
    </row>
    <row r="37" spans="2:21" ht="18" customHeight="1" x14ac:dyDescent="0.2">
      <c r="B37" s="606" t="s">
        <v>955</v>
      </c>
      <c r="C37" s="3849">
        <v>485.71530671337609</v>
      </c>
      <c r="D37" s="3849">
        <f>Summary2!C38</f>
        <v>485.71530671337609</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667.97101449275374</v>
      </c>
      <c r="D38" s="3849">
        <f>Summary2!C39</f>
        <v>667.97101449275374</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31870.404873711708</v>
      </c>
      <c r="D41" s="3841">
        <f>Summary2!C42</f>
        <v>20070.184448754575</v>
      </c>
      <c r="E41" s="3931">
        <f t="shared" ref="E41" si="42">IF(D41="NO",IF(C41="NO","NA",-C41),IF(C41="NO",D41,D41-C41))</f>
        <v>-11800.220424957133</v>
      </c>
      <c r="F41" s="3931">
        <f t="shared" ref="F41" si="43">IF(E41="NA","NA",E41/C41*100)</f>
        <v>-37.025637018783343</v>
      </c>
      <c r="G41" s="3871"/>
      <c r="H41" s="3931">
        <f>IF(E41="NA","NA",E41/Table8s2!$G$34*100)</f>
        <v>-2.3123117818262249</v>
      </c>
      <c r="I41" s="3848">
        <f>SUM(I42:I49)</f>
        <v>17320.97689421643</v>
      </c>
      <c r="J41" s="3841">
        <f>Summary2!D42</f>
        <v>17917.112497336329</v>
      </c>
      <c r="K41" s="3931">
        <f t="shared" ref="K41:K46" si="44">IF(J41="NO",IF(I41="NO","NA",-I41),IF(I41="NO",J41,J41-I41))</f>
        <v>596.13560311989932</v>
      </c>
      <c r="L41" s="3931">
        <f t="shared" ref="L41:L46" si="45">IF(K41="NA","NA",K41/I41*100)</f>
        <v>3.4416973520642031</v>
      </c>
      <c r="M41" s="3891"/>
      <c r="N41" s="3932">
        <f>IF(K41="NA","NA",K41/Table8s2!$G$34*100)</f>
        <v>0.11681573131844551</v>
      </c>
      <c r="O41" s="3848">
        <f>SUM(O42:O49)</f>
        <v>3823.2704374245664</v>
      </c>
      <c r="P41" s="3841">
        <f>Summary2!E42</f>
        <v>3828.4496139269791</v>
      </c>
      <c r="Q41" s="3931">
        <f t="shared" ref="Q41" si="46">IF(P41="NO",IF(O41="NO","NA",-O41),IF(O41="NO",P41,P41-O41))</f>
        <v>5.1791765024127017</v>
      </c>
      <c r="R41" s="3931">
        <f t="shared" ref="R41" si="47">IF(Q41="NA","NA",Q41/O41*100)</f>
        <v>0.13546456069954343</v>
      </c>
      <c r="S41" s="3891"/>
      <c r="T41" s="3932">
        <f>IF(Q41="NA","NA",Q41/Table8s2!$G$34*100)</f>
        <v>1.0148853509005476E-3</v>
      </c>
      <c r="U41" s="721"/>
    </row>
    <row r="42" spans="2:21" ht="18" customHeight="1" x14ac:dyDescent="0.2">
      <c r="B42" s="606" t="s">
        <v>1252</v>
      </c>
      <c r="C42" s="3849">
        <v>-42869.555552519778</v>
      </c>
      <c r="D42" s="3849">
        <f>Summary2!C43</f>
        <v>-41260.607239294819</v>
      </c>
      <c r="E42" s="3933">
        <f t="shared" ref="E42:E50" si="48">IF(D42="NO",IF(C42="NO","NA",-C42),IF(C42="NO",D42,D42-C42))</f>
        <v>1608.9483132249588</v>
      </c>
      <c r="F42" s="3933">
        <f t="shared" ref="F42:F50" si="49">IF(E42="NA","NA",E42/C42*100)</f>
        <v>-3.753125714713383</v>
      </c>
      <c r="G42" s="3891"/>
      <c r="H42" s="3933">
        <f>IF(E42="NA","NA",E42/Table8s2!$G$34*100)</f>
        <v>0.31528141060407505</v>
      </c>
      <c r="I42" s="3850">
        <v>5730.9921139539056</v>
      </c>
      <c r="J42" s="3849">
        <f>Summary2!D43</f>
        <v>6032.8988861093167</v>
      </c>
      <c r="K42" s="3933">
        <f t="shared" si="44"/>
        <v>301.90677215541109</v>
      </c>
      <c r="L42" s="3933">
        <f t="shared" si="45"/>
        <v>5.2679669794052577</v>
      </c>
      <c r="M42" s="3891"/>
      <c r="N42" s="3934">
        <f>IF(K42="NA","NA",K42/Table8s2!$G$34*100)</f>
        <v>5.9160131008367894E-2</v>
      </c>
      <c r="O42" s="3850">
        <v>1106.5855345864829</v>
      </c>
      <c r="P42" s="3849">
        <f>Summary2!E43</f>
        <v>1220.8685852562139</v>
      </c>
      <c r="Q42" s="3933">
        <f t="shared" ref="Q42:Q46" si="50">IF(P42="NO",IF(O42="NO","NA",-O42),IF(O42="NO",P42,P42-O42))</f>
        <v>114.28305066973098</v>
      </c>
      <c r="R42" s="3933">
        <f t="shared" ref="R42:R46" si="51">IF(Q42="NA","NA",Q42/O42*100)</f>
        <v>10.32753882079591</v>
      </c>
      <c r="S42" s="3891"/>
      <c r="T42" s="3934">
        <f>IF(Q42="NA","NA",Q42/Table8s2!$G$34*100)</f>
        <v>2.2394331208234388E-2</v>
      </c>
      <c r="U42" s="721"/>
    </row>
    <row r="43" spans="2:21" ht="18" customHeight="1" x14ac:dyDescent="0.2">
      <c r="B43" s="606" t="s">
        <v>1255</v>
      </c>
      <c r="C43" s="3849">
        <v>11692.606559187818</v>
      </c>
      <c r="D43" s="3849">
        <f>Summary2!C44</f>
        <v>7370.6323877009927</v>
      </c>
      <c r="E43" s="3933">
        <f t="shared" si="48"/>
        <v>-4321.9741714868251</v>
      </c>
      <c r="F43" s="3933">
        <f t="shared" si="49"/>
        <v>-36.963307963960382</v>
      </c>
      <c r="G43" s="3891"/>
      <c r="H43" s="3933">
        <f>IF(E43="NA","NA",E43/Table8s2!$G$34*100)</f>
        <v>-0.84691229803988388</v>
      </c>
      <c r="I43" s="3850">
        <v>159.8996448</v>
      </c>
      <c r="J43" s="3849">
        <f>Summary2!D44</f>
        <v>159.12160308506935</v>
      </c>
      <c r="K43" s="3933">
        <f t="shared" si="44"/>
        <v>-0.77804171493065155</v>
      </c>
      <c r="L43" s="3933">
        <f t="shared" si="45"/>
        <v>-0.4865812653328993</v>
      </c>
      <c r="M43" s="3891"/>
      <c r="N43" s="3934">
        <f>IF(K43="NA","NA",K43/Table8s2!$G$34*100)</f>
        <v>-1.5246113711413675E-4</v>
      </c>
      <c r="O43" s="3850">
        <v>58.296406143327438</v>
      </c>
      <c r="P43" s="3849">
        <f>Summary2!E44</f>
        <v>50.750912804745191</v>
      </c>
      <c r="Q43" s="3933">
        <f t="shared" si="50"/>
        <v>-7.5454933385822471</v>
      </c>
      <c r="R43" s="3933">
        <f t="shared" si="51"/>
        <v>-12.943325048255824</v>
      </c>
      <c r="S43" s="3891"/>
      <c r="T43" s="3934">
        <f>IF(Q43="NA","NA",Q43/Table8s2!$G$34*100)</f>
        <v>-1.4785768840041313E-3</v>
      </c>
      <c r="U43" s="721"/>
    </row>
    <row r="44" spans="2:21" ht="18" customHeight="1" x14ac:dyDescent="0.2">
      <c r="B44" s="606" t="s">
        <v>1258</v>
      </c>
      <c r="C44" s="3849">
        <v>62716.360721619712</v>
      </c>
      <c r="D44" s="3849">
        <f>Summary2!C45</f>
        <v>53306.60912101654</v>
      </c>
      <c r="E44" s="3933">
        <f t="shared" si="48"/>
        <v>-9409.7516006031728</v>
      </c>
      <c r="F44" s="3933">
        <f t="shared" si="49"/>
        <v>-15.003663306247017</v>
      </c>
      <c r="G44" s="3891"/>
      <c r="H44" s="3933">
        <f>IF(E44="NA","NA",E44/Table8s2!$G$34*100)</f>
        <v>-1.8438875467202922</v>
      </c>
      <c r="I44" s="3850">
        <v>8827.8932731052846</v>
      </c>
      <c r="J44" s="3849">
        <f>Summary2!D45</f>
        <v>9288.9120189444038</v>
      </c>
      <c r="K44" s="3933">
        <f t="shared" si="44"/>
        <v>461.01874583911922</v>
      </c>
      <c r="L44" s="3933">
        <f t="shared" si="45"/>
        <v>5.2222963234460584</v>
      </c>
      <c r="M44" s="3891"/>
      <c r="N44" s="3934">
        <f>IF(K44="NA","NA",K44/Table8s2!$G$34*100)</f>
        <v>9.0338912262345958E-2</v>
      </c>
      <c r="O44" s="3850">
        <v>2546.2370325093757</v>
      </c>
      <c r="P44" s="3849">
        <f>Summary2!E45</f>
        <v>2438.1121316599965</v>
      </c>
      <c r="Q44" s="3933">
        <f t="shared" si="50"/>
        <v>-108.12490084937917</v>
      </c>
      <c r="R44" s="3933">
        <f t="shared" si="51"/>
        <v>-4.2464585766714569</v>
      </c>
      <c r="S44" s="3891"/>
      <c r="T44" s="3934">
        <f>IF(Q44="NA","NA",Q44/Table8s2!$G$34*100)</f>
        <v>-2.1187611174959903E-2</v>
      </c>
      <c r="U44" s="721"/>
    </row>
    <row r="45" spans="2:21" ht="18" customHeight="1" x14ac:dyDescent="0.2">
      <c r="B45" s="606" t="s">
        <v>1984</v>
      </c>
      <c r="C45" s="3849">
        <v>1326.3293190950926</v>
      </c>
      <c r="D45" s="3849">
        <f>Summary2!C46</f>
        <v>1451.8113940927544</v>
      </c>
      <c r="E45" s="3933">
        <f t="shared" si="48"/>
        <v>125.48207499766181</v>
      </c>
      <c r="F45" s="3933">
        <f t="shared" si="49"/>
        <v>9.4608535897610846</v>
      </c>
      <c r="G45" s="3891"/>
      <c r="H45" s="3933">
        <f>IF(E45="NA","NA",E45/Table8s2!$G$34*100)</f>
        <v>2.4588835629835225E-2</v>
      </c>
      <c r="I45" s="3850">
        <v>2501.0168863572417</v>
      </c>
      <c r="J45" s="3849">
        <f>Summary2!D46</f>
        <v>2334.688430149783</v>
      </c>
      <c r="K45" s="3933">
        <f t="shared" si="44"/>
        <v>-166.32845620745866</v>
      </c>
      <c r="L45" s="3933">
        <f t="shared" si="45"/>
        <v>-6.650433154400563</v>
      </c>
      <c r="M45" s="3891"/>
      <c r="N45" s="3934">
        <f>IF(K45="NA","NA",K45/Table8s2!$G$34*100)</f>
        <v>-3.2592886835236472E-2</v>
      </c>
      <c r="O45" s="3850">
        <v>78.08453737301447</v>
      </c>
      <c r="P45" s="3849">
        <f>Summary2!E46</f>
        <v>87.955773841717004</v>
      </c>
      <c r="Q45" s="3933">
        <f t="shared" si="50"/>
        <v>9.8712364687025342</v>
      </c>
      <c r="R45" s="3933">
        <f t="shared" si="51"/>
        <v>12.641730105343457</v>
      </c>
      <c r="S45" s="3891"/>
      <c r="T45" s="3934">
        <f>IF(Q45="NA","NA",Q45/Table8s2!$G$34*100)</f>
        <v>1.9343177979538873E-3</v>
      </c>
      <c r="U45" s="721"/>
    </row>
    <row r="46" spans="2:21" ht="18" customHeight="1" x14ac:dyDescent="0.2">
      <c r="B46" s="606" t="s">
        <v>1985</v>
      </c>
      <c r="C46" s="3849">
        <v>5336.3033428056888</v>
      </c>
      <c r="D46" s="3849">
        <f>Summary2!C47</f>
        <v>5552.4542556861061</v>
      </c>
      <c r="E46" s="3933">
        <f t="shared" si="48"/>
        <v>216.15091288041731</v>
      </c>
      <c r="F46" s="3933">
        <f t="shared" si="49"/>
        <v>4.050573945947586</v>
      </c>
      <c r="G46" s="3891"/>
      <c r="H46" s="3933">
        <f>IF(E46="NA","NA",E46/Table8s2!$G$34*100)</f>
        <v>4.2355844594970646E-2</v>
      </c>
      <c r="I46" s="3850">
        <v>101.17497599999999</v>
      </c>
      <c r="J46" s="3849">
        <f>Summary2!D47</f>
        <v>101.49155904775682</v>
      </c>
      <c r="K46" s="3933">
        <f t="shared" si="44"/>
        <v>0.31658304775683632</v>
      </c>
      <c r="L46" s="3933">
        <f t="shared" si="45"/>
        <v>0.31290647181061487</v>
      </c>
      <c r="M46" s="3891"/>
      <c r="N46" s="3934">
        <f>IF(K46="NA","NA",K46/Table8s2!$G$34*100)</f>
        <v>6.2036020081993198E-5</v>
      </c>
      <c r="O46" s="3850">
        <v>24.31768016236607</v>
      </c>
      <c r="P46" s="3849">
        <f>Summary2!E47</f>
        <v>21.012963714306402</v>
      </c>
      <c r="Q46" s="3933">
        <f t="shared" si="50"/>
        <v>-3.3047164480596685</v>
      </c>
      <c r="R46" s="3933">
        <f t="shared" si="51"/>
        <v>-13.589768538752445</v>
      </c>
      <c r="S46" s="3891"/>
      <c r="T46" s="3934">
        <f>IF(Q46="NA","NA",Q46/Table8s2!$G$34*100)</f>
        <v>-6.4757559632374782E-4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-6332.1664108200366</v>
      </c>
      <c r="D48" s="3849">
        <f>Summary2!C49</f>
        <v>-6351.2423647902106</v>
      </c>
      <c r="E48" s="3933">
        <f t="shared" si="48"/>
        <v>-19.075953970173941</v>
      </c>
      <c r="F48" s="3933">
        <f t="shared" si="49"/>
        <v>0.30125477968453362</v>
      </c>
      <c r="G48" s="3891"/>
      <c r="H48" s="3933">
        <f>IF(E48="NA","NA",E48/Table8s2!$G$34*100)</f>
        <v>-3.738027894929614E-3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v>0.52689434321333339</v>
      </c>
      <c r="D49" s="3857">
        <f>Summary2!C50</f>
        <v>0.52689434321333339</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9.7492466500000017</v>
      </c>
      <c r="P49" s="3857">
        <f>Summary2!E50</f>
        <v>9.7492466500000017</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28.498582921678484</v>
      </c>
      <c r="D50" s="3841">
        <f>Summary2!C51</f>
        <v>28.498582921678484</v>
      </c>
      <c r="E50" s="3841">
        <f t="shared" si="48"/>
        <v>0</v>
      </c>
      <c r="F50" s="3841">
        <f t="shared" si="49"/>
        <v>0</v>
      </c>
      <c r="G50" s="3846">
        <f>IF(E50="NA","NA",E50/Table8s2!$G$35*100)</f>
        <v>0</v>
      </c>
      <c r="H50" s="3847">
        <f>IF(E50="NA","NA",E50/Table8s2!$G$34*100)</f>
        <v>0</v>
      </c>
      <c r="I50" s="3841">
        <f>SUM(I51:I55)</f>
        <v>19704.761265546425</v>
      </c>
      <c r="J50" s="3841">
        <f>Summary2!D51</f>
        <v>19690.377308336749</v>
      </c>
      <c r="K50" s="3841">
        <f t="shared" ref="K50" si="54">IF(J50="NO",IF(I50="NO","NA",-I50),IF(I50="NO",J50,J50-I50))</f>
        <v>-14.383957209676737</v>
      </c>
      <c r="L50" s="3841">
        <f t="shared" ref="L50" si="55">IF(K50="NA","NA",K50/I50*100)</f>
        <v>-7.2997368584347883E-2</v>
      </c>
      <c r="M50" s="3846">
        <f>IF(K50="NA","NA",K50/Table8s2!$G$35*100)</f>
        <v>-3.0701783438400946E-3</v>
      </c>
      <c r="N50" s="3847">
        <f>IF(K50="NA","NA",K50/Table8s2!$G$34*100)</f>
        <v>-2.8186078333651645E-3</v>
      </c>
      <c r="O50" s="3841">
        <f>SUM(O51:O55)</f>
        <v>193.13303209914568</v>
      </c>
      <c r="P50" s="3841">
        <f>Summary2!E51</f>
        <v>193.13303209914565</v>
      </c>
      <c r="Q50" s="3841">
        <f t="shared" si="52"/>
        <v>-2.8421709430404007E-14</v>
      </c>
      <c r="R50" s="3841">
        <f t="shared" si="53"/>
        <v>-1.4716130700942757E-14</v>
      </c>
      <c r="S50" s="3846">
        <f>IF(Q50="NA","NA",Q50/Table8s2!$G$35*100)</f>
        <v>-6.0664610938524372E-18</v>
      </c>
      <c r="T50" s="3847">
        <f>IF(Q50="NA","NA",Q50/Table8s2!$G$34*100)</f>
        <v>-5.5693750801950331E-18</v>
      </c>
    </row>
    <row r="51" spans="2:21" ht="18" customHeight="1" x14ac:dyDescent="0.2">
      <c r="B51" s="606" t="s">
        <v>1989</v>
      </c>
      <c r="C51" s="3920"/>
      <c r="D51" s="3920"/>
      <c r="E51" s="3890"/>
      <c r="F51" s="3905"/>
      <c r="G51" s="3906"/>
      <c r="H51" s="3907"/>
      <c r="I51" s="3841">
        <v>14603.257344494617</v>
      </c>
      <c r="J51" s="3841">
        <f>Summary2!D52</f>
        <v>14588.873387284935</v>
      </c>
      <c r="K51" s="3841">
        <f t="shared" ref="K51:K52" si="56">IF(J51="NO",IF(I51="NO","NA",-I51),IF(I51="NO",J51,J51-I51))</f>
        <v>-14.383957209682194</v>
      </c>
      <c r="L51" s="3841">
        <f t="shared" ref="L51:L52" si="57">IF(K51="NA","NA",K51/I51*100)</f>
        <v>-9.8498279324680263E-2</v>
      </c>
      <c r="M51" s="3846">
        <f>IF(K51="NA","NA",K51/Table8s2!$G$35*100)</f>
        <v>-3.0701783438412595E-3</v>
      </c>
      <c r="N51" s="3847">
        <f>IF(K51="NA","NA",K51/Table8s2!$G$34*100)</f>
        <v>-2.818607833366234E-3</v>
      </c>
      <c r="O51" s="3888"/>
      <c r="P51" s="3889"/>
      <c r="Q51" s="3942"/>
      <c r="R51" s="3943"/>
      <c r="S51" s="3944"/>
      <c r="T51" s="3945"/>
    </row>
    <row r="52" spans="2:21" ht="18" customHeight="1" x14ac:dyDescent="0.2">
      <c r="B52" s="1395" t="s">
        <v>1990</v>
      </c>
      <c r="C52" s="3920"/>
      <c r="D52" s="3920"/>
      <c r="E52" s="3890"/>
      <c r="F52" s="3905"/>
      <c r="G52" s="3906"/>
      <c r="H52" s="3907"/>
      <c r="I52" s="3851">
        <v>35.843025593983867</v>
      </c>
      <c r="J52" s="3849">
        <f>Summary2!D53</f>
        <v>35.843025593983867</v>
      </c>
      <c r="K52" s="3841">
        <f t="shared" si="56"/>
        <v>0</v>
      </c>
      <c r="L52" s="3841">
        <f t="shared" si="57"/>
        <v>0</v>
      </c>
      <c r="M52" s="3846">
        <f>IF(K52="NA","NA",K52/Table8s2!$G$35*100)</f>
        <v>0</v>
      </c>
      <c r="N52" s="3847">
        <f>IF(K52="NA","NA",K52/Table8s2!$G$34*100)</f>
        <v>0</v>
      </c>
      <c r="O52" s="3841">
        <v>43.421265290997603</v>
      </c>
      <c r="P52" s="3841">
        <f>Summary2!E53</f>
        <v>43.421265290997596</v>
      </c>
      <c r="Q52" s="3841">
        <f t="shared" ref="Q52" si="58">IF(P52="NO",IF(O52="NO","NA",-O52),IF(O52="NO",P52,P52-O52))</f>
        <v>-7.1054273576010019E-15</v>
      </c>
      <c r="R52" s="3841">
        <f t="shared" ref="R52" si="59">IF(Q52="NA","NA",Q52/O52*100)</f>
        <v>-1.6363934376353027E-14</v>
      </c>
      <c r="S52" s="3846">
        <f>IF(Q52="NA","NA",Q52/Table8s2!$G$35*100)</f>
        <v>-1.5166152734631093E-18</v>
      </c>
      <c r="T52" s="3847">
        <f>IF(Q52="NA","NA",Q52/Table8s2!$G$34*100)</f>
        <v>-1.3923437700487583E-18</v>
      </c>
    </row>
    <row r="53" spans="2:21" ht="18" customHeight="1" x14ac:dyDescent="0.2">
      <c r="B53" s="1396" t="s">
        <v>1991</v>
      </c>
      <c r="C53" s="3841">
        <v>28.498582921678484</v>
      </c>
      <c r="D53" s="3841">
        <f>Summary2!C54</f>
        <v>28.498582921678484</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5065.660895457826</v>
      </c>
      <c r="J54" s="3849">
        <f>Summary2!D55</f>
        <v>5065.6608954578269</v>
      </c>
      <c r="K54" s="3841">
        <f t="shared" ref="K54" si="62">IF(J54="NO",IF(I54="NO","NA",-I54),IF(I54="NO",J54,J54-I54))</f>
        <v>9.0949470177292824E-13</v>
      </c>
      <c r="L54" s="3841">
        <f t="shared" ref="L54" si="63">IF(K54="NA","NA",K54/I54*100)</f>
        <v>1.7954117350974591E-14</v>
      </c>
      <c r="M54" s="3846">
        <f>IF(K54="NA","NA",K54/Table8s2!$G$35*100)</f>
        <v>1.9412675500327799E-16</v>
      </c>
      <c r="N54" s="3847">
        <f>IF(K54="NA","NA",K54/Table8s2!$G$34*100)</f>
        <v>1.7822000256624106E-16</v>
      </c>
      <c r="O54" s="3841">
        <v>149.71176680814807</v>
      </c>
      <c r="P54" s="3841">
        <f>Summary2!E55</f>
        <v>149.71176680814807</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9141.9429999999993</v>
      </c>
      <c r="D59" s="3849">
        <f>Summary2!C60</f>
        <v>9141.9429999999993</v>
      </c>
      <c r="E59" s="3863">
        <f t="shared" ref="E59" si="66">IF(D59="NO",IF(C59="NO","NA",-C59),IF(C59="NO",D59,D59-C59))</f>
        <v>0</v>
      </c>
      <c r="F59" s="3863">
        <f t="shared" ref="F59" si="67">IF(E59="NA","NA",E59/C59*100)</f>
        <v>0</v>
      </c>
      <c r="G59" s="3864">
        <f>IF(E59="NA","NA",E59/Table8s2!$G$35*100)</f>
        <v>0</v>
      </c>
      <c r="H59" s="3865">
        <f>IF(E59="NA","NA",E59/Table8s2!$G$34*100)</f>
        <v>0</v>
      </c>
      <c r="I59" s="3849">
        <v>7.172432259999999</v>
      </c>
      <c r="J59" s="3849">
        <f>Summary2!D60</f>
        <v>7.172432259999999</v>
      </c>
      <c r="K59" s="3863">
        <f t="shared" ref="K59:K61" si="68">IF(J59="NO",IF(I59="NO","NA",-I59),IF(I59="NO",J59,J59-I59))</f>
        <v>0</v>
      </c>
      <c r="L59" s="3863">
        <f t="shared" ref="L59:L61" si="69">IF(K59="NA","NA",K59/I59*100)</f>
        <v>0</v>
      </c>
      <c r="M59" s="3864">
        <f>IF(K59="NA","NA",K59/Table8s2!$G$35*100)</f>
        <v>0</v>
      </c>
      <c r="N59" s="3865">
        <f>IF(K59="NA","NA",K59/Table8s2!$G$34*100)</f>
        <v>0</v>
      </c>
      <c r="O59" s="3850">
        <v>27.654693535803048</v>
      </c>
      <c r="P59" s="3849">
        <f>Summary2!E60</f>
        <v>27.654693535802629</v>
      </c>
      <c r="Q59" s="3863">
        <f t="shared" ref="Q59" si="70">IF(P59="NO",IF(O59="NO","NA",-O59),IF(O59="NO",P59,P59-O59))</f>
        <v>-4.1922021409845911E-13</v>
      </c>
      <c r="R59" s="3968">
        <f t="shared" ref="R59" si="71">IF(Q59="NA","NA",Q59/O59*100)</f>
        <v>-1.5159098167394883E-12</v>
      </c>
      <c r="S59" s="3969">
        <f>IF(Q59="NA","NA",Q59/Table8s2!$G$35*100)</f>
        <v>-8.9480301134323443E-17</v>
      </c>
      <c r="T59" s="3970">
        <f>IF(Q59="NA","NA",Q59/Table8s2!$G$34*100)</f>
        <v>-8.214828243287674E-17</v>
      </c>
    </row>
    <row r="60" spans="2:21" ht="18" customHeight="1" x14ac:dyDescent="0.2">
      <c r="B60" s="1409" t="s">
        <v>218</v>
      </c>
      <c r="C60" s="3849">
        <v>6595.9920000000002</v>
      </c>
      <c r="D60" s="3849">
        <f>Summary2!C61</f>
        <v>6595.9919999999984</v>
      </c>
      <c r="E60" s="3863">
        <f t="shared" ref="E60:E61" si="72">IF(D60="NO",IF(C60="NO","NA",-C60),IF(C60="NO",D60,D60-C60))</f>
        <v>-1.8189894035458565E-12</v>
      </c>
      <c r="F60" s="3863">
        <f t="shared" ref="F60:F61" si="73">IF(E60="NA","NA",E60/C60*100)</f>
        <v>-2.7577192385100776E-14</v>
      </c>
      <c r="G60" s="3864">
        <f>IF(E60="NA","NA",E60/Table8s2!$G$35*100)</f>
        <v>-3.8825351000655598E-16</v>
      </c>
      <c r="H60" s="3865">
        <f>IF(E60="NA","NA",E60/Table8s2!$G$34*100)</f>
        <v>-3.5644000513248212E-16</v>
      </c>
      <c r="I60" s="3849">
        <v>0.32811225999999999</v>
      </c>
      <c r="J60" s="3849">
        <f>Summary2!D61</f>
        <v>0.32811225999999999</v>
      </c>
      <c r="K60" s="3863">
        <f t="shared" si="68"/>
        <v>0</v>
      </c>
      <c r="L60" s="3863">
        <f t="shared" si="69"/>
        <v>0</v>
      </c>
      <c r="M60" s="3864">
        <f>IF(K60="NA","NA",K60/Table8s2!$G$35*100)</f>
        <v>0</v>
      </c>
      <c r="N60" s="3865">
        <f>IF(K60="NA","NA",K60/Table8s2!$G$34*100)</f>
        <v>0</v>
      </c>
      <c r="O60" s="3850">
        <v>9.1470935358030498</v>
      </c>
      <c r="P60" s="3849">
        <f>Summary2!E61</f>
        <v>9.1470935358026306</v>
      </c>
      <c r="Q60" s="3863">
        <f t="shared" ref="Q60:Q61" si="74">IF(P60="NO",IF(O60="NO","NA",-O60),IF(O60="NO",P60,P60-O60))</f>
        <v>-4.1922021409845911E-13</v>
      </c>
      <c r="R60" s="3968">
        <f t="shared" ref="R60:R61" si="75">IF(Q60="NA","NA",Q60/O60*100)</f>
        <v>-4.5830974883723495E-12</v>
      </c>
      <c r="S60" s="3969">
        <f>IF(Q60="NA","NA",Q60/Table8s2!$G$35*100)</f>
        <v>-8.9480301134323443E-17</v>
      </c>
      <c r="T60" s="3970">
        <f>IF(Q60="NA","NA",Q60/Table8s2!$G$34*100)</f>
        <v>-8.214828243287674E-17</v>
      </c>
    </row>
    <row r="61" spans="2:21" ht="18" customHeight="1" x14ac:dyDescent="0.2">
      <c r="B61" s="1410" t="s">
        <v>1963</v>
      </c>
      <c r="C61" s="3849">
        <v>2545.951</v>
      </c>
      <c r="D61" s="3849">
        <f>Summary2!C62</f>
        <v>2545.951</v>
      </c>
      <c r="E61" s="3863">
        <f t="shared" si="72"/>
        <v>0</v>
      </c>
      <c r="F61" s="3863">
        <f t="shared" si="73"/>
        <v>0</v>
      </c>
      <c r="G61" s="3864">
        <f>IF(E61="NA","NA",E61/Table8s2!$G$35*100)</f>
        <v>0</v>
      </c>
      <c r="H61" s="3865">
        <f>IF(E61="NA","NA",E61/Table8s2!$G$34*100)</f>
        <v>0</v>
      </c>
      <c r="I61" s="3849">
        <v>6.8443199999999997</v>
      </c>
      <c r="J61" s="3849">
        <f>Summary2!D62</f>
        <v>6.8443199999999997</v>
      </c>
      <c r="K61" s="3863">
        <f t="shared" si="68"/>
        <v>0</v>
      </c>
      <c r="L61" s="3863">
        <f t="shared" si="69"/>
        <v>0</v>
      </c>
      <c r="M61" s="3864">
        <f>IF(K61="NA","NA",K61/Table8s2!$G$35*100)</f>
        <v>0</v>
      </c>
      <c r="N61" s="3865">
        <f>IF(K61="NA","NA",K61/Table8s2!$G$34*100)</f>
        <v>0</v>
      </c>
      <c r="O61" s="3850">
        <v>18.5076</v>
      </c>
      <c r="P61" s="3849">
        <f>Summary2!E62</f>
        <v>18.5076</v>
      </c>
      <c r="Q61" s="3863">
        <f t="shared" si="74"/>
        <v>0</v>
      </c>
      <c r="R61" s="3968">
        <f t="shared" si="75"/>
        <v>0</v>
      </c>
      <c r="S61" s="3969">
        <f>IF(Q61="NA","NA",Q61/Table8s2!$G$35*100)</f>
        <v>0</v>
      </c>
      <c r="T61" s="3970">
        <f>IF(Q61="NA","NA",Q61/Table8s2!$G$34*100)</f>
        <v>0</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19020.636109999999</v>
      </c>
      <c r="D63" s="3849">
        <f>Summary2!C64</f>
        <v>19020.636109999999</v>
      </c>
      <c r="E63" s="3863">
        <f t="shared" ref="E63:E65" si="76">IF(D63="NO",IF(C63="NO","NA",-C63),IF(C63="NO",D63,D63-C63))</f>
        <v>0</v>
      </c>
      <c r="F63" s="3863">
        <f t="shared" ref="F63:F65" si="77">IF(E63="NA","NA",E63/C63*100)</f>
        <v>0</v>
      </c>
      <c r="G63" s="3864">
        <f>IF(E63="NA","NA",E63/Table8s2!$G$35*100)</f>
        <v>0</v>
      </c>
      <c r="H63" s="3865">
        <f>IF(E63="NA","NA",E63/Table8s2!$G$34*100)</f>
        <v>0</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216653.94903879854</v>
      </c>
      <c r="D65" s="3851">
        <f>Summary2!C66</f>
        <v>216505.66544917307</v>
      </c>
      <c r="E65" s="3979">
        <f t="shared" si="76"/>
        <v>-148.28358962546918</v>
      </c>
      <c r="F65" s="3986">
        <f t="shared" si="77"/>
        <v>-6.844259718474574E-2</v>
      </c>
      <c r="G65" s="3987">
        <f>IF(E65="NA","NA",E65/Table8s2!$G$35*100)</f>
        <v>-3.1650335090590738E-2</v>
      </c>
      <c r="H65" s="3988">
        <f>IF(E65="NA","NA",E65/Table8s2!$G$34*100)</f>
        <v>-2.9056905633498189E-2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B1" workbookViewId="0">
      <selection activeCell="M16" sqref="M16"/>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426.82299941723318</v>
      </c>
      <c r="D10" s="4021">
        <f>IF(SUM(D11:D30)=0,"NO",SUM(D11:D30))</f>
        <v>426.82299941723301</v>
      </c>
      <c r="E10" s="4021">
        <f>IF(D10="NO",IF(C10="NO","NA",-C10),IF(C10="NO",D10,D10-C10))</f>
        <v>-1.7053025658242404E-13</v>
      </c>
      <c r="F10" s="4021">
        <f>IF(E10="NA","NA",E10/C10*100)</f>
        <v>-3.9953389769356185E-14</v>
      </c>
      <c r="G10" s="4022">
        <f>IF(E10="NA","NA",E10/$G$35*100)</f>
        <v>-3.6398766563114619E-17</v>
      </c>
      <c r="H10" s="4023">
        <f>IF(E10="NA","NA",E10/$G$34*100)</f>
        <v>-3.3416250481170202E-17</v>
      </c>
      <c r="I10" s="4024">
        <f>IF(SUM(I11:I30)=0,"NO",SUM(I11:I30))</f>
        <v>1104.5946842688734</v>
      </c>
      <c r="J10" s="4024">
        <f>IF(SUM(J11:J30)=0,"NO",SUM(J11:J30))</f>
        <v>1104.5946842688734</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274.96345974170822</v>
      </c>
      <c r="V10" s="4021">
        <f>IF(SUM(V11:V30)=0,"NO",SUM(V11:V30))</f>
        <v>274.96345974170822</v>
      </c>
      <c r="W10" s="4021">
        <f>IF(V10="NO",IF(U10="NO","NA",-U10),IF(U10="NO",V10,V10-U10))</f>
        <v>0</v>
      </c>
      <c r="X10" s="4025">
        <f>IF(W10="NA","NA",W10/U10*100)</f>
        <v>0</v>
      </c>
      <c r="Y10" s="4026">
        <f>IF(W10="NA","NA",W10/$G$35*100)</f>
        <v>0</v>
      </c>
      <c r="Z10" s="4023">
        <f>IF(W10="NA","NA",W10/$G$34*100)</f>
        <v>0</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1104.5946842688734</v>
      </c>
      <c r="J13" s="3841">
        <f>'Table2(II)'!AH41</f>
        <v>1104.5946842688734</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v>5.875</v>
      </c>
      <c r="V14" s="3849">
        <f>IFERROR('Table2(I)'!I31*23500,'Table2(I)'!I31)</f>
        <v>5.875</v>
      </c>
      <c r="W14" s="3849">
        <f>IF(V14="NO",IF(U14="NO","NA",-U14),IF(U14="NO",V14,V14-U14))</f>
        <v>0</v>
      </c>
      <c r="X14" s="4018">
        <f>IF(W14="NA","NA",W14/U14*100)</f>
        <v>0</v>
      </c>
      <c r="Y14" s="3873">
        <f>IF(W14="NA","NA",W14/$G$35*100)</f>
        <v>0</v>
      </c>
      <c r="Z14" s="3874">
        <f>IF(W14="NA","NA",W14/$G$34*100)</f>
        <v>0</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401.49536855166832</v>
      </c>
      <c r="D21" s="3849">
        <f>'Table2(I)'!F46</f>
        <v>401.49536855166815</v>
      </c>
      <c r="E21" s="3849">
        <f>IF(D21="NO",IF(C21="NO","NA",-C21),IF(C21="NO",D21,D21-C21))</f>
        <v>-1.7053025658242404E-13</v>
      </c>
      <c r="F21" s="4018">
        <f>IF(E21="NA","NA",E21/C21*100)</f>
        <v>-4.2473779261161903E-14</v>
      </c>
      <c r="G21" s="3873">
        <f>IF(E21="NA","NA",E21/$G$35*100)</f>
        <v>-3.6398766563114619E-17</v>
      </c>
      <c r="H21" s="3874">
        <f>IF(E21="NA","NA",E21/$G$34*100)</f>
        <v>-3.3416250481170202E-17</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9.8879355142101044</v>
      </c>
      <c r="D22" s="3849">
        <f>'Table2(I)'!F47</f>
        <v>9.8879355142101026</v>
      </c>
      <c r="E22" s="3849">
        <f t="shared" ref="E22:E25" si="0">IF(D22="NO",IF(C22="NO","NA",-C22),IF(C22="NO",D22,D22-C22))</f>
        <v>-1.7763568394002505E-15</v>
      </c>
      <c r="F22" s="4018">
        <f t="shared" ref="F22:F25" si="1">IF(E22="NA","NA",E22/C22*100)</f>
        <v>-1.7964891021461664E-14</v>
      </c>
      <c r="G22" s="3873">
        <f t="shared" ref="G22:G25" si="2">IF(E22="NA","NA",E22/$G$35*100)</f>
        <v>-3.7915381836577733E-19</v>
      </c>
      <c r="H22" s="3874">
        <f t="shared" ref="H22:H25" si="3">IF(E22="NA","NA",E22/$G$34*100)</f>
        <v>-3.4808594251218957E-19</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1.4993537148210454</v>
      </c>
      <c r="D23" s="3849">
        <f>'Table2(I)'!F48</f>
        <v>1.4993537148210452</v>
      </c>
      <c r="E23" s="3849">
        <f t="shared" si="0"/>
        <v>-2.2204460492503131E-16</v>
      </c>
      <c r="F23" s="4018">
        <f t="shared" si="1"/>
        <v>-1.4809354372495975E-14</v>
      </c>
      <c r="G23" s="3873">
        <f t="shared" si="2"/>
        <v>-4.7394227295722166E-20</v>
      </c>
      <c r="H23" s="3874">
        <f t="shared" si="3"/>
        <v>-4.3510742814023696E-20</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1.0159500524764017E-2</v>
      </c>
      <c r="D24" s="3849">
        <f>'Table2(I)'!F49</f>
        <v>1.0159500524764017E-2</v>
      </c>
      <c r="E24" s="3849">
        <f t="shared" si="0"/>
        <v>0</v>
      </c>
      <c r="F24" s="4018">
        <f t="shared" si="1"/>
        <v>0</v>
      </c>
      <c r="G24" s="3873">
        <f t="shared" si="2"/>
        <v>0</v>
      </c>
      <c r="H24" s="3874">
        <f t="shared" si="3"/>
        <v>0</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13.930182136008966</v>
      </c>
      <c r="D25" s="3849">
        <f>'Table2(I)'!F50</f>
        <v>13.930182136008968</v>
      </c>
      <c r="E25" s="3849">
        <f t="shared" si="0"/>
        <v>1.7763568394002505E-15</v>
      </c>
      <c r="F25" s="4018">
        <f t="shared" si="1"/>
        <v>1.2751856523170927E-14</v>
      </c>
      <c r="G25" s="3873">
        <f t="shared" si="2"/>
        <v>3.7915381836577733E-19</v>
      </c>
      <c r="H25" s="3874">
        <f t="shared" si="3"/>
        <v>3.4808594251218957E-19</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254.22610403518149</v>
      </c>
      <c r="V27" s="3849">
        <f>IFERROR('Table2(I)'!I53*23500,'Table2(I)'!I53)</f>
        <v>254.22610403518155</v>
      </c>
      <c r="W27" s="3849">
        <f>IF(V27="NO",IF(U27="NO","NA",-U27),IF(U27="NO",V27,V27-U27))</f>
        <v>5.6843418860808015E-14</v>
      </c>
      <c r="X27" s="4018">
        <f>IF(W27="NA","NA",W27/U27*100)</f>
        <v>2.235939502614635E-14</v>
      </c>
      <c r="Y27" s="3873">
        <f>IF(W27="NA","NA",W27/$G$35*100)</f>
        <v>1.2132922187704874E-17</v>
      </c>
      <c r="Z27" s="3874">
        <f>IF(W27="NA","NA",W27/$G$34*100)</f>
        <v>1.1138750160390066E-17</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14.862355706526738</v>
      </c>
      <c r="V28" s="3849">
        <f>IFERROR('Table2(I)'!I54*23500,'Table2(I)'!I54)</f>
        <v>14.86235570652669</v>
      </c>
      <c r="W28" s="3849">
        <f>IF(V28="NO",IF(U28="NO","NA",-U28),IF(U28="NO",V28,V28-U28))</f>
        <v>-4.7961634663806763E-14</v>
      </c>
      <c r="X28" s="4018">
        <f>IF(W28="NA","NA",W28/U28*100)</f>
        <v>-3.2270546884263186E-13</v>
      </c>
      <c r="Y28" s="3873">
        <f>IF(W28="NA","NA",W28/$G$35*100)</f>
        <v>-1.0237153095875988E-17</v>
      </c>
      <c r="Z28" s="3874">
        <f>IF(W28="NA","NA",W28/$G$34*100)</f>
        <v>-9.3983204478291188E-18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522850.34046829905</v>
      </c>
      <c r="F34" s="4548"/>
      <c r="G34" s="4547">
        <f>SUM(Table8s1!D10,Table8s1!J10,Table8s1!P10,D10,J10,P10,V10,AB10)</f>
        <v>510321.33805232437</v>
      </c>
      <c r="H34" s="4548"/>
      <c r="I34" s="3841">
        <f>G34-E34</f>
        <v>-12529.002415974683</v>
      </c>
      <c r="J34" s="4047">
        <f>IF(I34="NA","NA",I34/E34*100)</f>
        <v>-2.3962884684655434</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469835.68826294632</v>
      </c>
      <c r="F35" s="4550"/>
      <c r="G35" s="4551">
        <f>G34-SUM(Table8s1!D41,Table8s1!J41,Table8s1!P41)</f>
        <v>468505.5914923065</v>
      </c>
      <c r="H35" s="4552"/>
      <c r="I35" s="3857">
        <f>G35-E35</f>
        <v>-1330.0967706398224</v>
      </c>
      <c r="J35" s="4048">
        <f>IF(I35="NA","NA",I35/E35*100)</f>
        <v>-0.28309828390376041</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I28" activePane="bottomRight" state="frozen"/>
      <selection pane="topRight" activeCell="E1" sqref="E1"/>
      <selection pane="bottomLeft" activeCell="A11" sqref="A11"/>
      <selection pane="bottomRight" activeCell="L10" sqref="L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1024672.2200639698</v>
      </c>
      <c r="D10" s="1938" t="s">
        <v>97</v>
      </c>
      <c r="E10" s="615"/>
      <c r="F10" s="615"/>
      <c r="G10" s="615"/>
      <c r="H10" s="1851">
        <f>IF(SUM(H11:H14)=0,"NO",SUM(H11:H14))</f>
        <v>69276.048857972593</v>
      </c>
      <c r="I10" s="1851">
        <f>IF(SUM(I11:I15)=0,"NO",SUM(I11:I15))</f>
        <v>30.23862509934867</v>
      </c>
      <c r="J10" s="2217">
        <f>IF(SUM(J11:J15)=0,"NO",SUM(J11:J15))</f>
        <v>4.7758348071430987</v>
      </c>
    </row>
    <row r="11" spans="2:11" ht="18" customHeight="1" x14ac:dyDescent="0.2">
      <c r="B11" s="282" t="s">
        <v>243</v>
      </c>
      <c r="C11" s="1938">
        <f>IF(SUM(C17:C18,C21:C24,C82,C89:C92,C100)=0,"NO",SUM(C17:C18,C21:C24,C82,C89:C92,C100))</f>
        <v>1006640.7508918354</v>
      </c>
      <c r="D11" s="1934" t="s">
        <v>97</v>
      </c>
      <c r="E11" s="1938">
        <f>IFERROR(H11*1000/$C11,"NA")</f>
        <v>67.952179045748878</v>
      </c>
      <c r="F11" s="1938">
        <f t="shared" ref="F11:G15" si="0">IFERROR(I11*1000000/$C11,"NA")</f>
        <v>29.718331529443457</v>
      </c>
      <c r="G11" s="1938">
        <f t="shared" si="0"/>
        <v>4.7383982845093717</v>
      </c>
      <c r="H11" s="1938">
        <f>IF(SUM(H17:H18,H21:H24,H82,H89:H92,H100)=0,"NO",SUM(H17:H18,H21:H24,H82,H89:H92,H100))</f>
        <v>68403.432539349087</v>
      </c>
      <c r="I11" s="1938">
        <f>IF(SUM(I17:I18,I21:I24,I82,I89:I92,I100)=0,"NO",SUM(I17:I18,I21:I24,I82,I89:I92,I100))</f>
        <v>29.915683566051467</v>
      </c>
      <c r="J11" s="3064">
        <f>IF(SUM(J17:J18,J21:J24,J82,J89:J92,J100)=0,"NO",SUM(J17:J18,J21:J24,J82,J89:J92,J100))</f>
        <v>4.7698648071430991</v>
      </c>
    </row>
    <row r="12" spans="2:11" ht="18" customHeight="1" x14ac:dyDescent="0.2">
      <c r="B12" s="282" t="s">
        <v>245</v>
      </c>
      <c r="C12" s="1938">
        <f>IF(SUM(C83,C101,C97)=0,"NO",SUM(C83,C101,C97))</f>
        <v>4280.0000000000009</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9449.9999999999982</v>
      </c>
      <c r="D13" s="1934" t="s">
        <v>97</v>
      </c>
      <c r="E13" s="1938">
        <f t="shared" si="1"/>
        <v>51.411918339265</v>
      </c>
      <c r="F13" s="1938">
        <f t="shared" si="0"/>
        <v>19.680585534095925</v>
      </c>
      <c r="G13" s="1938">
        <f t="shared" si="0"/>
        <v>0.17883597883597885</v>
      </c>
      <c r="H13" s="1938">
        <f>IF(SUM(H26,H84,H94,H102)=0,"NO",SUM(H26,H84,H94,H102))</f>
        <v>485.84262830605417</v>
      </c>
      <c r="I13" s="1938">
        <f>IF(SUM(I26,I84,I94,I102)=0,"NO",SUM(I26,I84,I94,I102))</f>
        <v>0.18598153329720646</v>
      </c>
      <c r="J13" s="3064">
        <f>IF(SUM(J26,J84,J94,J102)=0,"NO",SUM(J26,J84,J94,J102))</f>
        <v>1.6899999999999997E-3</v>
      </c>
    </row>
    <row r="14" spans="2:11" ht="18" customHeight="1" x14ac:dyDescent="0.2">
      <c r="B14" s="282" t="s">
        <v>290</v>
      </c>
      <c r="C14" s="1938">
        <f>IF(SUM(C28,C86,C96,C103)=0,"NO",SUM(C28,C86,C96,C103))</f>
        <v>4301.4691721343725</v>
      </c>
      <c r="D14" s="1934" t="s">
        <v>97</v>
      </c>
      <c r="E14" s="1938">
        <f t="shared" si="1"/>
        <v>89.916648205462778</v>
      </c>
      <c r="F14" s="1938">
        <f t="shared" si="0"/>
        <v>31.840283986515473</v>
      </c>
      <c r="G14" s="1938">
        <f t="shared" si="0"/>
        <v>0.99500887457860854</v>
      </c>
      <c r="H14" s="1938">
        <f>IF(SUM(H28,H86,H96,H103)=0,"NO",SUM(H28,H86,H96,H103))</f>
        <v>386.77369031744956</v>
      </c>
      <c r="I14" s="1938">
        <f>IF(SUM(I28,I86,I96,I103)=0,"NO",SUM(I28,I86,I96,I103))</f>
        <v>0.13696000000000003</v>
      </c>
      <c r="J14" s="3064">
        <f>IF(SUM(J28,J86,J96,J103)=0,"NO",SUM(J28,J86,J96,J103))</f>
        <v>4.2800000000000008E-3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77785.115624011334</v>
      </c>
      <c r="D16" s="1934" t="s">
        <v>97</v>
      </c>
      <c r="E16" s="615"/>
      <c r="F16" s="615"/>
      <c r="G16" s="615"/>
      <c r="H16" s="1938">
        <f>IF(SUM(H17:H18)=0,"NO",SUM(H17:H18))</f>
        <v>5405.2930099354598</v>
      </c>
      <c r="I16" s="1938">
        <f>IF(SUM(I17:I19)=0,"NO",SUM(I17:I19))</f>
        <v>3.3368142167805405E-2</v>
      </c>
      <c r="J16" s="3064">
        <f>IF(SUM(J17:J19)=0,"NO",SUM(J17:J19))</f>
        <v>4.7530772208231563E-2</v>
      </c>
    </row>
    <row r="17" spans="2:10" ht="18" customHeight="1" x14ac:dyDescent="0.2">
      <c r="B17" s="282" t="s">
        <v>292</v>
      </c>
      <c r="C17" s="699">
        <v>3288.8605752802282</v>
      </c>
      <c r="D17" s="1934" t="s">
        <v>97</v>
      </c>
      <c r="E17" s="1938">
        <f t="shared" ref="E17:E19" si="2">IFERROR(H17*1000/$C17,"NA")</f>
        <v>67</v>
      </c>
      <c r="F17" s="1938">
        <f t="shared" ref="F17:G19" si="3">IFERROR(I17*1000000/$C17,"NA")</f>
        <v>0.49999999999999994</v>
      </c>
      <c r="G17" s="1938">
        <f t="shared" si="3"/>
        <v>1.9999999999999996</v>
      </c>
      <c r="H17" s="699">
        <v>220.35365854377528</v>
      </c>
      <c r="I17" s="699">
        <v>1.6444302876401139E-3</v>
      </c>
      <c r="J17" s="2921">
        <v>6.5777211505604546E-3</v>
      </c>
    </row>
    <row r="18" spans="2:10" ht="18" customHeight="1" x14ac:dyDescent="0.2">
      <c r="B18" s="282" t="s">
        <v>293</v>
      </c>
      <c r="C18" s="699">
        <v>74496.255048731109</v>
      </c>
      <c r="D18" s="1934" t="s">
        <v>97</v>
      </c>
      <c r="E18" s="1938">
        <f t="shared" si="2"/>
        <v>69.599999999999994</v>
      </c>
      <c r="F18" s="1938">
        <f t="shared" si="3"/>
        <v>0.42584304216921354</v>
      </c>
      <c r="G18" s="1938">
        <f t="shared" si="3"/>
        <v>0.54973301719505241</v>
      </c>
      <c r="H18" s="699">
        <v>5184.9393513916848</v>
      </c>
      <c r="I18" s="699">
        <v>3.172371188016529E-2</v>
      </c>
      <c r="J18" s="2921">
        <v>4.0953051057671108E-2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877091.31933686137</v>
      </c>
      <c r="D20" s="1934" t="s">
        <v>97</v>
      </c>
      <c r="E20" s="615"/>
      <c r="F20" s="615"/>
      <c r="G20" s="615"/>
      <c r="H20" s="1938">
        <f>IF(SUM(H21:H24,H26,H28)=0,"NO",SUM(H21:H24,H26,H28))</f>
        <v>59341.882938720446</v>
      </c>
      <c r="I20" s="1938">
        <f>IF(SUM(I21:I24,I26:I28)=0,"NO",SUM(I21:I24,I26:I28))</f>
        <v>26.126517766683616</v>
      </c>
      <c r="J20" s="3064">
        <f>IF(SUM(J21:J24,J26:J28)=0,"NO",SUM(J21:J24,J26:J28))</f>
        <v>4.0031889196286921</v>
      </c>
    </row>
    <row r="21" spans="2:10" ht="18" customHeight="1" x14ac:dyDescent="0.2">
      <c r="B21" s="282" t="s">
        <v>281</v>
      </c>
      <c r="C21" s="1938">
        <f>IF(SUM(C31,C41,C51,C61,C72)=0,"NO",SUM(C31,C41,C51,C61,C72))</f>
        <v>573179.62872551067</v>
      </c>
      <c r="D21" s="1934" t="s">
        <v>97</v>
      </c>
      <c r="E21" s="1938">
        <f t="shared" ref="E21:E23" si="4">IFERROR(H21*1000/$C21,"NA")</f>
        <v>67.399999999999991</v>
      </c>
      <c r="F21" s="1938">
        <f t="shared" ref="F21:G23" si="5">IFERROR(I21*1000000/$C21,"NA")</f>
        <v>35.900676583502744</v>
      </c>
      <c r="G21" s="1938">
        <f t="shared" si="5"/>
        <v>6.1954003939268789</v>
      </c>
      <c r="H21" s="1938">
        <f t="shared" ref="H21:J23" si="6">IF(SUM(H31,H41,H51,H61,H72)=0,"NO",SUM(H31,H41,H51,H61,H72))</f>
        <v>38632.306976099419</v>
      </c>
      <c r="I21" s="1938">
        <f t="shared" si="6"/>
        <v>20.577536475126738</v>
      </c>
      <c r="J21" s="3064">
        <f t="shared" si="6"/>
        <v>3.5510772975968909</v>
      </c>
    </row>
    <row r="22" spans="2:10" ht="18" customHeight="1" x14ac:dyDescent="0.2">
      <c r="B22" s="282" t="s">
        <v>282</v>
      </c>
      <c r="C22" s="1938">
        <f>IF(SUM(C32,C42,C52,C62,C73)=0,"NO",SUM(C32,C42,C52,C62,C73))</f>
        <v>249566.42311403749</v>
      </c>
      <c r="D22" s="1934" t="s">
        <v>97</v>
      </c>
      <c r="E22" s="1938">
        <f t="shared" si="4"/>
        <v>69.900000000000006</v>
      </c>
      <c r="F22" s="1938">
        <f t="shared" si="5"/>
        <v>12.303898179936942</v>
      </c>
      <c r="G22" s="1938">
        <f t="shared" si="5"/>
        <v>1.6460507572660144</v>
      </c>
      <c r="H22" s="1938">
        <f t="shared" si="6"/>
        <v>17444.69297567122</v>
      </c>
      <c r="I22" s="1938">
        <f t="shared" si="6"/>
        <v>3.0706398591261785</v>
      </c>
      <c r="J22" s="3064">
        <f t="shared" si="6"/>
        <v>0.41079899975503198</v>
      </c>
    </row>
    <row r="23" spans="2:10" ht="18" customHeight="1" x14ac:dyDescent="0.2">
      <c r="B23" s="282" t="s">
        <v>283</v>
      </c>
      <c r="C23" s="1938">
        <f>IF(SUM(C33,C43,C53,C63,C74)=0,"NO",SUM(C33,C43,C53,C63,C74))</f>
        <v>53570.328070571704</v>
      </c>
      <c r="D23" s="1934" t="s">
        <v>97</v>
      </c>
      <c r="E23" s="1938">
        <f t="shared" si="4"/>
        <v>60.20000000000001</v>
      </c>
      <c r="F23" s="1938">
        <f t="shared" si="5"/>
        <v>44.32313231660973</v>
      </c>
      <c r="G23" s="1938">
        <f t="shared" si="5"/>
        <v>0.75681116276457705</v>
      </c>
      <c r="H23" s="1938">
        <f t="shared" si="6"/>
        <v>3224.9337498484169</v>
      </c>
      <c r="I23" s="1938">
        <f t="shared" si="6"/>
        <v>2.3744047393161423</v>
      </c>
      <c r="J23" s="3064">
        <f t="shared" si="6"/>
        <v>4.0542622276769233E-2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769.99999999999989</v>
      </c>
      <c r="D26" s="1934" t="s">
        <v>97</v>
      </c>
      <c r="E26" s="1938">
        <f t="shared" si="7"/>
        <v>51.411918339264993</v>
      </c>
      <c r="F26" s="1938">
        <f t="shared" si="8"/>
        <v>134.98271833059491</v>
      </c>
      <c r="G26" s="1938">
        <f t="shared" si="8"/>
        <v>1</v>
      </c>
      <c r="H26" s="1938">
        <f t="shared" ref="H26:J29" si="10">IF(SUM(H36,H46,H56,H66,H77)=0,"NO",SUM(H36,H46,H56,H66,H77))</f>
        <v>39.587177121234042</v>
      </c>
      <c r="I26" s="1938">
        <f t="shared" si="10"/>
        <v>0.10393669311455805</v>
      </c>
      <c r="J26" s="3064">
        <f t="shared" si="10"/>
        <v>7.6999999999999985E-4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4.9394267416017872</v>
      </c>
      <c r="D28" s="1934" t="s">
        <v>97</v>
      </c>
      <c r="E28" s="615"/>
      <c r="F28" s="615"/>
      <c r="G28" s="615"/>
      <c r="H28" s="1938">
        <f>H29</f>
        <v>0.36205998015941099</v>
      </c>
      <c r="I28" s="1938" t="str">
        <f>I29</f>
        <v>NE</v>
      </c>
      <c r="J28" s="3064" t="str">
        <f>J29</f>
        <v>NE</v>
      </c>
    </row>
    <row r="29" spans="2:10" ht="18" customHeight="1" x14ac:dyDescent="0.2">
      <c r="B29" s="3083" t="s">
        <v>297</v>
      </c>
      <c r="C29" s="1938">
        <f t="shared" si="9"/>
        <v>4.9394267416017872</v>
      </c>
      <c r="D29" s="1934" t="s">
        <v>97</v>
      </c>
      <c r="E29" s="3081">
        <f t="shared" ref="E29" si="11">IFERROR(H29*1000/$C29,"NA")</f>
        <v>73.3</v>
      </c>
      <c r="F29" s="3081" t="str">
        <f>IFERROR(I29*1000000/$C29,"NA")</f>
        <v>NA</v>
      </c>
      <c r="G29" s="3081" t="str">
        <f>IFERROR(J29*1000000/$C29,"NA")</f>
        <v>NA</v>
      </c>
      <c r="H29" s="1938">
        <f t="shared" si="10"/>
        <v>0.36205998015941099</v>
      </c>
      <c r="I29" s="1938" t="str">
        <f>IF(SUM(I39,I49,I59,I69,I80)=0,"NE",SUM(I39,I49,I59,I69,I80))</f>
        <v>NE</v>
      </c>
      <c r="J29" s="3064" t="str">
        <f>IF(SUM(J39,J49,J59,J69,J80)=0,"NE",SUM(J39,J49,J59,J69,J80))</f>
        <v>NE</v>
      </c>
    </row>
    <row r="30" spans="2:10" ht="18" customHeight="1" x14ac:dyDescent="0.2">
      <c r="B30" s="1241" t="s">
        <v>298</v>
      </c>
      <c r="C30" s="1938">
        <f>IF(SUM(C31:C34,C36:C38)=0,"NO",SUM(C31:C34,C36:C38))</f>
        <v>543954.95888775645</v>
      </c>
      <c r="D30" s="1934" t="s">
        <v>97</v>
      </c>
      <c r="E30" s="615"/>
      <c r="F30" s="615"/>
      <c r="G30" s="615"/>
      <c r="H30" s="1938">
        <f>IF(SUM(H31:H34,H36,H38)=0,"NO",SUM(H31:H34,H36,H38))</f>
        <v>36425.110911320378</v>
      </c>
      <c r="I30" s="1938">
        <f>IF(SUM(I31:I34,I36:I38)=0,"NO",SUM(I31:I34,I36:I38))</f>
        <v>20.096165272011675</v>
      </c>
      <c r="J30" s="3064">
        <f>IF(SUM(J31:J34,J36:J38)=0,"NO",SUM(J31:J34,J36:J38))</f>
        <v>3.4618715187839113</v>
      </c>
    </row>
    <row r="31" spans="2:10" ht="18" customHeight="1" x14ac:dyDescent="0.2">
      <c r="B31" s="282" t="s">
        <v>281</v>
      </c>
      <c r="C31" s="699">
        <v>489582.47099604103</v>
      </c>
      <c r="D31" s="1934" t="s">
        <v>97</v>
      </c>
      <c r="E31" s="1938">
        <f t="shared" ref="E31:E33" si="12">IFERROR(H31*1000/$C31,"NA")</f>
        <v>67.40000000000002</v>
      </c>
      <c r="F31" s="1938">
        <f t="shared" ref="F31:G33" si="13">IFERROR(I31*1000000/$C31,"NA")</f>
        <v>37.130916068754033</v>
      </c>
      <c r="G31" s="1938">
        <f t="shared" si="13"/>
        <v>7.0057519484297224</v>
      </c>
      <c r="H31" s="699">
        <v>32997.858545133175</v>
      </c>
      <c r="I31" s="699">
        <v>18.178645639287204</v>
      </c>
      <c r="J31" s="2921">
        <v>3.4298933500975526</v>
      </c>
    </row>
    <row r="32" spans="2:10" ht="18" customHeight="1" x14ac:dyDescent="0.2">
      <c r="B32" s="282" t="s">
        <v>282</v>
      </c>
      <c r="C32" s="699">
        <v>16015.415621937202</v>
      </c>
      <c r="D32" s="1934" t="s">
        <v>97</v>
      </c>
      <c r="E32" s="1938">
        <f t="shared" si="12"/>
        <v>69.900000000000006</v>
      </c>
      <c r="F32" s="1938">
        <f t="shared" si="13"/>
        <v>10.720936204016025</v>
      </c>
      <c r="G32" s="1938">
        <f t="shared" si="13"/>
        <v>0.20389416048581849</v>
      </c>
      <c r="H32" s="699">
        <v>1119.4775519734105</v>
      </c>
      <c r="I32" s="699">
        <v>0.17170024916359036</v>
      </c>
      <c r="J32" s="2921">
        <v>3.2654497230663482E-3</v>
      </c>
    </row>
    <row r="33" spans="2:10" ht="18" customHeight="1" x14ac:dyDescent="0.2">
      <c r="B33" s="282" t="s">
        <v>283</v>
      </c>
      <c r="C33" s="699">
        <v>38206.762284294535</v>
      </c>
      <c r="D33" s="1934" t="s">
        <v>97</v>
      </c>
      <c r="E33" s="1938">
        <f t="shared" si="12"/>
        <v>60.2</v>
      </c>
      <c r="F33" s="1938">
        <f t="shared" si="13"/>
        <v>44.667183904540487</v>
      </c>
      <c r="G33" s="1938">
        <f t="shared" si="13"/>
        <v>0.74757470327575393</v>
      </c>
      <c r="H33" s="699">
        <v>2300.0470895145313</v>
      </c>
      <c r="I33" s="699">
        <v>1.7065884773496451</v>
      </c>
      <c r="J33" s="2921">
        <v>2.8562408977808755E-2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150.30998548366756</v>
      </c>
      <c r="D36" s="1934" t="s">
        <v>97</v>
      </c>
      <c r="E36" s="1938">
        <f t="shared" si="14"/>
        <v>51.411918339264993</v>
      </c>
      <c r="F36" s="1938">
        <f t="shared" si="15"/>
        <v>260.99999999999994</v>
      </c>
      <c r="G36" s="1938">
        <f t="shared" si="15"/>
        <v>0.99999999999999967</v>
      </c>
      <c r="H36" s="699">
        <v>7.7277246992624233</v>
      </c>
      <c r="I36" s="699">
        <v>3.9230906211237225E-2</v>
      </c>
      <c r="J36" s="2921">
        <v>1.5030998548366752E-4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125940.07083372278</v>
      </c>
      <c r="D40" s="1934" t="s">
        <v>97</v>
      </c>
      <c r="E40" s="615"/>
      <c r="F40" s="615"/>
      <c r="G40" s="615"/>
      <c r="H40" s="1938">
        <f>IF(SUM(H41:H44,H46,H48)=0,"NO",SUM(H41:H44,H46,H48))</f>
        <v>8472.7710779477784</v>
      </c>
      <c r="I40" s="1938">
        <f>IF(SUM(I41:I44,I46:I48)=0,"NO",SUM(I41:I44,I46:I48))</f>
        <v>4.2437904586423665</v>
      </c>
      <c r="J40" s="3064">
        <f>IF(SUM(J41:J44,J46:J48)=0,"NO",SUM(J41:J44,J46:J48))</f>
        <v>0.13247848390603645</v>
      </c>
    </row>
    <row r="41" spans="2:10" ht="18" customHeight="1" x14ac:dyDescent="0.2">
      <c r="B41" s="282" t="s">
        <v>281</v>
      </c>
      <c r="C41" s="699">
        <v>77061.514214400609</v>
      </c>
      <c r="D41" s="1934" t="s">
        <v>97</v>
      </c>
      <c r="E41" s="1938">
        <f t="shared" ref="E41:E43" si="17">IFERROR(H41*1000/$C41,"NA")</f>
        <v>67.399999999999991</v>
      </c>
      <c r="F41" s="1938">
        <f t="shared" ref="F41:G43" si="18">IFERROR(I41*1000000/$C41,"NA")</f>
        <v>27.355407707969043</v>
      </c>
      <c r="G41" s="1938">
        <f t="shared" si="18"/>
        <v>1.495244548331951</v>
      </c>
      <c r="H41" s="699">
        <v>5193.9460580506011</v>
      </c>
      <c r="I41" s="699">
        <v>2.1080491399283803</v>
      </c>
      <c r="J41" s="2921">
        <v>0.11522580901528766</v>
      </c>
    </row>
    <row r="42" spans="2:10" ht="18" customHeight="1" x14ac:dyDescent="0.2">
      <c r="B42" s="282" t="s">
        <v>282</v>
      </c>
      <c r="C42" s="699">
        <v>34685.793191896082</v>
      </c>
      <c r="D42" s="1934" t="s">
        <v>97</v>
      </c>
      <c r="E42" s="1938">
        <f t="shared" si="17"/>
        <v>69.900000000000006</v>
      </c>
      <c r="F42" s="1938">
        <f t="shared" si="18"/>
        <v>42.872786937593112</v>
      </c>
      <c r="G42" s="1938">
        <f t="shared" si="18"/>
        <v>0.2250372108237208</v>
      </c>
      <c r="H42" s="699">
        <v>2424.5369441135363</v>
      </c>
      <c r="I42" s="699">
        <v>1.4870766212775783</v>
      </c>
      <c r="J42" s="2921">
        <v>7.8055941551126978E-3</v>
      </c>
    </row>
    <row r="43" spans="2:10" ht="18" customHeight="1" x14ac:dyDescent="0.2">
      <c r="B43" s="282" t="s">
        <v>283</v>
      </c>
      <c r="C43" s="699">
        <v>14179.531580943778</v>
      </c>
      <c r="D43" s="1934" t="s">
        <v>97</v>
      </c>
      <c r="E43" s="1938">
        <f t="shared" si="17"/>
        <v>60.2</v>
      </c>
      <c r="F43" s="1938">
        <f t="shared" si="18"/>
        <v>45.502997177398797</v>
      </c>
      <c r="G43" s="1938">
        <f t="shared" si="18"/>
        <v>0.66531456524502874</v>
      </c>
      <c r="H43" s="699">
        <v>853.60780117281547</v>
      </c>
      <c r="I43" s="699">
        <v>0.64521118550452183</v>
      </c>
      <c r="J43" s="2921">
        <v>9.4338488891537661E-3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13.231846482320291</v>
      </c>
      <c r="D46" s="1934" t="s">
        <v>97</v>
      </c>
      <c r="E46" s="1938">
        <f t="shared" si="19"/>
        <v>51.411918339264979</v>
      </c>
      <c r="F46" s="1938">
        <f t="shared" si="20"/>
        <v>261.00000000000006</v>
      </c>
      <c r="G46" s="1938">
        <f t="shared" si="20"/>
        <v>1</v>
      </c>
      <c r="H46" s="699">
        <v>0.68027461082674145</v>
      </c>
      <c r="I46" s="699">
        <v>3.4535119318855967E-3</v>
      </c>
      <c r="J46" s="2921">
        <v>1.3231846482320291E-5</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204126.61339908844</v>
      </c>
      <c r="D50" s="1934" t="s">
        <v>97</v>
      </c>
      <c r="E50" s="615"/>
      <c r="F50" s="615"/>
      <c r="G50" s="615"/>
      <c r="H50" s="1938">
        <f>IF(SUM(H51:H54,H56,H58)=0,"NO",SUM(H51:H54,H56,H58))</f>
        <v>14237.075629856325</v>
      </c>
      <c r="I50" s="1938">
        <f>IF(SUM(I51:I54,I56:I58)=0,"NO",SUM(I51:I54,I56:I58))</f>
        <v>1.5587344423965015</v>
      </c>
      <c r="J50" s="3064">
        <f>IF(SUM(J51:J54,J56:J58)=0,"NO",SUM(J51:J54,J56:J58))</f>
        <v>0.40580121569030314</v>
      </c>
    </row>
    <row r="51" spans="2:10" ht="18" customHeight="1" x14ac:dyDescent="0.2">
      <c r="B51" s="282" t="s">
        <v>281</v>
      </c>
      <c r="C51" s="699">
        <v>3470.9067255168461</v>
      </c>
      <c r="D51" s="1934" t="s">
        <v>97</v>
      </c>
      <c r="E51" s="1938">
        <f t="shared" ref="E51:E53" si="22">IFERROR(H51*1000/$C51,"NA")</f>
        <v>67.400000000000006</v>
      </c>
      <c r="F51" s="1938">
        <f t="shared" ref="F51:G53" si="23">IFERROR(I51*1000000/$C51,"NA")</f>
        <v>18.154939691932462</v>
      </c>
      <c r="G51" s="1938">
        <f t="shared" si="23"/>
        <v>0.84140470100780351</v>
      </c>
      <c r="H51" s="699">
        <v>233.93911329983544</v>
      </c>
      <c r="I51" s="699">
        <v>6.3014102278081116E-2</v>
      </c>
      <c r="J51" s="2921">
        <v>2.9204372356094765E-3</v>
      </c>
    </row>
    <row r="52" spans="2:10" ht="18" customHeight="1" x14ac:dyDescent="0.2">
      <c r="B52" s="282" t="s">
        <v>282</v>
      </c>
      <c r="C52" s="699">
        <v>198865.21430020421</v>
      </c>
      <c r="D52" s="1934" t="s">
        <v>97</v>
      </c>
      <c r="E52" s="1938">
        <f t="shared" si="22"/>
        <v>69.900000000000006</v>
      </c>
      <c r="F52" s="1938">
        <f t="shared" si="23"/>
        <v>7.0995975523083725</v>
      </c>
      <c r="G52" s="1938">
        <f t="shared" si="23"/>
        <v>2.010044628888334</v>
      </c>
      <c r="H52" s="699">
        <v>13900.678479584274</v>
      </c>
      <c r="I52" s="699">
        <v>1.4118629886850098</v>
      </c>
      <c r="J52" s="2921">
        <v>0.39972795587685295</v>
      </c>
    </row>
    <row r="53" spans="2:10" ht="18" customHeight="1" x14ac:dyDescent="0.2">
      <c r="B53" s="282" t="s">
        <v>283</v>
      </c>
      <c r="C53" s="699">
        <v>1184.0342053333909</v>
      </c>
      <c r="D53" s="1934" t="s">
        <v>97</v>
      </c>
      <c r="E53" s="1938">
        <f t="shared" si="22"/>
        <v>60.199999999999996</v>
      </c>
      <c r="F53" s="1938">
        <f t="shared" si="23"/>
        <v>19.091573841492501</v>
      </c>
      <c r="G53" s="1938">
        <f t="shared" si="23"/>
        <v>2.1505834868087517</v>
      </c>
      <c r="H53" s="699">
        <v>71.27885916107013</v>
      </c>
      <c r="I53" s="699">
        <v>2.2605076461975324E-2</v>
      </c>
      <c r="J53" s="2921">
        <v>2.5463644098067135E-3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606.45816803401203</v>
      </c>
      <c r="D56" s="1934" t="s">
        <v>97</v>
      </c>
      <c r="E56" s="1938">
        <f t="shared" si="24"/>
        <v>51.411918339265</v>
      </c>
      <c r="F56" s="1938">
        <f t="shared" si="25"/>
        <v>101.00000000000001</v>
      </c>
      <c r="G56" s="1938">
        <f t="shared" si="25"/>
        <v>1.0000000000000002</v>
      </c>
      <c r="H56" s="699">
        <v>31.179177811144875</v>
      </c>
      <c r="I56" s="699">
        <v>6.1252274971435226E-2</v>
      </c>
      <c r="J56" s="2921">
        <v>6.0645816803401209E-4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3069.6762162937102</v>
      </c>
      <c r="D60" s="1934" t="s">
        <v>97</v>
      </c>
      <c r="E60" s="615"/>
      <c r="F60" s="615"/>
      <c r="G60" s="615"/>
      <c r="H60" s="1938">
        <f>IF(SUM(H61:H64,H66,H68)=0,"NO",SUM(H61:H64,H66,H68))</f>
        <v>206.92531959597153</v>
      </c>
      <c r="I60" s="1938">
        <f>IF(SUM(I61:I64,I66:I68)=0,"NO",SUM(I61:I64,I66:I68))</f>
        <v>0.22782759363307375</v>
      </c>
      <c r="J60" s="3064">
        <f>IF(SUM(J61:J64,J66:J68)=0,"NO",SUM(J61:J64,J66:J68))</f>
        <v>3.0377012484409838E-3</v>
      </c>
    </row>
    <row r="61" spans="2:10" ht="18" customHeight="1" x14ac:dyDescent="0.2">
      <c r="B61" s="282" t="s">
        <v>281</v>
      </c>
      <c r="C61" s="699">
        <v>3064.7367895521083</v>
      </c>
      <c r="D61" s="1934" t="s">
        <v>97</v>
      </c>
      <c r="E61" s="1938">
        <f t="shared" ref="E61:E63" si="27">IFERROR(H61*1000/$C61,"NA")</f>
        <v>67.400000000000006</v>
      </c>
      <c r="F61" s="1938">
        <f t="shared" ref="F61:G63" si="28">IFERROR(I61*1000000/$C61,"NA")</f>
        <v>74.338388343740704</v>
      </c>
      <c r="G61" s="1938">
        <f t="shared" si="28"/>
        <v>0.99117851124987622</v>
      </c>
      <c r="H61" s="699">
        <v>206.56325961581211</v>
      </c>
      <c r="I61" s="699">
        <v>0.22782759363307375</v>
      </c>
      <c r="J61" s="2921">
        <v>3.0377012484409838E-3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4.9394267416017872</v>
      </c>
      <c r="D68" s="1934" t="s">
        <v>97</v>
      </c>
      <c r="E68" s="615"/>
      <c r="F68" s="615"/>
      <c r="G68" s="615"/>
      <c r="H68" s="1938">
        <f>H69</f>
        <v>0.36205998015941099</v>
      </c>
      <c r="I68" s="1938" t="str">
        <f>I69</f>
        <v>NE</v>
      </c>
      <c r="J68" s="3064" t="str">
        <f>J69</f>
        <v>NE</v>
      </c>
    </row>
    <row r="69" spans="2:10" ht="18" customHeight="1" x14ac:dyDescent="0.2">
      <c r="B69" s="3083" t="s">
        <v>297</v>
      </c>
      <c r="C69" s="699">
        <v>4.9394267416017872</v>
      </c>
      <c r="D69" s="1934" t="s">
        <v>97</v>
      </c>
      <c r="E69" s="3081">
        <f t="shared" ref="E69" si="31">IFERROR(H69*1000/$C69,"NA")</f>
        <v>73.3</v>
      </c>
      <c r="F69" s="3081" t="str">
        <f>IFERROR(I69*1000000/$C69,"NA")</f>
        <v>NA</v>
      </c>
      <c r="G69" s="3081" t="str">
        <f>IFERROR(J69*1000000/$C69,"NA")</f>
        <v>NA</v>
      </c>
      <c r="H69" s="699">
        <v>0.36205998015941099</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22410</v>
      </c>
      <c r="D81" s="1934" t="s">
        <v>97</v>
      </c>
      <c r="E81" s="615"/>
      <c r="F81" s="615"/>
      <c r="G81" s="615"/>
      <c r="H81" s="1938">
        <f>IF(SUM(H82:H84,H86)=0,"NO",SUM(H82:H84,H86))</f>
        <v>1566.0892383667854</v>
      </c>
      <c r="I81" s="1938">
        <f>IF(SUM(I82:I86)=0,"NO",SUM(I82:I86))</f>
        <v>8.9560000000000001E-2</v>
      </c>
      <c r="J81" s="3064">
        <f>IF(SUM(J82:J86)=0,"NO",SUM(J82:J86))</f>
        <v>0.67169999999999996</v>
      </c>
    </row>
    <row r="82" spans="2:10" ht="18" customHeight="1" x14ac:dyDescent="0.2">
      <c r="B82" s="282" t="s">
        <v>243</v>
      </c>
      <c r="C82" s="699">
        <v>22390</v>
      </c>
      <c r="D82" s="1934" t="s">
        <v>97</v>
      </c>
      <c r="E82" s="1938">
        <f t="shared" ref="E82:E85" si="37">IFERROR(H82*1000/$C82,"NA")</f>
        <v>69.900000000000006</v>
      </c>
      <c r="F82" s="1938">
        <f t="shared" ref="F82:G85" si="38">IFERROR(I82*1000000/$C82,"NA")</f>
        <v>4</v>
      </c>
      <c r="G82" s="1938">
        <f t="shared" si="38"/>
        <v>30</v>
      </c>
      <c r="H82" s="699">
        <v>1565.0610000000001</v>
      </c>
      <c r="I82" s="699">
        <v>8.9560000000000001E-2</v>
      </c>
      <c r="J82" s="2921">
        <v>0.67169999999999996</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v>20</v>
      </c>
      <c r="D84" s="1934" t="s">
        <v>97</v>
      </c>
      <c r="E84" s="1938">
        <f t="shared" si="37"/>
        <v>51.411918339265</v>
      </c>
      <c r="F84" s="1938" t="str">
        <f t="shared" si="38"/>
        <v>NA</v>
      </c>
      <c r="G84" s="1938" t="str">
        <f t="shared" si="38"/>
        <v>NA</v>
      </c>
      <c r="H84" s="699">
        <v>1.0282383667853001</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33895.156483869891</v>
      </c>
      <c r="D88" s="1934" t="s">
        <v>97</v>
      </c>
      <c r="E88" s="615"/>
      <c r="F88" s="615"/>
      <c r="G88" s="615"/>
      <c r="H88" s="1938">
        <f>IF(SUM(H89:H92,H94,H96)=0,"NO",SUM(H89:H92,H94,H96))</f>
        <v>2479.3973764430052</v>
      </c>
      <c r="I88" s="3299">
        <f>IF(SUM(I89:I92,I94:I96)=0,"NE",SUM(I89:I92,I94:I96))</f>
        <v>3.8919238333644945</v>
      </c>
      <c r="J88" s="3300">
        <f>IF(SUM(J89:J92,J94:J96)=0,"NE",SUM(J89:J92,J94:J96))</f>
        <v>5.2435953238375695E-2</v>
      </c>
    </row>
    <row r="89" spans="2:10" ht="18" customHeight="1" x14ac:dyDescent="0.2">
      <c r="B89" s="282" t="s">
        <v>306</v>
      </c>
      <c r="C89" s="699">
        <v>13574.665000000001</v>
      </c>
      <c r="D89" s="1934" t="s">
        <v>97</v>
      </c>
      <c r="E89" s="1938">
        <f t="shared" ref="E89:E91" si="40">IFERROR(H89*1000/$C89,"NA")</f>
        <v>73.599999999999994</v>
      </c>
      <c r="F89" s="1938">
        <f t="shared" ref="F89:G91" si="41">IFERROR(I89*1000000/$C89,"NA")</f>
        <v>7.0000000000000009</v>
      </c>
      <c r="G89" s="1938">
        <f t="shared" si="41"/>
        <v>1.9999999999999998</v>
      </c>
      <c r="H89" s="699">
        <v>999.09534400000007</v>
      </c>
      <c r="I89" s="4435">
        <v>9.5022655000000011E-2</v>
      </c>
      <c r="J89" s="4436">
        <v>2.7149329999999999E-2</v>
      </c>
    </row>
    <row r="90" spans="2:10" ht="18" customHeight="1" x14ac:dyDescent="0.2">
      <c r="B90" s="282" t="s">
        <v>307</v>
      </c>
      <c r="C90" s="699">
        <v>5968.837474130878</v>
      </c>
      <c r="D90" s="1934" t="s">
        <v>97</v>
      </c>
      <c r="E90" s="1938">
        <f t="shared" si="40"/>
        <v>69.900000000000006</v>
      </c>
      <c r="F90" s="1938">
        <f t="shared" si="41"/>
        <v>7</v>
      </c>
      <c r="G90" s="1938">
        <f t="shared" si="41"/>
        <v>2.0000000000000004</v>
      </c>
      <c r="H90" s="699">
        <v>417.22173944174841</v>
      </c>
      <c r="I90" s="4435">
        <v>4.1781862318916146E-2</v>
      </c>
      <c r="J90" s="4436">
        <v>1.1937674948261758E-2</v>
      </c>
    </row>
    <row r="91" spans="2:10" ht="18" customHeight="1" x14ac:dyDescent="0.2">
      <c r="B91" s="282" t="s">
        <v>281</v>
      </c>
      <c r="C91" s="699">
        <v>10009.942544571048</v>
      </c>
      <c r="D91" s="1934" t="s">
        <v>97</v>
      </c>
      <c r="E91" s="1938">
        <f t="shared" si="40"/>
        <v>67.40000000000002</v>
      </c>
      <c r="F91" s="1938">
        <f t="shared" si="41"/>
        <v>360.00000000000011</v>
      </c>
      <c r="G91" s="1938">
        <f t="shared" si="41"/>
        <v>0.9</v>
      </c>
      <c r="H91" s="699">
        <v>674.67012750408878</v>
      </c>
      <c r="I91" s="4435">
        <v>3.603579316045578</v>
      </c>
      <c r="J91" s="4436">
        <v>9.0089482901139443E-3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60</v>
      </c>
      <c r="D94" s="1934" t="s">
        <v>97</v>
      </c>
      <c r="E94" s="1938">
        <f t="shared" ref="E94:E95" si="44">IFERROR(H94*1000/$C94,"NA")</f>
        <v>51.411918339264993</v>
      </c>
      <c r="F94" s="1938">
        <f t="shared" si="43"/>
        <v>243</v>
      </c>
      <c r="G94" s="1938">
        <f t="shared" si="43"/>
        <v>1</v>
      </c>
      <c r="H94" s="699">
        <v>3.0847151003558997</v>
      </c>
      <c r="I94" s="3301">
        <v>1.4579999999999999E-2</v>
      </c>
      <c r="J94" s="3302">
        <v>6.0000000000000002E-5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4281.7114651679649</v>
      </c>
      <c r="D96" s="1934" t="s">
        <v>97</v>
      </c>
      <c r="E96" s="615"/>
      <c r="F96" s="615"/>
      <c r="G96" s="615"/>
      <c r="H96" s="1938">
        <f>IF(SUM(H97:H98)=0,"NO",SUM(H97:H98))</f>
        <v>385.3254503968119</v>
      </c>
      <c r="I96" s="3299">
        <f>IF(SUM(I97:I98)=0,"NE",SUM(I97:I98))</f>
        <v>0.13696000000000003</v>
      </c>
      <c r="J96" s="3300">
        <f>IF(SUM(J97:J98)=0,"NE",SUM(J97:J98))</f>
        <v>4.2800000000000008E-3</v>
      </c>
    </row>
    <row r="97" spans="2:10" ht="18" customHeight="1" x14ac:dyDescent="0.2">
      <c r="B97" s="2592" t="s">
        <v>309</v>
      </c>
      <c r="C97" s="699">
        <v>4280.0000000000009</v>
      </c>
      <c r="D97" s="1934" t="s">
        <v>97</v>
      </c>
      <c r="E97" s="3081">
        <f t="shared" ref="E97" si="45">IFERROR(H97*1000/$C97,"NA")</f>
        <v>90.000000000000014</v>
      </c>
      <c r="F97" s="3081">
        <f>IFERROR(I97*1000000/$C97,"NA")</f>
        <v>32</v>
      </c>
      <c r="G97" s="3081">
        <f>IFERROR(J97*1000000/$C97,"NA")</f>
        <v>1</v>
      </c>
      <c r="H97" s="699">
        <v>385.2000000000001</v>
      </c>
      <c r="I97" s="3301">
        <v>0.13696000000000003</v>
      </c>
      <c r="J97" s="3302">
        <v>4.2800000000000008E-3</v>
      </c>
    </row>
    <row r="98" spans="2:10" ht="18" customHeight="1" x14ac:dyDescent="0.2">
      <c r="B98" s="2592" t="s">
        <v>297</v>
      </c>
      <c r="C98" s="699">
        <v>1.7114651679642572</v>
      </c>
      <c r="D98" s="1934" t="s">
        <v>97</v>
      </c>
      <c r="E98" s="3081">
        <f t="shared" ref="E98" si="46">IFERROR(H98*1000/$C98,"NA")</f>
        <v>73.3</v>
      </c>
      <c r="F98" s="3081" t="str">
        <f>IFERROR(I98*1000000/$C98,"NA")</f>
        <v>NA</v>
      </c>
      <c r="G98" s="3081" t="str">
        <f>IFERROR(J98*1000000/$C98,"NA")</f>
        <v>NA</v>
      </c>
      <c r="H98" s="699">
        <v>0.12545039681178005</v>
      </c>
      <c r="I98" s="3301" t="s">
        <v>221</v>
      </c>
      <c r="J98" s="3302" t="s">
        <v>221</v>
      </c>
    </row>
    <row r="99" spans="2:10" ht="18" customHeight="1" x14ac:dyDescent="0.2">
      <c r="B99" s="1240" t="s">
        <v>310</v>
      </c>
      <c r="C99" s="1938">
        <f>IF(SUM(C100:C104)=0,"NO",SUM(C100:C104))</f>
        <v>9210.6286192269436</v>
      </c>
      <c r="D99" s="1934" t="s">
        <v>97</v>
      </c>
      <c r="E99" s="615"/>
      <c r="F99" s="615"/>
      <c r="G99" s="615"/>
      <c r="H99" s="1938">
        <f>IF(SUM(H100:H103)=0,"NO",SUM(H100:H103))</f>
        <v>483.38629450690138</v>
      </c>
      <c r="I99" s="1938">
        <f>IF(SUM(I100:I104)=0,"NO",SUM(I100:I104))</f>
        <v>9.7255357132755405E-2</v>
      </c>
      <c r="J99" s="3064">
        <f>IF(SUM(J100:J104)=0,"NO",SUM(J100:J104))</f>
        <v>9.7916206780042782E-4</v>
      </c>
    </row>
    <row r="100" spans="2:10" ht="18" customHeight="1" x14ac:dyDescent="0.2">
      <c r="B100" s="282" t="s">
        <v>243</v>
      </c>
      <c r="C100" s="1938">
        <f>IF(SUM(C106,C113:C116)=0,"NO",SUM(C106,C113:C116))</f>
        <v>595.81033900213981</v>
      </c>
      <c r="D100" s="1934" t="s">
        <v>97</v>
      </c>
      <c r="E100" s="3081">
        <f t="shared" ref="E100:E104" si="47">IFERROR(H100*1000/$C100,"NA")</f>
        <v>67.400000000000006</v>
      </c>
      <c r="F100" s="3081">
        <f t="shared" ref="F100:G104" si="48">IFERROR(I100*1000000/$C100,"NA")</f>
        <v>50.000000000000007</v>
      </c>
      <c r="G100" s="3081">
        <f t="shared" si="48"/>
        <v>0.20000000000000004</v>
      </c>
      <c r="H100" s="1938">
        <f>IF(SUM(H106,H113:H116)=0,"NO",SUM(H106,H113:H116))</f>
        <v>40.157616848744226</v>
      </c>
      <c r="I100" s="1938">
        <f>IF(SUM(I106,I113:I116)=0,"NO",SUM(I106,I113:I116))</f>
        <v>2.9790516950106993E-2</v>
      </c>
      <c r="J100" s="3064">
        <f>IF(SUM(J106,J113:J116)=0,"NO",SUM(J106,J113:J116))</f>
        <v>1.1916206780042799E-4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8599.9999999999982</v>
      </c>
      <c r="D102" s="1934" t="s">
        <v>97</v>
      </c>
      <c r="E102" s="3081">
        <f t="shared" si="47"/>
        <v>51.411918339265</v>
      </c>
      <c r="F102" s="3081">
        <f t="shared" si="48"/>
        <v>7.8447488584474909</v>
      </c>
      <c r="G102" s="3081">
        <f t="shared" si="48"/>
        <v>0.1</v>
      </c>
      <c r="H102" s="1938">
        <f t="shared" si="49"/>
        <v>442.14249771767891</v>
      </c>
      <c r="I102" s="1938">
        <f t="shared" si="49"/>
        <v>6.7464840182648408E-2</v>
      </c>
      <c r="J102" s="3064">
        <f t="shared" si="49"/>
        <v>8.5999999999999987E-4</v>
      </c>
    </row>
    <row r="103" spans="2:10" ht="18" customHeight="1" x14ac:dyDescent="0.2">
      <c r="B103" s="282" t="s">
        <v>290</v>
      </c>
      <c r="C103" s="1938">
        <f>IF(SUM(C109,C120)=0,"NO",SUM(C109,C120))</f>
        <v>14.818280224805362</v>
      </c>
      <c r="D103" s="1934" t="s">
        <v>97</v>
      </c>
      <c r="E103" s="3081">
        <f t="shared" si="47"/>
        <v>73.299999999999983</v>
      </c>
      <c r="F103" s="3081" t="str">
        <f t="shared" si="48"/>
        <v>NA</v>
      </c>
      <c r="G103" s="3081" t="str">
        <f t="shared" si="48"/>
        <v>NA</v>
      </c>
      <c r="H103" s="1938">
        <f t="shared" si="49"/>
        <v>1.0861799404782329</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8599.9999999999982</v>
      </c>
      <c r="D105" s="1934" t="s">
        <v>97</v>
      </c>
      <c r="E105" s="615"/>
      <c r="F105" s="615"/>
      <c r="G105" s="615"/>
      <c r="H105" s="1938">
        <f>IF(SUM(H106:H109)=0,"NO",SUM(H106:H109))</f>
        <v>442.14249771767891</v>
      </c>
      <c r="I105" s="1938">
        <f>IF(SUM(I106:I110)=0,"NO",SUM(I106:I110))</f>
        <v>6.7464840182648408E-2</v>
      </c>
      <c r="J105" s="3064">
        <f>IF(SUM(J106:J110)=0,"NO",SUM(J106:J110))</f>
        <v>8.5999999999999987E-4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8599.9999999999982</v>
      </c>
      <c r="D108" s="1934" t="s">
        <v>97</v>
      </c>
      <c r="E108" s="3081">
        <f t="shared" si="50"/>
        <v>51.411918339265</v>
      </c>
      <c r="F108" s="3081">
        <f t="shared" si="51"/>
        <v>7.8447488584474909</v>
      </c>
      <c r="G108" s="3081">
        <f t="shared" si="51"/>
        <v>0.1</v>
      </c>
      <c r="H108" s="699">
        <v>442.14249771767891</v>
      </c>
      <c r="I108" s="699">
        <v>6.7464840182648408E-2</v>
      </c>
      <c r="J108" s="2921">
        <v>8.5999999999999987E-4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610.62861922694515</v>
      </c>
      <c r="D111" s="1934" t="s">
        <v>97</v>
      </c>
      <c r="E111" s="615"/>
      <c r="F111" s="615"/>
      <c r="G111" s="615"/>
      <c r="H111" s="1938">
        <f>H112</f>
        <v>41.243796789222458</v>
      </c>
      <c r="I111" s="1938">
        <f>I112</f>
        <v>2.9790516950106993E-2</v>
      </c>
      <c r="J111" s="3064">
        <f>J112</f>
        <v>1.1916206780042799E-4</v>
      </c>
    </row>
    <row r="112" spans="2:10" ht="18" customHeight="1" x14ac:dyDescent="0.2">
      <c r="B112" s="3068" t="s">
        <v>313</v>
      </c>
      <c r="C112" s="3077">
        <f>IF(SUM(C113:C116,C118:C121)=0,"NO",SUM(C113:C116,C118:C121))</f>
        <v>610.62861922694515</v>
      </c>
      <c r="D112" s="3077" t="s">
        <v>97</v>
      </c>
      <c r="E112" s="615"/>
      <c r="F112" s="615"/>
      <c r="G112" s="615"/>
      <c r="H112" s="3077">
        <f>IF(SUM(H113:H116,H118:H120)=0,"NO",SUM(H113:H116,H118:H120))</f>
        <v>41.243796789222458</v>
      </c>
      <c r="I112" s="3077">
        <f>IF(SUM(I113:I116,I118:I121)=0,"NO",SUM(I113:I116,I118:I121))</f>
        <v>2.9790516950106993E-2</v>
      </c>
      <c r="J112" s="3078">
        <f>IF(SUM(J113:J116,J118:J121)=0,"NO",SUM(J113:J116,J118:J121))</f>
        <v>1.1916206780042799E-4</v>
      </c>
    </row>
    <row r="113" spans="2:10" ht="18" customHeight="1" x14ac:dyDescent="0.2">
      <c r="B113" s="282" t="s">
        <v>281</v>
      </c>
      <c r="C113" s="699">
        <v>595.81033900213981</v>
      </c>
      <c r="D113" s="1938" t="s">
        <v>97</v>
      </c>
      <c r="E113" s="1938">
        <f t="shared" ref="E113:E115" si="52">IFERROR(H113*1000/$C113,"NA")</f>
        <v>67.400000000000006</v>
      </c>
      <c r="F113" s="1938">
        <f t="shared" ref="F113:G115" si="53">IFERROR(I113*1000000/$C113,"NA")</f>
        <v>50.000000000000007</v>
      </c>
      <c r="G113" s="1938">
        <f t="shared" si="53"/>
        <v>0.20000000000000004</v>
      </c>
      <c r="H113" s="699">
        <v>40.157616848744226</v>
      </c>
      <c r="I113" s="699">
        <v>2.9790516950106993E-2</v>
      </c>
      <c r="J113" s="2921">
        <v>1.1916206780042799E-4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14.818280224805362</v>
      </c>
      <c r="D120" s="1934" t="s">
        <v>97</v>
      </c>
      <c r="E120" s="3081">
        <f t="shared" si="54"/>
        <v>73.299999999999983</v>
      </c>
      <c r="F120" s="3081" t="str">
        <f t="shared" si="55"/>
        <v>NA</v>
      </c>
      <c r="G120" s="3081" t="str">
        <f t="shared" si="55"/>
        <v>NA</v>
      </c>
      <c r="H120" s="699">
        <v>1.0861799404782329</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345283.69529671629</v>
      </c>
      <c r="D10" s="3087" t="s">
        <v>97</v>
      </c>
      <c r="E10" s="2161"/>
      <c r="F10" s="2161"/>
      <c r="G10" s="2161"/>
      <c r="H10" s="3087">
        <f>IF(SUM(H11:H15)=0,"NO",SUM(H11:H15))</f>
        <v>15281.499188238162</v>
      </c>
      <c r="I10" s="3087">
        <f>IF(SUM(I11:I16)=0,"NO",SUM(I11:I16))</f>
        <v>88.953625740979533</v>
      </c>
      <c r="J10" s="3087">
        <f>IF(SUM(J11:J16)=0,"NO",SUM(J11:J16))</f>
        <v>0.59697391044693204</v>
      </c>
      <c r="K10" s="416" t="str">
        <f>IF(SUM(K11:K16)=0,"NO",SUM(K11:K16))</f>
        <v>NO</v>
      </c>
    </row>
    <row r="11" spans="2:12" ht="18" customHeight="1" x14ac:dyDescent="0.2">
      <c r="B11" s="282" t="s">
        <v>243</v>
      </c>
      <c r="C11" s="1938">
        <f>IF(SUM(C18,C39,C60)=0,"NO",SUM(C18,C39,C60))</f>
        <v>98937.045296716344</v>
      </c>
      <c r="D11" s="3087" t="s">
        <v>97</v>
      </c>
      <c r="E11" s="1938">
        <f t="shared" ref="E11:E16" si="0">IFERROR(H11*1000/$C11,"NA")</f>
        <v>68.179167306837201</v>
      </c>
      <c r="F11" s="1938">
        <f t="shared" ref="F11:G16" si="1">IFERROR(I11*1000000/$C11,"NA")</f>
        <v>9.4832413365916004</v>
      </c>
      <c r="G11" s="1938">
        <f t="shared" si="1"/>
        <v>2.639339262717693</v>
      </c>
      <c r="H11" s="1938">
        <f>IF(SUM(H18,H39,H60)=0,"NO",SUM(H18,H39,H60))</f>
        <v>6745.4453641289538</v>
      </c>
      <c r="I11" s="1938">
        <f>IF(SUM(I18,I39,I60)=0,"NO",SUM(I18,I39,I60))</f>
        <v>0.93824387767805606</v>
      </c>
      <c r="J11" s="1938">
        <f>IF(SUM(J18,J39,J60)=0,"NO",SUM(J18,J39,J60))</f>
        <v>0.26112842818890231</v>
      </c>
      <c r="K11" s="3064" t="str">
        <f>IF(SUM(K18,K39,K60)=0,"NO",SUM(K18,K39,K60))</f>
        <v>NO</v>
      </c>
    </row>
    <row r="12" spans="2:12" ht="18" customHeight="1" x14ac:dyDescent="0.2">
      <c r="B12" s="282" t="s">
        <v>245</v>
      </c>
      <c r="C12" s="1938">
        <f t="shared" ref="C12:C16" si="2">IF(SUM(C19,C40,C61)=0,"NO",SUM(C19,C40,C61))</f>
        <v>3299.9999999999991</v>
      </c>
      <c r="D12" s="3087" t="s">
        <v>97</v>
      </c>
      <c r="E12" s="1938">
        <f t="shared" si="0"/>
        <v>92.878787878787904</v>
      </c>
      <c r="F12" s="1938">
        <f t="shared" si="1"/>
        <v>0.95238095238095255</v>
      </c>
      <c r="G12" s="1938">
        <f t="shared" si="1"/>
        <v>0.66666666666666674</v>
      </c>
      <c r="H12" s="1938">
        <f t="shared" ref="H12:K16" si="3">IF(SUM(H19,H40,H61)=0,"NO",SUM(H19,H40,H61))</f>
        <v>306.5</v>
      </c>
      <c r="I12" s="1938">
        <f t="shared" si="3"/>
        <v>3.1428571428571426E-3</v>
      </c>
      <c r="J12" s="1938">
        <f t="shared" si="3"/>
        <v>2.1999999999999997E-3</v>
      </c>
      <c r="K12" s="3064" t="str">
        <f t="shared" si="3"/>
        <v>NO</v>
      </c>
    </row>
    <row r="13" spans="2:12" ht="18" customHeight="1" x14ac:dyDescent="0.2">
      <c r="B13" s="282" t="s">
        <v>246</v>
      </c>
      <c r="C13" s="1938">
        <f t="shared" si="2"/>
        <v>159900</v>
      </c>
      <c r="D13" s="3087" t="s">
        <v>97</v>
      </c>
      <c r="E13" s="1938">
        <f t="shared" si="0"/>
        <v>51.466878199557279</v>
      </c>
      <c r="F13" s="1938">
        <f t="shared" si="1"/>
        <v>0.90909090909090906</v>
      </c>
      <c r="G13" s="1938">
        <f t="shared" si="1"/>
        <v>0.90909090909090906</v>
      </c>
      <c r="H13" s="1938">
        <f t="shared" si="3"/>
        <v>8229.553824109209</v>
      </c>
      <c r="I13" s="1938">
        <f t="shared" si="3"/>
        <v>0.14536363636363636</v>
      </c>
      <c r="J13" s="1938">
        <f t="shared" si="3"/>
        <v>0.14536363636363636</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83146.649999999994</v>
      </c>
      <c r="D16" s="3087" t="s">
        <v>97</v>
      </c>
      <c r="E16" s="1938">
        <f t="shared" si="0"/>
        <v>73.577661998408857</v>
      </c>
      <c r="F16" s="1938">
        <f t="shared" si="1"/>
        <v>1056.7698803234405</v>
      </c>
      <c r="G16" s="1938">
        <f t="shared" si="1"/>
        <v>2.2644549827851557</v>
      </c>
      <c r="H16" s="1938">
        <f t="shared" si="3"/>
        <v>6117.7361100000016</v>
      </c>
      <c r="I16" s="1938">
        <f t="shared" si="3"/>
        <v>87.866875369794982</v>
      </c>
      <c r="J16" s="1938">
        <f t="shared" si="3"/>
        <v>0.18828184589439337</v>
      </c>
      <c r="K16" s="3064" t="str">
        <f t="shared" si="3"/>
        <v>NO</v>
      </c>
    </row>
    <row r="17" spans="2:11" ht="18" customHeight="1" x14ac:dyDescent="0.2">
      <c r="B17" s="1240" t="s">
        <v>322</v>
      </c>
      <c r="C17" s="3087">
        <f>IF(SUM(C18:C23)=0,"NO",SUM(C18:C23))</f>
        <v>71166.649999999994</v>
      </c>
      <c r="D17" s="3087" t="s">
        <v>97</v>
      </c>
      <c r="E17" s="615"/>
      <c r="F17" s="615"/>
      <c r="G17" s="615"/>
      <c r="H17" s="3057">
        <f>IF(SUM(H18:H22)=0,"NO",SUM(H18:H22))</f>
        <v>4115.4206136061903</v>
      </c>
      <c r="I17" s="3057">
        <f>IF(SUM(I18:I23)=0,"NO",SUM(I18:I23))</f>
        <v>6.9556263095238102E-2</v>
      </c>
      <c r="J17" s="3088">
        <f>IF(SUM(J18:J23)=0,"NO",SUM(J18:J23))</f>
        <v>8.1926401190476172E-2</v>
      </c>
      <c r="K17" s="3064" t="str">
        <f>IF(SUM(K18:K23)=0,"NO",SUM(K18:K23))</f>
        <v>NO</v>
      </c>
    </row>
    <row r="18" spans="2:11" ht="18" customHeight="1" x14ac:dyDescent="0.2">
      <c r="B18" s="282" t="s">
        <v>243</v>
      </c>
      <c r="C18" s="3087">
        <f>IF(SUM(C26,C33)=0,"NO",SUM(C26,C33))</f>
        <v>21720.000000000004</v>
      </c>
      <c r="D18" s="3087" t="s">
        <v>97</v>
      </c>
      <c r="E18" s="1938">
        <f t="shared" ref="E18" si="4">IFERROR(H18*1000/$C18,"NA")</f>
        <v>67.216039134438304</v>
      </c>
      <c r="F18" s="1938">
        <f t="shared" ref="F18:G23" si="5">IFERROR(I18*1000000/$C18,"NA")</f>
        <v>1.0330645444181352</v>
      </c>
      <c r="G18" s="1938">
        <f t="shared" si="5"/>
        <v>1.6799083574497933</v>
      </c>
      <c r="H18" s="3087">
        <f>IF(SUM(H26,H33)=0,"NO",SUM(H26,H33))</f>
        <v>1459.9323700000002</v>
      </c>
      <c r="I18" s="3087">
        <f>IF(SUM(I26,I33)=0,"NO",SUM(I26,I33))</f>
        <v>2.2438161904761902E-2</v>
      </c>
      <c r="J18" s="3087">
        <f>IF(SUM(J26,J33)=0,"NO",SUM(J26,J33))</f>
        <v>3.6487609523809514E-2</v>
      </c>
      <c r="K18" s="3064" t="str">
        <f>IF(SUM(K26,K33)=0,"NO",SUM(K26,K33))</f>
        <v>NO</v>
      </c>
    </row>
    <row r="19" spans="2:11" ht="18" customHeight="1" x14ac:dyDescent="0.2">
      <c r="B19" s="282" t="s">
        <v>245</v>
      </c>
      <c r="C19" s="3087">
        <f t="shared" ref="C19:C21" si="6">IF(SUM(C27,C34)=0,"NO",SUM(C27,C34))</f>
        <v>2999.9999999999991</v>
      </c>
      <c r="D19" s="3087" t="s">
        <v>97</v>
      </c>
      <c r="E19" s="1938">
        <f t="shared" ref="E19:E23" si="7">IFERROR(H19*1000/$C19,"NA")</f>
        <v>92.833333333333357</v>
      </c>
      <c r="F19" s="1938">
        <f t="shared" si="5"/>
        <v>0.95238095238095255</v>
      </c>
      <c r="G19" s="1938">
        <f t="shared" si="5"/>
        <v>0.66666666666666674</v>
      </c>
      <c r="H19" s="3087">
        <f t="shared" ref="H19:K21" si="8">IF(SUM(H27,H34)=0,"NO",SUM(H27,H34))</f>
        <v>278.5</v>
      </c>
      <c r="I19" s="3087">
        <f t="shared" si="8"/>
        <v>2.8571428571428567E-3</v>
      </c>
      <c r="J19" s="3087">
        <f t="shared" si="8"/>
        <v>1.9999999999999996E-3</v>
      </c>
      <c r="K19" s="3064" t="str">
        <f t="shared" si="8"/>
        <v>NO</v>
      </c>
    </row>
    <row r="20" spans="2:11" ht="18" customHeight="1" x14ac:dyDescent="0.2">
      <c r="B20" s="282" t="s">
        <v>246</v>
      </c>
      <c r="C20" s="3087">
        <f t="shared" si="6"/>
        <v>46199.999999999993</v>
      </c>
      <c r="D20" s="3087" t="s">
        <v>97</v>
      </c>
      <c r="E20" s="1938">
        <f t="shared" si="7"/>
        <v>51.449961982817968</v>
      </c>
      <c r="F20" s="1938">
        <f t="shared" si="5"/>
        <v>0.90909090909090928</v>
      </c>
      <c r="G20" s="1938">
        <f t="shared" si="5"/>
        <v>0.90909090909090928</v>
      </c>
      <c r="H20" s="3087">
        <f t="shared" si="8"/>
        <v>2376.9882436061898</v>
      </c>
      <c r="I20" s="3087">
        <f t="shared" si="8"/>
        <v>4.2000000000000003E-2</v>
      </c>
      <c r="J20" s="3087">
        <f t="shared" si="8"/>
        <v>4.2000000000000003E-2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246.64999999999998</v>
      </c>
      <c r="D23" s="3087" t="s">
        <v>97</v>
      </c>
      <c r="E23" s="1938">
        <f t="shared" si="7"/>
        <v>94</v>
      </c>
      <c r="F23" s="1938">
        <f t="shared" si="5"/>
        <v>9.1666666666666679</v>
      </c>
      <c r="G23" s="1938">
        <f t="shared" si="5"/>
        <v>5.8333333333333339</v>
      </c>
      <c r="H23" s="3087">
        <f>IF(SUM(H31,H37)=0,"NO",SUM(H31,H37))</f>
        <v>23.185099999999998</v>
      </c>
      <c r="I23" s="3087">
        <f>IF(SUM(I31,I37)=0,"NO",SUM(I31,I37))</f>
        <v>2.2609583333333336E-3</v>
      </c>
      <c r="J23" s="3087">
        <f>IF(SUM(J31,J37)=0,"NO",SUM(J31,J37))</f>
        <v>1.4387916666666668E-3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71166.649999999994</v>
      </c>
      <c r="D25" s="3057" t="s">
        <v>97</v>
      </c>
      <c r="E25" s="615"/>
      <c r="F25" s="615"/>
      <c r="G25" s="615"/>
      <c r="H25" s="3057">
        <f>IF(SUM(H26:H30)=0,"NO",SUM(H26:H30))</f>
        <v>4115.4206136061903</v>
      </c>
      <c r="I25" s="3057">
        <f>IF(SUM(I26:I31)=0,"NO",SUM(I26:I31))</f>
        <v>6.9556263095238102E-2</v>
      </c>
      <c r="J25" s="3088">
        <f>IF(SUM(J26:J31)=0,"NO",SUM(J26:J31))</f>
        <v>8.1926401190476172E-2</v>
      </c>
      <c r="K25" s="3064" t="str">
        <f>IF(SUM(K26:K31)=0,"NO",SUM(K26:K31))</f>
        <v>NO</v>
      </c>
    </row>
    <row r="26" spans="2:11" ht="18" customHeight="1" x14ac:dyDescent="0.2">
      <c r="B26" s="282" t="s">
        <v>243</v>
      </c>
      <c r="C26" s="699">
        <v>21720.000000000004</v>
      </c>
      <c r="D26" s="3057" t="s">
        <v>97</v>
      </c>
      <c r="E26" s="1938">
        <f t="shared" ref="E26:E31" si="9">IFERROR(H26*1000/$C26,"NA")</f>
        <v>67.216039134438304</v>
      </c>
      <c r="F26" s="1938">
        <f t="shared" ref="F26:G31" si="10">IFERROR(I26*1000000/$C26,"NA")</f>
        <v>1.0330645444181352</v>
      </c>
      <c r="G26" s="1938">
        <f t="shared" si="10"/>
        <v>1.6799083574497933</v>
      </c>
      <c r="H26" s="699">
        <v>1459.9323700000002</v>
      </c>
      <c r="I26" s="699">
        <v>2.2438161904761902E-2</v>
      </c>
      <c r="J26" s="699">
        <v>3.6487609523809514E-2</v>
      </c>
      <c r="K26" s="2921" t="s">
        <v>199</v>
      </c>
    </row>
    <row r="27" spans="2:11" ht="18" customHeight="1" x14ac:dyDescent="0.2">
      <c r="B27" s="282" t="s">
        <v>245</v>
      </c>
      <c r="C27" s="699">
        <v>2999.9999999999991</v>
      </c>
      <c r="D27" s="3057" t="s">
        <v>97</v>
      </c>
      <c r="E27" s="1938">
        <f t="shared" si="9"/>
        <v>92.833333333333357</v>
      </c>
      <c r="F27" s="1938">
        <f t="shared" si="10"/>
        <v>0.95238095238095255</v>
      </c>
      <c r="G27" s="1938">
        <f t="shared" si="10"/>
        <v>0.66666666666666674</v>
      </c>
      <c r="H27" s="699">
        <v>278.5</v>
      </c>
      <c r="I27" s="699">
        <v>2.8571428571428567E-3</v>
      </c>
      <c r="J27" s="699">
        <v>1.9999999999999996E-3</v>
      </c>
      <c r="K27" s="2921" t="s">
        <v>199</v>
      </c>
    </row>
    <row r="28" spans="2:11" ht="18" customHeight="1" x14ac:dyDescent="0.2">
      <c r="B28" s="282" t="s">
        <v>246</v>
      </c>
      <c r="C28" s="699">
        <v>46199.999999999993</v>
      </c>
      <c r="D28" s="3057" t="s">
        <v>97</v>
      </c>
      <c r="E28" s="1938">
        <f t="shared" si="9"/>
        <v>51.449961982817968</v>
      </c>
      <c r="F28" s="1938">
        <f t="shared" si="10"/>
        <v>0.90909090909090928</v>
      </c>
      <c r="G28" s="1938">
        <f t="shared" si="10"/>
        <v>0.90909090909090928</v>
      </c>
      <c r="H28" s="699">
        <v>2376.9882436061898</v>
      </c>
      <c r="I28" s="699">
        <v>4.2000000000000003E-2</v>
      </c>
      <c r="J28" s="699">
        <v>4.2000000000000003E-2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246.64999999999998</v>
      </c>
      <c r="D31" s="3057" t="s">
        <v>97</v>
      </c>
      <c r="E31" s="1938">
        <f t="shared" si="9"/>
        <v>94</v>
      </c>
      <c r="F31" s="1938">
        <f t="shared" si="10"/>
        <v>9.1666666666666679</v>
      </c>
      <c r="G31" s="1938">
        <f t="shared" si="10"/>
        <v>5.8333333333333339</v>
      </c>
      <c r="H31" s="699">
        <v>23.185099999999998</v>
      </c>
      <c r="I31" s="699">
        <v>2.2609583333333336E-3</v>
      </c>
      <c r="J31" s="699">
        <v>1.4387916666666668E-3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216409.94529671632</v>
      </c>
      <c r="D38" s="3057" t="s">
        <v>97</v>
      </c>
      <c r="E38" s="615"/>
      <c r="F38" s="615"/>
      <c r="G38" s="615"/>
      <c r="H38" s="1938">
        <f>IF(SUM(H39:H43)=0,"NO",SUM(H39:H43))</f>
        <v>7143.7016827980442</v>
      </c>
      <c r="I38" s="1938">
        <f>IF(SUM(I39:I44)=0,"NO",SUM(I39:I44))</f>
        <v>88.659097616412424</v>
      </c>
      <c r="J38" s="1938">
        <f>IF(SUM(J39:J44)=0,"NO",SUM(J39:J44))</f>
        <v>0.30145736207030865</v>
      </c>
      <c r="K38" s="3064" t="str">
        <f>IF(SUM(K39:K44)=0,"NO",SUM(K39:K44))</f>
        <v>NO</v>
      </c>
    </row>
    <row r="39" spans="2:11" ht="18" customHeight="1" x14ac:dyDescent="0.2">
      <c r="B39" s="282" t="s">
        <v>243</v>
      </c>
      <c r="C39" s="3087">
        <f>IF(SUM(C47,C54)=0,"NO",SUM(C47,C54))</f>
        <v>19609.945296716323</v>
      </c>
      <c r="D39" s="3057" t="s">
        <v>97</v>
      </c>
      <c r="E39" s="1938">
        <f t="shared" ref="E39:E44" si="13">IFERROR(H39*1000/$C39,"NA")</f>
        <v>64.675208162937849</v>
      </c>
      <c r="F39" s="1938">
        <f t="shared" ref="F39:G44" si="14">IFERROR(I39*1000000/$C39,"NA")</f>
        <v>35.233385557074286</v>
      </c>
      <c r="G39" s="1938">
        <f t="shared" si="14"/>
        <v>0.56815969658621723</v>
      </c>
      <c r="H39" s="1938">
        <f>IF(SUM(H47,H54)=0,"NO",SUM(H47,H54))</f>
        <v>1268.2772941289522</v>
      </c>
      <c r="I39" s="1938">
        <f>IF(SUM(I47,I54)=0,"NO",SUM(I47,I54))</f>
        <v>0.69092476339234177</v>
      </c>
      <c r="J39" s="1938">
        <f>IF(SUM(J47,J54)=0,"NO",SUM(J47,J54))</f>
        <v>1.1141580569854665E-2</v>
      </c>
      <c r="K39" s="3064" t="str">
        <f>IF(SUM(K47,K54)=0,"NO",SUM(K47,K54))</f>
        <v>NO</v>
      </c>
    </row>
    <row r="40" spans="2:11" ht="18" customHeight="1" x14ac:dyDescent="0.2">
      <c r="B40" s="282" t="s">
        <v>245</v>
      </c>
      <c r="C40" s="3087">
        <f t="shared" ref="C40:C42" si="15">IF(SUM(C48,C55)=0,"NO",SUM(C48,C55))</f>
        <v>300.00000000000006</v>
      </c>
      <c r="D40" s="3057" t="s">
        <v>97</v>
      </c>
      <c r="E40" s="1938">
        <f t="shared" si="13"/>
        <v>93.333333333333314</v>
      </c>
      <c r="F40" s="1938">
        <f t="shared" si="14"/>
        <v>0.95238095238095222</v>
      </c>
      <c r="G40" s="1938">
        <f t="shared" si="14"/>
        <v>0.66666666666666641</v>
      </c>
      <c r="H40" s="1938">
        <f t="shared" ref="H40:K42" si="16">IF(SUM(H48,H55)=0,"NO",SUM(H48,H55))</f>
        <v>28</v>
      </c>
      <c r="I40" s="1938">
        <f t="shared" si="16"/>
        <v>2.8571428571428574E-4</v>
      </c>
      <c r="J40" s="1938">
        <f t="shared" si="16"/>
        <v>1.9999999999999998E-4</v>
      </c>
      <c r="K40" s="3064" t="str">
        <f t="shared" si="16"/>
        <v>NO</v>
      </c>
    </row>
    <row r="41" spans="2:11" ht="18" customHeight="1" x14ac:dyDescent="0.2">
      <c r="B41" s="282" t="s">
        <v>246</v>
      </c>
      <c r="C41" s="3087">
        <f t="shared" si="15"/>
        <v>113600</v>
      </c>
      <c r="D41" s="3057" t="s">
        <v>97</v>
      </c>
      <c r="E41" s="1938">
        <f t="shared" si="13"/>
        <v>51.473806238284261</v>
      </c>
      <c r="F41" s="1938">
        <f t="shared" si="14"/>
        <v>0.90909090909090906</v>
      </c>
      <c r="G41" s="1938">
        <f t="shared" si="14"/>
        <v>0.90909090909090906</v>
      </c>
      <c r="H41" s="1938">
        <f t="shared" si="16"/>
        <v>5847.424388669092</v>
      </c>
      <c r="I41" s="1938">
        <f t="shared" si="16"/>
        <v>0.10327272727272727</v>
      </c>
      <c r="J41" s="1938">
        <f t="shared" si="16"/>
        <v>0.10327272727272727</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82900</v>
      </c>
      <c r="D44" s="3057" t="s">
        <v>97</v>
      </c>
      <c r="E44" s="1938">
        <f t="shared" si="13"/>
        <v>73.516900000000021</v>
      </c>
      <c r="F44" s="1938">
        <f t="shared" si="14"/>
        <v>1059.8867842154602</v>
      </c>
      <c r="G44" s="1938">
        <f t="shared" si="14"/>
        <v>2.2538366010582234</v>
      </c>
      <c r="H44" s="1938">
        <f>IF(SUM(H52,H58)=0,"NO",SUM(H52,H58))</f>
        <v>6094.551010000002</v>
      </c>
      <c r="I44" s="1938">
        <f>IF(SUM(I52,I58)=0,"NO",SUM(I52,I58))</f>
        <v>87.864614411461645</v>
      </c>
      <c r="J44" s="1938">
        <f>IF(SUM(J52,J58)=0,"NO",SUM(J52,J58))</f>
        <v>0.18684305422772671</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212702.68096514745</v>
      </c>
      <c r="D46" s="3057" t="s">
        <v>97</v>
      </c>
      <c r="E46" s="615"/>
      <c r="F46" s="615"/>
      <c r="G46" s="615"/>
      <c r="H46" s="1938">
        <f>IF(SUM(H47:H51)=0,"NO",SUM(H47:H51))</f>
        <v>6888.0391071677514</v>
      </c>
      <c r="I46" s="1938">
        <f>IF(SUM(I47:I52)=0,"NO",SUM(I47:I52))</f>
        <v>87.991790036730038</v>
      </c>
      <c r="J46" s="1938">
        <f>IF(SUM(J47:J52)=0,"NO",SUM(J47:J52))</f>
        <v>0.29997445633768111</v>
      </c>
      <c r="K46" s="3064" t="str">
        <f>IF(SUM(K47:K52)=0,"NO",SUM(K47:K52))</f>
        <v>NO</v>
      </c>
    </row>
    <row r="47" spans="2:11" ht="18" customHeight="1" x14ac:dyDescent="0.2">
      <c r="B47" s="282" t="s">
        <v>243</v>
      </c>
      <c r="C47" s="699">
        <v>15902.680965147454</v>
      </c>
      <c r="D47" s="3057" t="s">
        <v>97</v>
      </c>
      <c r="E47" s="1938">
        <f t="shared" ref="E47:E52" si="17">IFERROR(H47*1000/$C47,"NA")</f>
        <v>63.675723654264381</v>
      </c>
      <c r="F47" s="1938">
        <f t="shared" ref="F47:G52" si="18">IFERROR(I47*1000000/$C47,"NA")</f>
        <v>1.4851070559552109</v>
      </c>
      <c r="G47" s="1938">
        <f t="shared" si="18"/>
        <v>0.60736141650550668</v>
      </c>
      <c r="H47" s="699">
        <v>1012.6147184986596</v>
      </c>
      <c r="I47" s="699">
        <v>2.3617183709945106E-2</v>
      </c>
      <c r="J47" s="699">
        <v>9.6586748372271165E-3</v>
      </c>
      <c r="K47" s="2921" t="s">
        <v>199</v>
      </c>
    </row>
    <row r="48" spans="2:11" ht="18" customHeight="1" x14ac:dyDescent="0.2">
      <c r="B48" s="282" t="s">
        <v>245</v>
      </c>
      <c r="C48" s="699">
        <v>300.00000000000006</v>
      </c>
      <c r="D48" s="3057" t="s">
        <v>97</v>
      </c>
      <c r="E48" s="1938">
        <f t="shared" si="17"/>
        <v>93.333333333333314</v>
      </c>
      <c r="F48" s="1938">
        <f t="shared" si="18"/>
        <v>0.95238095238095222</v>
      </c>
      <c r="G48" s="1938">
        <f t="shared" si="18"/>
        <v>0.66666666666666641</v>
      </c>
      <c r="H48" s="699">
        <v>28</v>
      </c>
      <c r="I48" s="699">
        <v>2.8571428571428574E-4</v>
      </c>
      <c r="J48" s="699">
        <v>1.9999999999999998E-4</v>
      </c>
      <c r="K48" s="2921" t="s">
        <v>199</v>
      </c>
    </row>
    <row r="49" spans="2:11" ht="18" customHeight="1" x14ac:dyDescent="0.2">
      <c r="B49" s="282" t="s">
        <v>246</v>
      </c>
      <c r="C49" s="699">
        <v>113600</v>
      </c>
      <c r="D49" s="3057" t="s">
        <v>97</v>
      </c>
      <c r="E49" s="1938">
        <f t="shared" si="17"/>
        <v>51.473806238284261</v>
      </c>
      <c r="F49" s="1938">
        <f t="shared" si="18"/>
        <v>0.90909090909090906</v>
      </c>
      <c r="G49" s="1938">
        <f t="shared" si="18"/>
        <v>0.90909090909090906</v>
      </c>
      <c r="H49" s="699">
        <v>5847.424388669092</v>
      </c>
      <c r="I49" s="699">
        <v>0.10327272727272727</v>
      </c>
      <c r="J49" s="699">
        <v>0.10327272727272727</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82900</v>
      </c>
      <c r="D52" s="3057" t="s">
        <v>97</v>
      </c>
      <c r="E52" s="1938">
        <f t="shared" si="17"/>
        <v>73.516900000000021</v>
      </c>
      <c r="F52" s="1938">
        <f t="shared" si="18"/>
        <v>1059.8867842154602</v>
      </c>
      <c r="G52" s="1938">
        <f t="shared" si="18"/>
        <v>2.2538366010582234</v>
      </c>
      <c r="H52" s="699">
        <v>6094.551010000002</v>
      </c>
      <c r="I52" s="699">
        <v>87.864614411461645</v>
      </c>
      <c r="J52" s="699">
        <v>0.18684305422772671</v>
      </c>
      <c r="K52" s="2921" t="s">
        <v>199</v>
      </c>
    </row>
    <row r="53" spans="2:11" ht="18" customHeight="1" x14ac:dyDescent="0.2">
      <c r="B53" s="1241" t="s">
        <v>329</v>
      </c>
      <c r="C53" s="3057">
        <f>IF(SUM(C54:C58)=0,"NO",SUM(C54:C58))</f>
        <v>3707.2643315688711</v>
      </c>
      <c r="D53" s="3057" t="s">
        <v>97</v>
      </c>
      <c r="E53" s="615"/>
      <c r="F53" s="615"/>
      <c r="G53" s="615"/>
      <c r="H53" s="3057">
        <f>IF(SUM(H54:H57)=0,"NO",SUM(H54:H57))</f>
        <v>255.66257563029251</v>
      </c>
      <c r="I53" s="3057">
        <f>IF(SUM(I54:I58)=0,"NO",SUM(I54:I58))</f>
        <v>0.66730757968239662</v>
      </c>
      <c r="J53" s="3057">
        <f>IF(SUM(J54:J58)=0,"NO",SUM(J54:J58))</f>
        <v>1.4829057326275483E-3</v>
      </c>
      <c r="K53" s="2931"/>
    </row>
    <row r="54" spans="2:11" ht="18" customHeight="1" x14ac:dyDescent="0.2">
      <c r="B54" s="282" t="s">
        <v>243</v>
      </c>
      <c r="C54" s="699">
        <v>3707.2643315688711</v>
      </c>
      <c r="D54" s="3057" t="s">
        <v>97</v>
      </c>
      <c r="E54" s="1938">
        <f t="shared" ref="E54:E58" si="19">IFERROR(H54*1000/$C54,"NA")</f>
        <v>68.962596881269349</v>
      </c>
      <c r="F54" s="1938">
        <f t="shared" ref="F54:G58" si="20">IFERROR(I54*1000000/$C54,"NA")</f>
        <v>179.99999999999994</v>
      </c>
      <c r="G54" s="1938">
        <f t="shared" si="20"/>
        <v>0.39999999999999997</v>
      </c>
      <c r="H54" s="699">
        <v>255.66257563029251</v>
      </c>
      <c r="I54" s="699">
        <v>0.66730757968239662</v>
      </c>
      <c r="J54" s="699">
        <v>1.4829057326275483E-3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57707.10000000002</v>
      </c>
      <c r="D59" s="3057" t="s">
        <v>97</v>
      </c>
      <c r="E59" s="615"/>
      <c r="F59" s="615"/>
      <c r="G59" s="615"/>
      <c r="H59" s="1938">
        <f>IF(SUM(H60:H64)=0,"NO",SUM(H60:H64))</f>
        <v>4022.3768918339274</v>
      </c>
      <c r="I59" s="1938">
        <f>IF(SUM(I60:I65)=0,"NO",SUM(I60:I65))</f>
        <v>0.22497186147186149</v>
      </c>
      <c r="J59" s="1938">
        <f>IF(SUM(J60:J65)=0,"NO",SUM(J60:J65))</f>
        <v>0.21359014718614722</v>
      </c>
      <c r="K59" s="3064" t="str">
        <f>IF(SUM(K60:K65)=0,"NO",SUM(K60:K65))</f>
        <v>NO</v>
      </c>
    </row>
    <row r="60" spans="2:11" ht="18" customHeight="1" x14ac:dyDescent="0.2">
      <c r="B60" s="282" t="s">
        <v>243</v>
      </c>
      <c r="C60" s="1938">
        <f>IF(SUM(C67,C74:C77,C84:C87)=0,"NO",SUM(C67,C74:C77,C84:C87))</f>
        <v>57607.10000000002</v>
      </c>
      <c r="D60" s="3057" t="s">
        <v>97</v>
      </c>
      <c r="E60" s="1938">
        <f t="shared" ref="E60:E65" si="21">IFERROR(H60*1000/$C60,"NA")</f>
        <v>69.735079530127351</v>
      </c>
      <c r="F60" s="1938">
        <f t="shared" ref="F60:G65" si="22">IFERROR(I60*1000000/$C60,"NA")</f>
        <v>3.9037020155666977</v>
      </c>
      <c r="G60" s="1938">
        <f t="shared" si="22"/>
        <v>3.7061271630621584</v>
      </c>
      <c r="H60" s="1938">
        <f>IF(SUM(H67,H74:H77,H84:H87)=0,"NO",SUM(H67,H74:H77,H84:H87))</f>
        <v>4017.2357000000011</v>
      </c>
      <c r="I60" s="1938">
        <f>IF(SUM(I67,I74:I77,I84:I87)=0,"NO",SUM(I67,I74:I77,I84:I87))</f>
        <v>0.2248809523809524</v>
      </c>
      <c r="J60" s="1938">
        <f>IF(SUM(J67,J74:J77,J84:J87)=0,"NO",SUM(J67,J74:J77,J84:J87))</f>
        <v>0.21349923809523813</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99.999999999999986</v>
      </c>
      <c r="D62" s="3057" t="s">
        <v>97</v>
      </c>
      <c r="E62" s="1938">
        <f t="shared" si="21"/>
        <v>51.411918339265</v>
      </c>
      <c r="F62" s="1938">
        <f t="shared" si="22"/>
        <v>0.90909090909090917</v>
      </c>
      <c r="G62" s="1938">
        <f t="shared" si="22"/>
        <v>0.90909090909090917</v>
      </c>
      <c r="H62" s="1938">
        <f>IF(SUM(H69,H79,H89)=0,"NO",SUM(H69,H79,H89))</f>
        <v>5.1411918339264995</v>
      </c>
      <c r="I62" s="1938">
        <f>IF(SUM(I69,I79,I89)=0,"NO",SUM(I69,I79,I89))</f>
        <v>9.0909090909090904E-5</v>
      </c>
      <c r="J62" s="1938">
        <f>IF(SUM(J69,J79,J89)=0,"NO",SUM(J69,J79,J89))</f>
        <v>9.0909090909090904E-5</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57707.10000000002</v>
      </c>
      <c r="D66" s="3057" t="s">
        <v>97</v>
      </c>
      <c r="E66" s="2135"/>
      <c r="F66" s="2135"/>
      <c r="G66" s="2135"/>
      <c r="H66" s="1938">
        <f>IF(SUM(H67:H71)=0,"NO",SUM(H67:H71))</f>
        <v>4022.3768918339274</v>
      </c>
      <c r="I66" s="1938">
        <f>IF(SUM(I67:I72)=0,"NO",SUM(I67:I72))</f>
        <v>0.22497186147186149</v>
      </c>
      <c r="J66" s="1938">
        <f>IF(SUM(J67:J72)=0,"NO",SUM(J67:J72))</f>
        <v>0.21359014718614722</v>
      </c>
      <c r="K66" s="3064" t="str">
        <f>IF(SUM(K67:K72)=0,"NO",SUM(K67:K72))</f>
        <v>NO</v>
      </c>
    </row>
    <row r="67" spans="2:11" ht="18" customHeight="1" x14ac:dyDescent="0.2">
      <c r="B67" s="282" t="s">
        <v>243</v>
      </c>
      <c r="C67" s="699">
        <v>57607.10000000002</v>
      </c>
      <c r="D67" s="3057" t="s">
        <v>97</v>
      </c>
      <c r="E67" s="1938">
        <f t="shared" ref="E67:E72" si="23">IFERROR(H67*1000/$C67,"NA")</f>
        <v>69.735079530127351</v>
      </c>
      <c r="F67" s="1938">
        <f t="shared" ref="F67:G72" si="24">IFERROR(I67*1000000/$C67,"NA")</f>
        <v>3.9037020155666977</v>
      </c>
      <c r="G67" s="1938">
        <f t="shared" si="24"/>
        <v>3.7061271630621584</v>
      </c>
      <c r="H67" s="699">
        <v>4017.2357000000011</v>
      </c>
      <c r="I67" s="699">
        <v>0.2248809523809524</v>
      </c>
      <c r="J67" s="699">
        <v>0.21349923809523813</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99.999999999999986</v>
      </c>
      <c r="D69" s="3057" t="s">
        <v>97</v>
      </c>
      <c r="E69" s="1938">
        <f t="shared" si="23"/>
        <v>51.411918339265</v>
      </c>
      <c r="F69" s="1938">
        <f t="shared" si="24"/>
        <v>0.90909090909090917</v>
      </c>
      <c r="G69" s="1938">
        <f t="shared" si="24"/>
        <v>0.90909090909090917</v>
      </c>
      <c r="H69" s="699">
        <v>5.1411918339264995</v>
      </c>
      <c r="I69" s="699">
        <v>9.0909090909090904E-5</v>
      </c>
      <c r="J69" s="699">
        <v>9.0909090909090904E-5</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11681.088547865898</v>
      </c>
      <c r="D93" s="3057" t="s">
        <v>97</v>
      </c>
      <c r="E93" s="2160"/>
      <c r="F93" s="2160"/>
      <c r="G93" s="2160"/>
      <c r="H93" s="3087">
        <f>IF(SUM(H94:H98)=0,"NO",SUM(H94:H98))</f>
        <v>813.48790712126572</v>
      </c>
      <c r="I93" s="3087">
        <f>IF(SUM(I94:I99)=0,"NO",SUM(I94:I99))</f>
        <v>4.3490203585043824E-2</v>
      </c>
      <c r="J93" s="3091">
        <f>IF(SUM(J94:J99)=0,"NO",SUM(J94:J99))</f>
        <v>2.2408288737265684E-2</v>
      </c>
      <c r="K93" s="442" t="str">
        <f>IF(SUM(K94:K99)=0,"NO",SUM(K94:K99))</f>
        <v>NO</v>
      </c>
    </row>
    <row r="94" spans="2:11" ht="18" customHeight="1" x14ac:dyDescent="0.2">
      <c r="B94" s="282" t="s">
        <v>243</v>
      </c>
      <c r="C94" s="1938">
        <f>IF(SUM(C102,C110)=0,"NO",SUM(C102,C110))</f>
        <v>11681.088547865898</v>
      </c>
      <c r="D94" s="1938" t="s">
        <v>97</v>
      </c>
      <c r="E94" s="1938">
        <f t="shared" ref="E94:E99" si="32">IFERROR(H94*1000/$C94,"NA")</f>
        <v>69.64144683843594</v>
      </c>
      <c r="F94" s="1938">
        <f t="shared" ref="F94:G99" si="33">IFERROR(I94*1000000/$C94,"NA")</f>
        <v>3.7231293476487997</v>
      </c>
      <c r="G94" s="1938">
        <f t="shared" si="33"/>
        <v>1.9183390867591372</v>
      </c>
      <c r="H94" s="1938">
        <f t="shared" ref="H94:K97" si="34">IF(SUM(H102,H110)=0,"NO",SUM(H102,H110))</f>
        <v>813.48790712126572</v>
      </c>
      <c r="I94" s="1938">
        <f t="shared" si="34"/>
        <v>4.3490203585043824E-2</v>
      </c>
      <c r="J94" s="1938">
        <f t="shared" si="34"/>
        <v>2.2408288737265684E-2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11681.088547865898</v>
      </c>
      <c r="D108" s="1938" t="s">
        <v>97</v>
      </c>
      <c r="E108" s="1957"/>
      <c r="F108" s="1957"/>
      <c r="G108" s="1957"/>
      <c r="H108" s="3057">
        <f>H109</f>
        <v>813.48790712126572</v>
      </c>
      <c r="I108" s="3057">
        <f>I109</f>
        <v>4.3490203585043824E-2</v>
      </c>
      <c r="J108" s="3088">
        <f>J109</f>
        <v>2.2408288737265684E-2</v>
      </c>
      <c r="K108" s="2931"/>
    </row>
    <row r="109" spans="2:11" ht="18" customHeight="1" x14ac:dyDescent="0.2">
      <c r="B109" s="3103" t="s">
        <v>339</v>
      </c>
      <c r="C109" s="3077">
        <f>IF(SUM(C110:C114)=0,"NO",SUM(C110:C114))</f>
        <v>11681.088547865898</v>
      </c>
      <c r="D109" s="1938" t="s">
        <v>97</v>
      </c>
      <c r="E109" s="615"/>
      <c r="F109" s="615"/>
      <c r="G109" s="615"/>
      <c r="H109" s="3077">
        <f>IF(SUM(H110:H113)=0,"NO",SUM(H110:H113))</f>
        <v>813.48790712126572</v>
      </c>
      <c r="I109" s="3077">
        <f>IF(SUM(I110:I114)=0,"NO",SUM(I110:I114))</f>
        <v>4.3490203585043824E-2</v>
      </c>
      <c r="J109" s="3077">
        <f>IF(SUM(J110:J114)=0,"NO",SUM(J110:J114))</f>
        <v>2.2408288737265684E-2</v>
      </c>
      <c r="K109" s="2931"/>
    </row>
    <row r="110" spans="2:11" ht="18" customHeight="1" x14ac:dyDescent="0.2">
      <c r="B110" s="282" t="s">
        <v>243</v>
      </c>
      <c r="C110" s="699">
        <v>11681.088547865898</v>
      </c>
      <c r="D110" s="1938" t="s">
        <v>97</v>
      </c>
      <c r="E110" s="1938">
        <f t="shared" ref="E110:E114" si="37">IFERROR(H110*1000/$C110,"NA")</f>
        <v>69.64144683843594</v>
      </c>
      <c r="F110" s="1938">
        <f t="shared" ref="F110:G114" si="38">IFERROR(I110*1000000/$C110,"NA")</f>
        <v>3.7231293476487997</v>
      </c>
      <c r="G110" s="1938">
        <f t="shared" si="38"/>
        <v>1.9183390867591372</v>
      </c>
      <c r="H110" s="699">
        <v>813.48790712126572</v>
      </c>
      <c r="I110" s="699">
        <v>4.3490203585043824E-2</v>
      </c>
      <c r="J110" s="699">
        <v>2.2408288737265684E-2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1148812.9999999998</v>
      </c>
      <c r="G11" s="3326">
        <v>916418.05275999987</v>
      </c>
      <c r="H11" s="3326">
        <v>479918.70000000007</v>
      </c>
      <c r="I11" s="3346"/>
      <c r="J11" s="3326">
        <v>6700</v>
      </c>
      <c r="K11" s="3334">
        <f t="shared" ref="K11:K28" si="0">IF((SUM(F11:G11)-SUM(H11:J11))=0,"NO",(SUM(F11:G11)-SUM(H11:J11)))</f>
        <v>1578612.3527599997</v>
      </c>
      <c r="L11" s="2597">
        <f>IF(K11="NO","NA",1)</f>
        <v>1</v>
      </c>
      <c r="M11" s="5" t="s">
        <v>97</v>
      </c>
      <c r="N11" s="3334">
        <f>K11</f>
        <v>1578612.3527599997</v>
      </c>
      <c r="O11" s="3307">
        <v>18.980716253443529</v>
      </c>
      <c r="P11" s="3334">
        <f>IFERROR(N11*O11/1000,"NA")</f>
        <v>29963.193141918455</v>
      </c>
      <c r="Q11" s="3334" t="str">
        <f>'Table1.A(d)'!G11</f>
        <v>NA</v>
      </c>
      <c r="R11" s="3334">
        <f>IF(SUM(P11,-SUM(Q11))=0,"NO",SUM(P11,-SUM(Q11)))</f>
        <v>29963.193141918455</v>
      </c>
      <c r="S11" s="2597">
        <f>IF(R11="NO","NA",1)</f>
        <v>1</v>
      </c>
      <c r="T11" s="3340">
        <f>IF(R11="NO","NO",R11*S11*44/12)</f>
        <v>109865.04152036767</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122332.3</v>
      </c>
      <c r="G13" s="3326" t="s">
        <v>199</v>
      </c>
      <c r="H13" s="3326" t="s">
        <v>199</v>
      </c>
      <c r="I13" s="3346"/>
      <c r="J13" s="3326" t="s">
        <v>199</v>
      </c>
      <c r="K13" s="3334">
        <f t="shared" si="0"/>
        <v>122332.3</v>
      </c>
      <c r="L13" s="2597">
        <f t="shared" si="1"/>
        <v>1</v>
      </c>
      <c r="M13" s="5" t="s">
        <v>97</v>
      </c>
      <c r="N13" s="3334">
        <f t="shared" si="2"/>
        <v>122332.3</v>
      </c>
      <c r="O13" s="3307">
        <v>16.212333782655929</v>
      </c>
      <c r="P13" s="3334">
        <f t="shared" si="3"/>
        <v>1983.2920799999999</v>
      </c>
      <c r="Q13" s="3334" t="str">
        <f>'Table1.A(d)'!G13</f>
        <v>NA</v>
      </c>
      <c r="R13" s="3334">
        <f>IF(SUM(P13,-SUM(Q13))=0,"NO",SUM(P13,-SUM(Q13)))</f>
        <v>1983.2920799999999</v>
      </c>
      <c r="S13" s="2597">
        <f t="shared" si="4"/>
        <v>1</v>
      </c>
      <c r="T13" s="3340">
        <f t="shared" si="5"/>
        <v>7272.07096</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36713.700000000004</v>
      </c>
      <c r="H15" s="3326">
        <v>44994.1</v>
      </c>
      <c r="I15" s="3326" t="s">
        <v>199</v>
      </c>
      <c r="J15" s="3326">
        <v>-14008.999999999996</v>
      </c>
      <c r="K15" s="3334">
        <f t="shared" si="0"/>
        <v>5728.6000000000022</v>
      </c>
      <c r="L15" s="2597">
        <f>IF(K15="NO","NA",1)</f>
        <v>1</v>
      </c>
      <c r="M15" s="5" t="s">
        <v>97</v>
      </c>
      <c r="N15" s="3334">
        <f t="shared" si="2"/>
        <v>5728.6000000000022</v>
      </c>
      <c r="O15" s="3307">
        <v>18.4070508104471</v>
      </c>
      <c r="P15" s="3334">
        <f t="shared" si="3"/>
        <v>105.44663127272729</v>
      </c>
      <c r="Q15" s="3334" t="str">
        <f>'Table1.A(d)'!G15</f>
        <v>NA</v>
      </c>
      <c r="R15" s="3334">
        <f>IF(SUM(P15,-SUM(Q15))=0,"NO",SUM(P15,-SUM(Q15)))</f>
        <v>105.44663127272729</v>
      </c>
      <c r="S15" s="2597">
        <f>IF(R15="NO","NA",1)</f>
        <v>1</v>
      </c>
      <c r="T15" s="3340">
        <f>IF(R15="NO","NO",R15*S15*44/12)</f>
        <v>386.63764800000007</v>
      </c>
    </row>
    <row r="16" spans="2:20" ht="18" customHeight="1" x14ac:dyDescent="0.2">
      <c r="B16" s="1730"/>
      <c r="C16" s="1570"/>
      <c r="D16" s="36" t="s">
        <v>293</v>
      </c>
      <c r="E16" s="2595" t="s">
        <v>374</v>
      </c>
      <c r="F16" s="3347"/>
      <c r="G16" s="3326">
        <v>11260.8</v>
      </c>
      <c r="H16" s="3326">
        <v>25730.560000000001</v>
      </c>
      <c r="I16" s="3326">
        <v>94770</v>
      </c>
      <c r="J16" s="3326">
        <v>-352.63999999999976</v>
      </c>
      <c r="K16" s="3334">
        <f t="shared" si="0"/>
        <v>-108887.12</v>
      </c>
      <c r="L16" s="2597">
        <f t="shared" ref="L16:L28" si="6">IF(K16="NO","NA",1)</f>
        <v>1</v>
      </c>
      <c r="M16" s="5" t="s">
        <v>97</v>
      </c>
      <c r="N16" s="3334">
        <f t="shared" si="2"/>
        <v>-108887.12</v>
      </c>
      <c r="O16" s="3307">
        <v>18.981818181818181</v>
      </c>
      <c r="P16" s="3334">
        <f t="shared" si="3"/>
        <v>-2066.8755141818178</v>
      </c>
      <c r="Q16" s="3334" t="str">
        <f>'Table1.A(d)'!G16</f>
        <v>NA</v>
      </c>
      <c r="R16" s="3334">
        <f t="shared" ref="R16:R44" si="7">IF(SUM(P16,-SUM(Q16))=0,"NO",SUM(P16,-SUM(Q16)))</f>
        <v>-2066.8755141818178</v>
      </c>
      <c r="S16" s="2597">
        <f t="shared" ref="S16:S28" si="8">IF(R16="NO","NA",1)</f>
        <v>1</v>
      </c>
      <c r="T16" s="3340">
        <f t="shared" ref="T16:T28" si="9">IF(R16="NO","NO",R16*S16*44/12)</f>
        <v>-7578.5435519999992</v>
      </c>
    </row>
    <row r="17" spans="2:20" ht="18" customHeight="1" x14ac:dyDescent="0.2">
      <c r="B17" s="1730"/>
      <c r="C17" s="1570"/>
      <c r="D17" s="36" t="s">
        <v>379</v>
      </c>
      <c r="E17" s="2595" t="s">
        <v>374</v>
      </c>
      <c r="F17" s="3346"/>
      <c r="G17" s="3326" t="s">
        <v>199</v>
      </c>
      <c r="H17" s="3326">
        <v>1127.28</v>
      </c>
      <c r="I17" s="3326" t="s">
        <v>199</v>
      </c>
      <c r="J17" s="3326">
        <v>-678.90000000000009</v>
      </c>
      <c r="K17" s="3334">
        <f t="shared" si="0"/>
        <v>-448.37999999999988</v>
      </c>
      <c r="L17" s="2597">
        <f t="shared" si="6"/>
        <v>1</v>
      </c>
      <c r="M17" s="5" t="s">
        <v>97</v>
      </c>
      <c r="N17" s="3334">
        <f t="shared" si="2"/>
        <v>-448.37999999999988</v>
      </c>
      <c r="O17" s="3307">
        <v>18.790909090909089</v>
      </c>
      <c r="P17" s="3334">
        <f t="shared" si="3"/>
        <v>-8.425467818181815</v>
      </c>
      <c r="Q17" s="3334" t="str">
        <f>'Table1.A(d)'!G17</f>
        <v>NA</v>
      </c>
      <c r="R17" s="3334">
        <f t="shared" si="7"/>
        <v>-8.425467818181815</v>
      </c>
      <c r="S17" s="2597">
        <f t="shared" si="8"/>
        <v>1</v>
      </c>
      <c r="T17" s="3340">
        <f t="shared" si="9"/>
        <v>-30.893381999999988</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36739.480000000003</v>
      </c>
      <c r="H19" s="3326">
        <v>52596.36</v>
      </c>
      <c r="I19" s="3326">
        <v>6530</v>
      </c>
      <c r="J19" s="3326">
        <v>-7779.3599999999951</v>
      </c>
      <c r="K19" s="3334">
        <f t="shared" si="0"/>
        <v>-14607.520000000004</v>
      </c>
      <c r="L19" s="2597">
        <f t="shared" si="6"/>
        <v>1</v>
      </c>
      <c r="M19" s="5" t="s">
        <v>97</v>
      </c>
      <c r="N19" s="3334">
        <f t="shared" si="2"/>
        <v>-14607.520000000004</v>
      </c>
      <c r="O19" s="3307">
        <v>19.06363636363637</v>
      </c>
      <c r="P19" s="3334">
        <f t="shared" si="3"/>
        <v>-278.47244945454565</v>
      </c>
      <c r="Q19" s="3334" t="str">
        <f>'Table1.A(d)'!G19</f>
        <v>NA</v>
      </c>
      <c r="R19" s="3334">
        <f t="shared" si="7"/>
        <v>-278.47244945454565</v>
      </c>
      <c r="S19" s="2597">
        <f t="shared" si="8"/>
        <v>1</v>
      </c>
      <c r="T19" s="3340">
        <f t="shared" si="9"/>
        <v>-1021.0656480000007</v>
      </c>
    </row>
    <row r="20" spans="2:20" ht="18" customHeight="1" x14ac:dyDescent="0.2">
      <c r="B20" s="1730"/>
      <c r="C20" s="1570"/>
      <c r="D20" s="36" t="s">
        <v>306</v>
      </c>
      <c r="E20" s="2595" t="s">
        <v>374</v>
      </c>
      <c r="F20" s="3346"/>
      <c r="G20" s="3326">
        <v>32990.879999999997</v>
      </c>
      <c r="H20" s="3326">
        <v>36845.57</v>
      </c>
      <c r="I20" s="3326">
        <v>28390</v>
      </c>
      <c r="J20" s="3326">
        <v>126.14999999999901</v>
      </c>
      <c r="K20" s="3334">
        <f t="shared" si="0"/>
        <v>-32370.840000000004</v>
      </c>
      <c r="L20" s="2597">
        <f t="shared" si="6"/>
        <v>1</v>
      </c>
      <c r="M20" s="5" t="s">
        <v>97</v>
      </c>
      <c r="N20" s="3334">
        <f t="shared" si="2"/>
        <v>-32370.840000000004</v>
      </c>
      <c r="O20" s="3307">
        <v>20.072727272727271</v>
      </c>
      <c r="P20" s="3334">
        <f t="shared" si="3"/>
        <v>-649.77104290909085</v>
      </c>
      <c r="Q20" s="3334" t="str">
        <f>'Table1.A(d)'!G20</f>
        <v>NA</v>
      </c>
      <c r="R20" s="3334">
        <f t="shared" si="7"/>
        <v>-649.77104290909085</v>
      </c>
      <c r="S20" s="2597">
        <f t="shared" si="8"/>
        <v>1</v>
      </c>
      <c r="T20" s="3340">
        <f t="shared" si="9"/>
        <v>-2382.4938239999997</v>
      </c>
    </row>
    <row r="21" spans="2:20" ht="18" customHeight="1" x14ac:dyDescent="0.2">
      <c r="B21" s="1730"/>
      <c r="C21" s="1570"/>
      <c r="D21" s="36" t="s">
        <v>283</v>
      </c>
      <c r="E21" s="2595" t="s">
        <v>374</v>
      </c>
      <c r="F21" s="3346"/>
      <c r="G21" s="3326">
        <v>15101.320000000002</v>
      </c>
      <c r="H21" s="3326">
        <v>64145.899999999994</v>
      </c>
      <c r="I21" s="3346"/>
      <c r="J21" s="3326">
        <v>-844.73999999999967</v>
      </c>
      <c r="K21" s="3334">
        <f t="shared" si="0"/>
        <v>-48199.839999999997</v>
      </c>
      <c r="L21" s="2597">
        <f t="shared" si="6"/>
        <v>1</v>
      </c>
      <c r="M21" s="5" t="s">
        <v>97</v>
      </c>
      <c r="N21" s="3334">
        <f t="shared" si="2"/>
        <v>-48199.839999999997</v>
      </c>
      <c r="O21" s="3307">
        <v>16.418181818181822</v>
      </c>
      <c r="P21" s="3334">
        <f t="shared" si="3"/>
        <v>-791.3537367272728</v>
      </c>
      <c r="Q21" s="3334" t="str">
        <f>'Table1.A(d)'!G21</f>
        <v>NA</v>
      </c>
      <c r="R21" s="3334">
        <f t="shared" si="7"/>
        <v>-791.3537367272728</v>
      </c>
      <c r="S21" s="2597">
        <f t="shared" si="8"/>
        <v>1</v>
      </c>
      <c r="T21" s="3340">
        <f t="shared" si="9"/>
        <v>-2901.6303680000001</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659.99999999999989</v>
      </c>
      <c r="H24" s="3326">
        <v>17.600000000000001</v>
      </c>
      <c r="I24" s="3346"/>
      <c r="J24" s="3326">
        <v>-286.08999999999986</v>
      </c>
      <c r="K24" s="3334">
        <f t="shared" si="0"/>
        <v>928.48999999999978</v>
      </c>
      <c r="L24" s="2597">
        <f t="shared" si="6"/>
        <v>1</v>
      </c>
      <c r="M24" s="5" t="s">
        <v>97</v>
      </c>
      <c r="N24" s="3334">
        <f t="shared" si="2"/>
        <v>928.48999999999978</v>
      </c>
      <c r="O24" s="3307">
        <v>22.009090909090911</v>
      </c>
      <c r="P24" s="3334">
        <f t="shared" si="3"/>
        <v>20.435220818181818</v>
      </c>
      <c r="Q24" s="3334">
        <f>'Table1.A(d)'!G24</f>
        <v>708.69272727272732</v>
      </c>
      <c r="R24" s="3334">
        <f t="shared" si="7"/>
        <v>-688.25750645454548</v>
      </c>
      <c r="S24" s="2597">
        <f t="shared" si="8"/>
        <v>1</v>
      </c>
      <c r="T24" s="3340">
        <f t="shared" si="9"/>
        <v>-2523.6108570000001</v>
      </c>
    </row>
    <row r="25" spans="2:20" ht="18" customHeight="1" x14ac:dyDescent="0.2">
      <c r="B25" s="1730"/>
      <c r="C25" s="1570"/>
      <c r="D25" s="36" t="s">
        <v>297</v>
      </c>
      <c r="E25" s="2595" t="s">
        <v>374</v>
      </c>
      <c r="F25" s="3346"/>
      <c r="G25" s="3326">
        <v>810.91999999999985</v>
      </c>
      <c r="H25" s="3326">
        <v>14096.039999999999</v>
      </c>
      <c r="I25" s="3326" t="s">
        <v>199</v>
      </c>
      <c r="J25" s="3326">
        <v>2564.94</v>
      </c>
      <c r="K25" s="3334">
        <f t="shared" si="0"/>
        <v>-15850.06</v>
      </c>
      <c r="L25" s="2597">
        <f t="shared" si="6"/>
        <v>1</v>
      </c>
      <c r="M25" s="5" t="s">
        <v>97</v>
      </c>
      <c r="N25" s="3334">
        <f t="shared" si="2"/>
        <v>-15850.06</v>
      </c>
      <c r="O25" s="3307">
        <v>18.991363636363641</v>
      </c>
      <c r="P25" s="3334">
        <f t="shared" si="3"/>
        <v>-301.0142531181819</v>
      </c>
      <c r="Q25" s="3334">
        <f>'Table1.A(d)'!G25</f>
        <v>381.7264090909091</v>
      </c>
      <c r="R25" s="3334">
        <f t="shared" si="7"/>
        <v>-682.74066220909094</v>
      </c>
      <c r="S25" s="2597">
        <f t="shared" si="8"/>
        <v>1</v>
      </c>
      <c r="T25" s="3340">
        <f t="shared" si="9"/>
        <v>-2503.3824281000002</v>
      </c>
    </row>
    <row r="26" spans="2:20" ht="18" customHeight="1" x14ac:dyDescent="0.2">
      <c r="B26" s="1730"/>
      <c r="C26" s="1570"/>
      <c r="D26" s="36" t="s">
        <v>384</v>
      </c>
      <c r="E26" s="2595" t="s">
        <v>374</v>
      </c>
      <c r="F26" s="3346"/>
      <c r="G26" s="3326">
        <v>11062.455619793325</v>
      </c>
      <c r="H26" s="3326" t="s">
        <v>199</v>
      </c>
      <c r="I26" s="3346"/>
      <c r="J26" s="3326" t="s">
        <v>199</v>
      </c>
      <c r="K26" s="3334">
        <f t="shared" si="0"/>
        <v>11062.455619793325</v>
      </c>
      <c r="L26" s="2597">
        <f t="shared" si="6"/>
        <v>1</v>
      </c>
      <c r="M26" s="5" t="s">
        <v>97</v>
      </c>
      <c r="N26" s="3334">
        <f t="shared" si="2"/>
        <v>11062.455619793325</v>
      </c>
      <c r="O26" s="3307">
        <v>25.26136363636364</v>
      </c>
      <c r="P26" s="3334">
        <f t="shared" si="3"/>
        <v>279.45271412273371</v>
      </c>
      <c r="Q26" s="3334">
        <f>'Table1.A(d)'!G26</f>
        <v>279.45271412273365</v>
      </c>
      <c r="R26" s="3334">
        <f t="shared" si="7"/>
        <v>5.6843418860808015E-14</v>
      </c>
      <c r="S26" s="2597">
        <f t="shared" si="8"/>
        <v>1</v>
      </c>
      <c r="T26" s="3340">
        <f t="shared" si="9"/>
        <v>2.0842586915629605E-13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18300.019999999997</v>
      </c>
      <c r="H28" s="3326">
        <v>12070.4</v>
      </c>
      <c r="I28" s="3346"/>
      <c r="J28" s="3326">
        <v>1222.4599999999989</v>
      </c>
      <c r="K28" s="3334">
        <f t="shared" si="0"/>
        <v>5007.159999999998</v>
      </c>
      <c r="L28" s="2597">
        <f t="shared" si="6"/>
        <v>1</v>
      </c>
      <c r="M28" s="5" t="s">
        <v>97</v>
      </c>
      <c r="N28" s="3334">
        <f t="shared" si="2"/>
        <v>5007.159999999998</v>
      </c>
      <c r="O28" s="3307">
        <v>19.039096813363258</v>
      </c>
      <c r="P28" s="3334">
        <f t="shared" si="3"/>
        <v>95.331803999999934</v>
      </c>
      <c r="Q28" s="3334">
        <f>'Table1.A(d)'!G28</f>
        <v>693.47872403908059</v>
      </c>
      <c r="R28" s="3334">
        <f t="shared" si="7"/>
        <v>-598.14692003908067</v>
      </c>
      <c r="S28" s="2597">
        <f t="shared" si="8"/>
        <v>1</v>
      </c>
      <c r="T28" s="3340">
        <f t="shared" si="9"/>
        <v>-2193.2053734766291</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1503307.5983797931</v>
      </c>
      <c r="O31" s="3329"/>
      <c r="P31" s="3336">
        <f>SUM(P11:P29)</f>
        <v>28351.239127923007</v>
      </c>
      <c r="Q31" s="3336">
        <f>SUM(Q11:Q29)</f>
        <v>2323.7045959825364</v>
      </c>
      <c r="R31" s="3334">
        <f t="shared" si="7"/>
        <v>26027.53453194047</v>
      </c>
      <c r="S31" s="2598"/>
      <c r="T31" s="3342">
        <f>SUM(T11:T29)</f>
        <v>95434.293283781721</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5584729.0858699996</v>
      </c>
      <c r="G35" s="3326" t="s">
        <v>199</v>
      </c>
      <c r="H35" s="3326">
        <v>4147200</v>
      </c>
      <c r="I35" s="3326" t="s">
        <v>199</v>
      </c>
      <c r="J35" s="3326">
        <v>123900</v>
      </c>
      <c r="K35" s="3334">
        <f t="shared" si="10"/>
        <v>1313629.0858699996</v>
      </c>
      <c r="L35" s="2597">
        <f t="shared" si="11"/>
        <v>1</v>
      </c>
      <c r="M35" s="55" t="s">
        <v>97</v>
      </c>
      <c r="N35" s="3334">
        <f t="shared" si="12"/>
        <v>1313629.0858699996</v>
      </c>
      <c r="O35" s="3307">
        <v>23.435980578537158</v>
      </c>
      <c r="P35" s="3334">
        <f t="shared" si="13"/>
        <v>30786.18574385083</v>
      </c>
      <c r="Q35" s="3334">
        <f>'Table1.A(d)'!G35</f>
        <v>213.16387839936488</v>
      </c>
      <c r="R35" s="3334">
        <f t="shared" si="7"/>
        <v>30573.021865451465</v>
      </c>
      <c r="S35" s="2597">
        <f t="shared" si="14"/>
        <v>1</v>
      </c>
      <c r="T35" s="3340">
        <f t="shared" si="15"/>
        <v>112101.08017332204</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560040.00000000012</v>
      </c>
      <c r="G37" s="3326" t="s">
        <v>199</v>
      </c>
      <c r="H37" s="3326" t="s">
        <v>199</v>
      </c>
      <c r="I37" s="3346"/>
      <c r="J37" s="3326" t="s">
        <v>199</v>
      </c>
      <c r="K37" s="3334">
        <f t="shared" si="10"/>
        <v>560040.00000000012</v>
      </c>
      <c r="L37" s="2597">
        <f t="shared" si="11"/>
        <v>1</v>
      </c>
      <c r="M37" s="55" t="s">
        <v>97</v>
      </c>
      <c r="N37" s="3334">
        <f t="shared" si="12"/>
        <v>560040.00000000012</v>
      </c>
      <c r="O37" s="3307">
        <v>27.45853681312558</v>
      </c>
      <c r="P37" s="3334">
        <f t="shared" si="13"/>
        <v>15377.878956822853</v>
      </c>
      <c r="Q37" s="3334" t="str">
        <f>'Table1.A(d)'!G37</f>
        <v>NO</v>
      </c>
      <c r="R37" s="3334">
        <f t="shared" si="7"/>
        <v>15377.878956822853</v>
      </c>
      <c r="S37" s="2597">
        <f t="shared" si="14"/>
        <v>1</v>
      </c>
      <c r="T37" s="3340">
        <f t="shared" si="15"/>
        <v>56385.556175017125</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2100</v>
      </c>
      <c r="I40" s="3346"/>
      <c r="J40" s="3326">
        <v>-200</v>
      </c>
      <c r="K40" s="3334">
        <f t="shared" ref="K40:K42" si="16">IF((SUM(F40:G40)-SUM(H40:J40))=0,"NO",(SUM(F40:G40)-SUM(H40:J40)))</f>
        <v>-1900</v>
      </c>
      <c r="L40" s="2597">
        <f t="shared" ref="L40:L42" si="17">IF(K40="NO","NA",1)</f>
        <v>1</v>
      </c>
      <c r="M40" s="55" t="s">
        <v>97</v>
      </c>
      <c r="N40" s="3334">
        <f t="shared" ref="N40:N42" si="18">K40</f>
        <v>-1900</v>
      </c>
      <c r="O40" s="3307">
        <v>25.90909090909091</v>
      </c>
      <c r="P40" s="3334">
        <f t="shared" ref="P40:P42" si="19">IFERROR(N40*O40/1000,"NA")</f>
        <v>-49.227272727272727</v>
      </c>
      <c r="Q40" s="3334" t="str">
        <f>'Table1.A(d)'!G40</f>
        <v>NA</v>
      </c>
      <c r="R40" s="3334">
        <f t="shared" si="7"/>
        <v>-49.227272727272727</v>
      </c>
      <c r="S40" s="2597">
        <f t="shared" ref="S40:S42" si="20">IF(R40="NO","NA",1)</f>
        <v>1</v>
      </c>
      <c r="T40" s="3340">
        <f t="shared" ref="T40:T42" si="21">IF(R40="NO","NO",R40*S40*44/12)</f>
        <v>-180.5</v>
      </c>
    </row>
    <row r="41" spans="2:20" ht="18" customHeight="1" x14ac:dyDescent="0.2">
      <c r="B41" s="1730"/>
      <c r="C41" s="1570"/>
      <c r="D41" s="31" t="s">
        <v>397</v>
      </c>
      <c r="E41" s="2595" t="s">
        <v>374</v>
      </c>
      <c r="F41" s="3346"/>
      <c r="G41" s="3326" t="s">
        <v>199</v>
      </c>
      <c r="H41" s="3326">
        <v>8900</v>
      </c>
      <c r="I41" s="3346"/>
      <c r="J41" s="3326">
        <v>1000</v>
      </c>
      <c r="K41" s="3334">
        <f t="shared" si="16"/>
        <v>-9900</v>
      </c>
      <c r="L41" s="2597">
        <f t="shared" si="17"/>
        <v>1</v>
      </c>
      <c r="M41" s="55" t="s">
        <v>97</v>
      </c>
      <c r="N41" s="3334">
        <f t="shared" si="18"/>
        <v>-9900</v>
      </c>
      <c r="O41" s="3307">
        <v>28.911339390475121</v>
      </c>
      <c r="P41" s="3334">
        <f t="shared" si="19"/>
        <v>-286.2222599657037</v>
      </c>
      <c r="Q41" s="3334">
        <f>'Table1.A(d)'!G41</f>
        <v>2906.3038344710512</v>
      </c>
      <c r="R41" s="3334">
        <f t="shared" si="7"/>
        <v>-3192.5260944367551</v>
      </c>
      <c r="S41" s="2597">
        <f t="shared" si="20"/>
        <v>1</v>
      </c>
      <c r="T41" s="3340">
        <f t="shared" si="21"/>
        <v>-11705.92901293477</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93.113691220988443</v>
      </c>
      <c r="R42" s="3334">
        <f t="shared" si="7"/>
        <v>-93.113691220988443</v>
      </c>
      <c r="S42" s="2597">
        <f t="shared" si="20"/>
        <v>1</v>
      </c>
      <c r="T42" s="3340">
        <f t="shared" si="21"/>
        <v>-341.41686781029097</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1861869.0858699996</v>
      </c>
      <c r="O45" s="3329"/>
      <c r="P45" s="3336">
        <f>SUM(P33:P43)</f>
        <v>45828.615167980708</v>
      </c>
      <c r="Q45" s="3336">
        <f>SUM(Q33:Q43)</f>
        <v>3212.5814040914047</v>
      </c>
      <c r="R45" s="3336">
        <f>SUM(R33:R43)</f>
        <v>42616.033763889296</v>
      </c>
      <c r="S45" s="41"/>
      <c r="T45" s="3342">
        <f>SUM(T33:T43)</f>
        <v>156258.79046759411</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1201225.0000000002</v>
      </c>
      <c r="G47" s="3326" t="s">
        <v>199</v>
      </c>
      <c r="H47" s="3326">
        <v>407200</v>
      </c>
      <c r="I47" s="3326" t="s">
        <v>199</v>
      </c>
      <c r="J47" s="3326">
        <v>100.00000000002274</v>
      </c>
      <c r="K47" s="3334">
        <f t="shared" ref="K47" si="22">IF((SUM(F47:G47)-SUM(H47:J47))=0,"NO",(SUM(F47:G47)-SUM(H47:J47)))</f>
        <v>793925.00000000023</v>
      </c>
      <c r="L47" s="2597">
        <f t="shared" ref="L47" si="23">IF(K47="NO","NA",1)</f>
        <v>1</v>
      </c>
      <c r="M47" s="55" t="s">
        <v>97</v>
      </c>
      <c r="N47" s="3334">
        <f t="shared" ref="N47" si="24">K47</f>
        <v>793925.00000000023</v>
      </c>
      <c r="O47" s="3307">
        <v>14.0258438520931</v>
      </c>
      <c r="P47" s="3334">
        <f t="shared" ref="P47" si="25">IFERROR(N47*O47/1000,"NA")</f>
        <v>11135.468080273018</v>
      </c>
      <c r="Q47" s="3334">
        <f>'Table1.A(d)'!G47</f>
        <v>284.69730283019953</v>
      </c>
      <c r="R47" s="3334">
        <f t="shared" ref="R47" si="26">IF(SUM(P47,-SUM(Q47))=0,"NO",SUM(P47,-SUM(Q47)))</f>
        <v>10850.770777442818</v>
      </c>
      <c r="S47" s="2597">
        <f t="shared" ref="S47" si="27">IF(R47="NO","NA",1)</f>
        <v>1</v>
      </c>
      <c r="T47" s="3340">
        <f t="shared" ref="T47" si="28">IF(R47="NO","NO",R47*S47*44/12)</f>
        <v>39786.159517290333</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793925.00000000023</v>
      </c>
      <c r="O50" s="3331"/>
      <c r="P50" s="3336">
        <f>SUM(P47:P48)</f>
        <v>11135.468080273018</v>
      </c>
      <c r="Q50" s="3336">
        <f>SUM(Q47:Q48)</f>
        <v>284.69730283019953</v>
      </c>
      <c r="R50" s="3336">
        <f>SUM(R47:R48)</f>
        <v>10850.770777442818</v>
      </c>
      <c r="S50" s="2379"/>
      <c r="T50" s="3342">
        <f>SUM(T47:T48)</f>
        <v>39786.159517290333</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4159101.6842497932</v>
      </c>
      <c r="O55" s="3332"/>
      <c r="P55" s="3338">
        <f>SUM(P31,P45,P50,P54)</f>
        <v>85315.322376176729</v>
      </c>
      <c r="Q55" s="3338">
        <f>SUM(Q31,Q45,Q50,Q54)</f>
        <v>5820.9833029041401</v>
      </c>
      <c r="R55" s="3338">
        <f>SUM(R31,R45,R50,R54)</f>
        <v>79494.339073272582</v>
      </c>
      <c r="S55" s="2399"/>
      <c r="T55" s="3344">
        <f>SUM(T31,T45,T50,T54)</f>
        <v>291479.24326866621</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1503.307598379793</v>
      </c>
      <c r="D10" s="4127">
        <f>C10-'Table1.A(d)'!E31/1000</f>
        <v>1383.5010436929535</v>
      </c>
      <c r="E10" s="4126">
        <f>'Table1.A(b)'!T31</f>
        <v>95434.293283781721</v>
      </c>
      <c r="F10" s="4126">
        <f>'Table1.A(a)s1'!C11/1000</f>
        <v>1404.5687629622885</v>
      </c>
      <c r="G10" s="4126">
        <f>'Table1.A(a)s1'!H11</f>
        <v>95514.06827039324</v>
      </c>
      <c r="H10" s="4126">
        <f>100*((D10-F10)/F10)</f>
        <v>-1.4999421761952272</v>
      </c>
      <c r="I10" s="4128">
        <f>100*((E10-G10)/G10)</f>
        <v>-8.3521713665972275E-2</v>
      </c>
      <c r="L10"/>
    </row>
    <row r="11" spans="2:12" ht="18" customHeight="1" x14ac:dyDescent="0.2">
      <c r="B11" s="50" t="s">
        <v>430</v>
      </c>
      <c r="C11" s="4126">
        <f>'Table1.A(b)'!N45/1000</f>
        <v>1861.8690858699997</v>
      </c>
      <c r="D11" s="4126">
        <f>C11-'Table1.A(d)'!E45/1000</f>
        <v>1748.5092800248613</v>
      </c>
      <c r="E11" s="4126">
        <f>'Table1.A(b)'!T45</f>
        <v>156258.79046759411</v>
      </c>
      <c r="F11" s="4126">
        <f>'Table1.A(a)s1'!C12/1000</f>
        <v>1737.8210786533632</v>
      </c>
      <c r="G11" s="4126">
        <f>'Table1.A(a)s1'!H12</f>
        <v>155969.27566655775</v>
      </c>
      <c r="H11" s="4126">
        <f t="shared" ref="H11:H13" si="0">100*((D11-F11)/F11)</f>
        <v>0.61503462599155123</v>
      </c>
      <c r="I11" s="4128">
        <f t="shared" ref="I11:I13" si="1">100*((E11-G11)/G11)</f>
        <v>0.1856229695233747</v>
      </c>
      <c r="L11"/>
    </row>
    <row r="12" spans="2:12" ht="18" customHeight="1" x14ac:dyDescent="0.2">
      <c r="B12" s="50" t="s">
        <v>431</v>
      </c>
      <c r="C12" s="4126">
        <f>'Table1.A(b)'!N50/1000</f>
        <v>793.92500000000018</v>
      </c>
      <c r="D12" s="4126">
        <f>C12-'Table1.A(d)'!E50/1000</f>
        <v>773.62056196116237</v>
      </c>
      <c r="E12" s="4126">
        <f>'Table1.A(b)'!T50</f>
        <v>39786.159517290333</v>
      </c>
      <c r="F12" s="4126">
        <f>'Table1.A(a)s1'!C13/1000</f>
        <v>768.25528176571754</v>
      </c>
      <c r="G12" s="4126">
        <f>'Table1.A(a)s1'!H13</f>
        <v>39519.571831996538</v>
      </c>
      <c r="H12" s="4126">
        <f t="shared" si="0"/>
        <v>0.69837205454852813</v>
      </c>
      <c r="I12" s="4128">
        <f t="shared" si="1"/>
        <v>0.67457128945398914</v>
      </c>
      <c r="L12"/>
    </row>
    <row r="13" spans="2:12" ht="18" customHeight="1" x14ac:dyDescent="0.2">
      <c r="B13" s="50" t="s">
        <v>432</v>
      </c>
      <c r="C13" s="4126">
        <f>'Table1.A(b)'!N54/1000</f>
        <v>0</v>
      </c>
      <c r="D13" s="4126">
        <f>C13-SUM('Table1.A(d)'!E54)/1000</f>
        <v>0</v>
      </c>
      <c r="E13" s="4126">
        <f>'Table1.A(b)'!T54</f>
        <v>0</v>
      </c>
      <c r="F13" s="4126">
        <f>'Table1.A(a)s1'!C14/1000</f>
        <v>4.3014691721343725</v>
      </c>
      <c r="G13" s="4126">
        <f>'Table1.A(a)s1'!H14</f>
        <v>386.77369031744956</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4159.1016842497929</v>
      </c>
      <c r="D15" s="4196">
        <f>SUM(D10:D14)</f>
        <v>3905.6308856789769</v>
      </c>
      <c r="E15" s="4196">
        <f>SUM(E10:E14)</f>
        <v>291479.24326866621</v>
      </c>
      <c r="F15" s="4196">
        <f>SUM(F10:F14)</f>
        <v>3914.9465925535033</v>
      </c>
      <c r="G15" s="4196">
        <f>SUM(G10:G14)</f>
        <v>291389.68945926498</v>
      </c>
      <c r="H15" s="4197">
        <f t="shared" ref="H15" si="2">100*((D15-F15)/F15)</f>
        <v>-0.23795233611220717</v>
      </c>
      <c r="I15" s="4198">
        <f t="shared" ref="I15" si="3">100*((E15-G15)/G15)</f>
        <v>3.073334872191804E-2</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2.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3.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2024-04-12T00:32:58Z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