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7" documentId="13_ncr:1_{4F454BFC-CF88-4D5B-967A-11E1126BBE67}" xr6:coauthVersionLast="47" xr6:coauthVersionMax="47" xr10:uidLastSave="{3D23FC6B-6CA1-489B-8B88-830933509799}"/>
  <bookViews>
    <workbookView xWindow="270" yWindow="750" windowWidth="27480" windowHeight="1384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O12" i="70" l="1"/>
  <c r="C12" i="70"/>
  <c r="O22" i="70"/>
  <c r="C30" i="70"/>
  <c r="Q26" i="70"/>
  <c r="I41" i="70"/>
  <c r="I30" i="70"/>
  <c r="C41" i="70" l="1"/>
  <c r="S26" i="70"/>
  <c r="T26" i="70"/>
  <c r="R26" i="70"/>
  <c r="I50" i="70"/>
  <c r="O41" i="70"/>
  <c r="O50" i="70"/>
  <c r="C18" i="70"/>
  <c r="C11" i="70" s="1"/>
  <c r="C10" i="70" s="1"/>
  <c r="I22" i="70"/>
  <c r="I12" i="70"/>
  <c r="I18" i="70"/>
  <c r="O30" i="70"/>
  <c r="O18" i="70"/>
  <c r="O11" i="70" s="1"/>
  <c r="O10" i="70" s="1"/>
  <c r="C22" i="70"/>
  <c r="I11" i="70" l="1"/>
  <c r="I10" i="70" s="1"/>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I35" i="47"/>
  <c r="S22" i="51" l="1"/>
  <c r="S21" i="51" s="1"/>
  <c r="Q21" i="51"/>
  <c r="K12" i="51"/>
  <c r="D12" i="51"/>
  <c r="D18" i="52"/>
  <c r="K18" i="52"/>
  <c r="F18" i="50"/>
  <c r="L19" i="50"/>
  <c r="D22" i="51"/>
  <c r="E21" i="51"/>
  <c r="K22" i="51"/>
  <c r="L22" i="51"/>
  <c r="F21" i="51"/>
  <c r="K15" i="52"/>
  <c r="D15" i="52"/>
  <c r="E14" i="52"/>
  <c r="K16" i="52"/>
  <c r="D16" i="52"/>
  <c r="N11" i="53"/>
  <c r="Q18" i="50"/>
  <c r="S19" i="50"/>
  <c r="S18" i="50" s="1"/>
  <c r="K19" i="50"/>
  <c r="D19" i="50"/>
  <c r="E18" i="50"/>
  <c r="P17" i="52"/>
  <c r="P11" i="52" s="1"/>
  <c r="P10" i="52" s="1"/>
  <c r="P11" i="51"/>
  <c r="G22" i="51" l="1"/>
  <c r="D21" i="51"/>
  <c r="H22" i="51"/>
  <c r="I22" i="51"/>
  <c r="J22" i="51"/>
  <c r="O14" i="51"/>
  <c r="S14" i="51" s="1"/>
  <c r="N11" i="51"/>
  <c r="G16" i="52"/>
  <c r="H16" i="52"/>
  <c r="J16" i="52"/>
  <c r="I16" i="52"/>
  <c r="N17" i="52"/>
  <c r="N11" i="52" s="1"/>
  <c r="F13" i="50"/>
  <c r="L18" i="50"/>
  <c r="K18" i="50"/>
  <c r="I19" i="50"/>
  <c r="G19" i="50"/>
  <c r="D18" i="50"/>
  <c r="J19" i="50"/>
  <c r="H19" i="50"/>
  <c r="O18" i="52"/>
  <c r="K14" i="52"/>
  <c r="I15" i="52"/>
  <c r="H15" i="52"/>
  <c r="J15" i="52"/>
  <c r="D14" i="52"/>
  <c r="G15" i="52"/>
  <c r="G18" i="52"/>
  <c r="H18" i="52"/>
  <c r="J18" i="52"/>
  <c r="P15" i="49"/>
  <c r="U15" i="49" s="1"/>
  <c r="O12" i="51"/>
  <c r="M11" i="51"/>
  <c r="L21" i="51"/>
  <c r="F15" i="51"/>
  <c r="G12" i="51"/>
  <c r="H12" i="51"/>
  <c r="J12" i="51"/>
  <c r="I12" i="51"/>
  <c r="M11" i="53"/>
  <c r="O12" i="53"/>
  <c r="K21" i="51"/>
  <c r="G45" i="59"/>
  <c r="G22" i="59"/>
  <c r="G16" i="59"/>
  <c r="H18" i="50" l="1"/>
  <c r="G18" i="50"/>
  <c r="J18" i="50"/>
  <c r="I18" i="50"/>
  <c r="F23" i="59"/>
  <c r="G23" i="59" s="1"/>
  <c r="G24" i="59"/>
  <c r="G18" i="59"/>
  <c r="F17" i="59"/>
  <c r="G17" i="59" s="1"/>
  <c r="J14" i="52"/>
  <c r="I14" i="52"/>
  <c r="H14" i="52"/>
  <c r="G14" i="52"/>
  <c r="F50" i="59"/>
  <c r="G51" i="59"/>
  <c r="L15" i="51"/>
  <c r="F10" i="51"/>
  <c r="L10" i="51" s="1"/>
  <c r="G14" i="59"/>
  <c r="S12" i="51"/>
  <c r="O11" i="51"/>
  <c r="P22" i="49"/>
  <c r="U22" i="49" s="1"/>
  <c r="S12" i="53"/>
  <c r="S11" i="53" s="1"/>
  <c r="O11" i="53"/>
  <c r="O18" i="51"/>
  <c r="S18" i="51" s="1"/>
  <c r="F10" i="50"/>
  <c r="L10" i="50" s="1"/>
  <c r="L13" i="50"/>
  <c r="J21" i="51"/>
  <c r="H21" i="51"/>
  <c r="I21" i="51"/>
  <c r="G21" i="51"/>
  <c r="I18" i="52"/>
  <c r="S18" i="52"/>
  <c r="M17" i="52"/>
  <c r="M11" i="52" s="1"/>
  <c r="O19" i="52"/>
  <c r="S19" i="52" s="1"/>
  <c r="G39" i="59"/>
  <c r="F38" i="59"/>
  <c r="P14" i="49"/>
  <c r="G38" i="59" l="1"/>
  <c r="F37" i="59"/>
  <c r="C24" i="47"/>
  <c r="S17" i="52"/>
  <c r="S11" i="52" s="1"/>
  <c r="F49" i="59"/>
  <c r="G50" i="59"/>
  <c r="O17" i="52"/>
  <c r="O11" i="52" s="1"/>
  <c r="T23" i="49"/>
  <c r="T16" i="49" s="1"/>
  <c r="T10" i="49" s="1"/>
  <c r="Q16" i="51"/>
  <c r="Q15" i="51" s="1"/>
  <c r="D21" i="49"/>
  <c r="Q14" i="53"/>
  <c r="Q13" i="53" s="1"/>
  <c r="Q10" i="53" s="1"/>
  <c r="R14" i="53"/>
  <c r="R13" i="53" s="1"/>
  <c r="R10" i="53" s="1"/>
  <c r="Q14" i="50"/>
  <c r="Q13" i="50" s="1"/>
  <c r="S25" i="49"/>
  <c r="S17" i="49"/>
  <c r="S11" i="49"/>
  <c r="E16" i="51" l="1"/>
  <c r="D17" i="51"/>
  <c r="K17" i="51"/>
  <c r="L13" i="49"/>
  <c r="D13" i="49"/>
  <c r="M24" i="49"/>
  <c r="F23" i="49"/>
  <c r="D24" i="49"/>
  <c r="F32" i="59"/>
  <c r="G33" i="59"/>
  <c r="F48" i="59"/>
  <c r="G48" i="59" s="1"/>
  <c r="G49" i="59"/>
  <c r="D18" i="49"/>
  <c r="E17" i="49"/>
  <c r="L18" i="49"/>
  <c r="C21" i="47"/>
  <c r="L12" i="49"/>
  <c r="D12" i="49"/>
  <c r="D15" i="50"/>
  <c r="E14" i="50"/>
  <c r="K15" i="50"/>
  <c r="F66" i="59"/>
  <c r="G67" i="59"/>
  <c r="K16" i="53"/>
  <c r="D16" i="53"/>
  <c r="E14" i="53"/>
  <c r="F43" i="59"/>
  <c r="G44" i="59"/>
  <c r="E36" i="52"/>
  <c r="D37" i="52"/>
  <c r="K37" i="52"/>
  <c r="H21" i="59"/>
  <c r="F20" i="59"/>
  <c r="G21" i="59"/>
  <c r="I21" i="59"/>
  <c r="G37" i="59"/>
  <c r="E25" i="49"/>
  <c r="L26" i="49"/>
  <c r="D26" i="49"/>
  <c r="F14" i="53"/>
  <c r="L15" i="53"/>
  <c r="D15" i="53"/>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R11" i="49"/>
  <c r="P13" i="49"/>
  <c r="K21" i="49"/>
  <c r="L21" i="49"/>
  <c r="O11" i="49"/>
  <c r="N11" i="49" l="1"/>
  <c r="P12" i="49"/>
  <c r="M16" i="51"/>
  <c r="M15" i="51" s="1"/>
  <c r="M10" i="51" s="1"/>
  <c r="O17" i="51"/>
  <c r="G12" i="49"/>
  <c r="J12" i="49"/>
  <c r="H12" i="49"/>
  <c r="K12" i="49"/>
  <c r="I12" i="49"/>
  <c r="O15" i="50"/>
  <c r="M14" i="50"/>
  <c r="M13" i="50" s="1"/>
  <c r="D14" i="53"/>
  <c r="G15" i="53"/>
  <c r="H15" i="53"/>
  <c r="J15" i="53"/>
  <c r="F19" i="59"/>
  <c r="G20" i="59"/>
  <c r="D20" i="49"/>
  <c r="L20" i="49"/>
  <c r="E19" i="49"/>
  <c r="L14" i="53"/>
  <c r="F13" i="53"/>
  <c r="G24" i="49"/>
  <c r="K24" i="49"/>
  <c r="D23" i="49"/>
  <c r="J24" i="49"/>
  <c r="H24" i="49"/>
  <c r="I24" i="49"/>
  <c r="N25" i="49"/>
  <c r="P26" i="49"/>
  <c r="D25" i="49"/>
  <c r="H26" i="49"/>
  <c r="K26" i="49"/>
  <c r="J26" i="49"/>
  <c r="G26" i="49"/>
  <c r="J37" i="52"/>
  <c r="H37" i="52"/>
  <c r="G37" i="52"/>
  <c r="D36" i="52"/>
  <c r="I37" i="52"/>
  <c r="M23" i="49"/>
  <c r="F16" i="49"/>
  <c r="H21" i="49"/>
  <c r="S19" i="49"/>
  <c r="S16" i="49" s="1"/>
  <c r="S10" i="49" s="1"/>
  <c r="P24" i="49"/>
  <c r="N23" i="49"/>
  <c r="J16" i="53"/>
  <c r="K36" i="52"/>
  <c r="E35" i="52"/>
  <c r="G66" i="59"/>
  <c r="F65" i="59"/>
  <c r="L17" i="49"/>
  <c r="C15" i="57"/>
  <c r="E16" i="49"/>
  <c r="L16" i="49" s="1"/>
  <c r="O16" i="53"/>
  <c r="C18" i="57"/>
  <c r="L25" i="49"/>
  <c r="G18" i="49"/>
  <c r="H18" i="49"/>
  <c r="K18" i="49"/>
  <c r="J18" i="49"/>
  <c r="D17" i="49"/>
  <c r="G13" i="49"/>
  <c r="I13" i="49"/>
  <c r="K13" i="49"/>
  <c r="H13" i="49"/>
  <c r="J13" i="49"/>
  <c r="R19" i="49"/>
  <c r="R16" i="49" s="1"/>
  <c r="R10" i="49" s="1"/>
  <c r="N14" i="53"/>
  <c r="N13" i="53" s="1"/>
  <c r="N10" i="53" s="1"/>
  <c r="P16" i="51"/>
  <c r="P15" i="51" s="1"/>
  <c r="P10" i="51" s="1"/>
  <c r="G32" i="59"/>
  <c r="F31" i="59"/>
  <c r="M14" i="53"/>
  <c r="M13" i="53" s="1"/>
  <c r="M10" i="53" s="1"/>
  <c r="O15" i="53"/>
  <c r="I15" i="53" s="1"/>
  <c r="N17" i="49"/>
  <c r="P18" i="49"/>
  <c r="G15" i="59"/>
  <c r="F13" i="59"/>
  <c r="U13" i="49"/>
  <c r="O37" i="52"/>
  <c r="M36" i="52"/>
  <c r="M35" i="52" s="1"/>
  <c r="M23" i="52" s="1"/>
  <c r="M10" i="52" s="1"/>
  <c r="D22" i="52"/>
  <c r="L22" i="52"/>
  <c r="F21" i="52"/>
  <c r="F42" i="59"/>
  <c r="G43" i="59"/>
  <c r="C23" i="57"/>
  <c r="E13" i="50"/>
  <c r="K13" i="50" s="1"/>
  <c r="K14" i="50"/>
  <c r="K14" i="53"/>
  <c r="E13" i="53"/>
  <c r="K13" i="53" s="1"/>
  <c r="C50" i="57"/>
  <c r="D14" i="50"/>
  <c r="G15" i="50"/>
  <c r="H15" i="50"/>
  <c r="J15" i="50"/>
  <c r="I15" i="50"/>
  <c r="D16" i="51"/>
  <c r="H17" i="51"/>
  <c r="G17" i="51"/>
  <c r="J17" i="51"/>
  <c r="I17" i="51"/>
  <c r="Q16" i="49"/>
  <c r="H16" i="53"/>
  <c r="G16" i="53"/>
  <c r="I16" i="53"/>
  <c r="C32" i="57"/>
  <c r="E15" i="51"/>
  <c r="K15" i="51" s="1"/>
  <c r="K16" i="51"/>
  <c r="O19" i="49"/>
  <c r="O16" i="49" s="1"/>
  <c r="O10" i="49" s="1"/>
  <c r="C48" i="57" l="1"/>
  <c r="F17" i="52"/>
  <c r="L21" i="52"/>
  <c r="K17" i="49"/>
  <c r="H17" i="49"/>
  <c r="J17" i="49"/>
  <c r="G17" i="49"/>
  <c r="D16" i="49"/>
  <c r="F10" i="49"/>
  <c r="M10" i="49" s="1"/>
  <c r="M16" i="49"/>
  <c r="I26" i="49"/>
  <c r="U26" i="49"/>
  <c r="U25" i="49" s="1"/>
  <c r="P25" i="49"/>
  <c r="I25" i="49" s="1"/>
  <c r="G31" i="59"/>
  <c r="F25" i="59"/>
  <c r="G25" i="59" s="1"/>
  <c r="H14" i="50"/>
  <c r="D13" i="50"/>
  <c r="J14" i="50"/>
  <c r="G14" i="50"/>
  <c r="G20" i="49"/>
  <c r="D19" i="49"/>
  <c r="J20" i="49"/>
  <c r="H20" i="49"/>
  <c r="K20" i="49"/>
  <c r="D35" i="52"/>
  <c r="I36" i="52"/>
  <c r="H36" i="52"/>
  <c r="G36" i="52"/>
  <c r="J36" i="52"/>
  <c r="S37" i="52"/>
  <c r="S36" i="52" s="1"/>
  <c r="S35" i="52" s="1"/>
  <c r="S23" i="52" s="1"/>
  <c r="O36" i="52"/>
  <c r="O35" i="52" s="1"/>
  <c r="O23" i="52" s="1"/>
  <c r="O10" i="52" s="1"/>
  <c r="E23" i="52"/>
  <c r="K23" i="52" s="1"/>
  <c r="K35" i="52"/>
  <c r="K23" i="49"/>
  <c r="J23" i="49"/>
  <c r="G23" i="49"/>
  <c r="H23" i="49"/>
  <c r="G65" i="59"/>
  <c r="F59" i="59"/>
  <c r="F12" i="59"/>
  <c r="G13" i="59"/>
  <c r="N19" i="49"/>
  <c r="N16" i="49" s="1"/>
  <c r="N10" i="49" s="1"/>
  <c r="P20" i="49"/>
  <c r="C21" i="57"/>
  <c r="S16" i="53"/>
  <c r="P14" i="53"/>
  <c r="P13" i="53" s="1"/>
  <c r="P10" i="53" s="1"/>
  <c r="G16" i="51"/>
  <c r="H16" i="51"/>
  <c r="D15" i="51"/>
  <c r="J16" i="51"/>
  <c r="I18" i="49"/>
  <c r="P17" i="49"/>
  <c r="I17" i="49" s="1"/>
  <c r="U18" i="49"/>
  <c r="U17" i="49" s="1"/>
  <c r="P23" i="49"/>
  <c r="I23" i="49" s="1"/>
  <c r="U24" i="49"/>
  <c r="U23" i="49" s="1"/>
  <c r="O16" i="51"/>
  <c r="O15" i="51" s="1"/>
  <c r="O10" i="51" s="1"/>
  <c r="S17" i="51"/>
  <c r="S16" i="51" s="1"/>
  <c r="S15" i="51" s="1"/>
  <c r="C19" i="47" s="1"/>
  <c r="G14" i="53"/>
  <c r="D13" i="53"/>
  <c r="H14" i="53"/>
  <c r="I22" i="52"/>
  <c r="J22" i="52"/>
  <c r="D21" i="52"/>
  <c r="H22" i="52"/>
  <c r="G22" i="52"/>
  <c r="F10" i="53"/>
  <c r="L10" i="53" s="1"/>
  <c r="L13" i="53"/>
  <c r="S15" i="53"/>
  <c r="S14" i="53" s="1"/>
  <c r="S13" i="53" s="1"/>
  <c r="O14" i="53"/>
  <c r="O13" i="53" s="1"/>
  <c r="O10" i="53" s="1"/>
  <c r="U12" i="49"/>
  <c r="P11" i="49"/>
  <c r="C30" i="57"/>
  <c r="G42" i="59"/>
  <c r="F36" i="59"/>
  <c r="G36" i="59" s="1"/>
  <c r="P21" i="49"/>
  <c r="G21" i="49"/>
  <c r="K25" i="49"/>
  <c r="J25" i="49"/>
  <c r="H25" i="49"/>
  <c r="G25" i="49"/>
  <c r="C16" i="57"/>
  <c r="L19" i="49"/>
  <c r="O14" i="50"/>
  <c r="O13" i="50" s="1"/>
  <c r="S15" i="50"/>
  <c r="S14" i="50" s="1"/>
  <c r="S13" i="50" s="1"/>
  <c r="C16" i="47" s="1"/>
  <c r="I13" i="53" l="1"/>
  <c r="J13" i="53"/>
  <c r="H13" i="53"/>
  <c r="G13" i="53"/>
  <c r="I14" i="50"/>
  <c r="C25" i="47"/>
  <c r="S10" i="53"/>
  <c r="C22" i="47"/>
  <c r="C20" i="47" s="1"/>
  <c r="S10" i="52"/>
  <c r="G59" i="59"/>
  <c r="J13" i="50"/>
  <c r="I13" i="50"/>
  <c r="G13" i="50"/>
  <c r="H13" i="50"/>
  <c r="K16" i="49"/>
  <c r="J16" i="49"/>
  <c r="G16" i="49"/>
  <c r="H16" i="49"/>
  <c r="I15" i="51"/>
  <c r="H15" i="51"/>
  <c r="G15" i="51"/>
  <c r="J15" i="51"/>
  <c r="U21" i="49"/>
  <c r="I21" i="49"/>
  <c r="C20" i="57"/>
  <c r="G35" i="52"/>
  <c r="D23" i="52"/>
  <c r="H35" i="52"/>
  <c r="I35" i="52"/>
  <c r="J35" i="52"/>
  <c r="P16" i="49"/>
  <c r="P10" i="49" s="1"/>
  <c r="J21" i="52"/>
  <c r="H21" i="52"/>
  <c r="G21" i="52"/>
  <c r="I21" i="52"/>
  <c r="I20" i="49"/>
  <c r="P19" i="49"/>
  <c r="I19" i="49" s="1"/>
  <c r="U20" i="49"/>
  <c r="U19" i="49" s="1"/>
  <c r="U16" i="49" s="1"/>
  <c r="C13" i="47" s="1"/>
  <c r="J14" i="53"/>
  <c r="I16" i="51"/>
  <c r="L17" i="52"/>
  <c r="F11" i="52"/>
  <c r="D12" i="53"/>
  <c r="E11" i="53"/>
  <c r="K12" i="53"/>
  <c r="C13" i="57"/>
  <c r="I14" i="53"/>
  <c r="G19" i="49"/>
  <c r="J19" i="49"/>
  <c r="H19" i="49"/>
  <c r="K19" i="49"/>
  <c r="F11" i="59"/>
  <c r="G12" i="59"/>
  <c r="M13" i="48"/>
  <c r="M17" i="48"/>
  <c r="E10" i="54" l="1"/>
  <c r="D11" i="54"/>
  <c r="D10" i="54" s="1"/>
  <c r="D13" i="51"/>
  <c r="E11" i="51"/>
  <c r="I16" i="49"/>
  <c r="F10" i="52"/>
  <c r="L10" i="52" s="1"/>
  <c r="L11" i="52"/>
  <c r="H23" i="52"/>
  <c r="I23" i="52"/>
  <c r="G23" i="52"/>
  <c r="J23" i="52"/>
  <c r="C46" i="109"/>
  <c r="F20" i="48"/>
  <c r="F21" i="48" s="1"/>
  <c r="H20" i="48"/>
  <c r="M18" i="48"/>
  <c r="K20" i="48"/>
  <c r="K21" i="48" s="1"/>
  <c r="M12" i="48"/>
  <c r="C23" i="47"/>
  <c r="F10" i="59"/>
  <c r="J20" i="48"/>
  <c r="J21" i="48" s="1"/>
  <c r="D14" i="49"/>
  <c r="L14" i="49"/>
  <c r="E11" i="49"/>
  <c r="H30" i="57"/>
  <c r="D32" i="57"/>
  <c r="D30" i="57" s="1"/>
  <c r="F30" i="57" s="1"/>
  <c r="M15" i="48"/>
  <c r="C20" i="48"/>
  <c r="M10" i="48"/>
  <c r="C47" i="57"/>
  <c r="E10" i="53"/>
  <c r="K10" i="53" s="1"/>
  <c r="K11" i="53"/>
  <c r="D12" i="50"/>
  <c r="E11" i="50"/>
  <c r="D20" i="52"/>
  <c r="K20" i="52"/>
  <c r="E17" i="52"/>
  <c r="E20" i="48"/>
  <c r="E21" i="48" s="1"/>
  <c r="I12" i="53"/>
  <c r="G12" i="53"/>
  <c r="D11" i="53"/>
  <c r="H12" i="53"/>
  <c r="J12" i="53"/>
  <c r="I70" i="34"/>
  <c r="H72" i="34"/>
  <c r="H65" i="34"/>
  <c r="I65" i="34"/>
  <c r="G67" i="34"/>
  <c r="H67" i="34"/>
  <c r="I67" i="34"/>
  <c r="H71" i="34"/>
  <c r="G66" i="34"/>
  <c r="G73" i="34"/>
  <c r="H66" i="34"/>
  <c r="H73" i="34"/>
  <c r="H75" i="34"/>
  <c r="G65" i="34"/>
  <c r="I66" i="34"/>
  <c r="G68" i="34"/>
  <c r="I75" i="34"/>
  <c r="G70" i="34"/>
  <c r="G80" i="34"/>
  <c r="G88" i="34"/>
  <c r="G78" i="34"/>
  <c r="H78" i="34"/>
  <c r="H80" i="34"/>
  <c r="H82" i="34"/>
  <c r="H84" i="34"/>
  <c r="I78" i="34"/>
  <c r="I80" i="34"/>
  <c r="I88" i="34"/>
  <c r="G81" i="34"/>
  <c r="G89" i="34"/>
  <c r="H79" i="34"/>
  <c r="H83" i="34"/>
  <c r="H85" i="34"/>
  <c r="I81" i="34"/>
  <c r="I87" i="34"/>
  <c r="I89" i="34"/>
  <c r="I59" i="34"/>
  <c r="H63" i="34"/>
  <c r="I52" i="34"/>
  <c r="G54" i="34"/>
  <c r="H54" i="34"/>
  <c r="H56" i="34"/>
  <c r="I54" i="34"/>
  <c r="I58" i="34"/>
  <c r="G60" i="34"/>
  <c r="G62" i="34"/>
  <c r="H60" i="34"/>
  <c r="I60" i="34"/>
  <c r="I62" i="34"/>
  <c r="H52" i="34"/>
  <c r="G53" i="34"/>
  <c r="G52" i="34"/>
  <c r="H53" i="34"/>
  <c r="G55" i="34"/>
  <c r="G57" i="34"/>
  <c r="I53" i="34"/>
  <c r="H55" i="34"/>
  <c r="H57" i="34"/>
  <c r="G59" i="34"/>
  <c r="I92" i="34"/>
  <c r="I94" i="34"/>
  <c r="I98" i="34"/>
  <c r="J113" i="34"/>
  <c r="J115" i="34"/>
  <c r="K107" i="34"/>
  <c r="K109" i="34"/>
  <c r="K111" i="34"/>
  <c r="K113" i="34"/>
  <c r="K115" i="34"/>
  <c r="M107" i="34"/>
  <c r="M109" i="34"/>
  <c r="M111" i="34"/>
  <c r="M113" i="34"/>
  <c r="M115" i="34"/>
  <c r="I95" i="34"/>
  <c r="I103" i="34"/>
  <c r="J112" i="34"/>
  <c r="M28" i="25" s="1"/>
  <c r="J116" i="34"/>
  <c r="K106" i="34"/>
  <c r="K108" i="34"/>
  <c r="K110" i="34"/>
  <c r="K112" i="34"/>
  <c r="K114" i="34"/>
  <c r="K116" i="34"/>
  <c r="M106" i="34"/>
  <c r="M108" i="34"/>
  <c r="M110" i="34"/>
  <c r="M112" i="34"/>
  <c r="M114" i="34"/>
  <c r="M116" i="34"/>
  <c r="H118" i="34"/>
  <c r="H123" i="34"/>
  <c r="H125" i="34"/>
  <c r="H127" i="34"/>
  <c r="I121" i="34"/>
  <c r="G29" i="25"/>
  <c r="I29" i="25"/>
  <c r="G129" i="34"/>
  <c r="H119" i="34"/>
  <c r="G125" i="34"/>
  <c r="G127" i="34"/>
  <c r="H129" i="34"/>
  <c r="G120" i="34"/>
  <c r="G126" i="34"/>
  <c r="H120" i="34"/>
  <c r="H122" i="34"/>
  <c r="H126" i="34"/>
  <c r="H29" i="25"/>
  <c r="K29" i="25"/>
  <c r="H128" i="34"/>
  <c r="I120" i="34"/>
  <c r="G128" i="34"/>
  <c r="G118" i="34"/>
  <c r="I118" i="34"/>
  <c r="L117" i="34"/>
  <c r="H132" i="34"/>
  <c r="G137" i="34"/>
  <c r="H137" i="34"/>
  <c r="G134" i="34"/>
  <c r="H134" i="34"/>
  <c r="I30" i="25"/>
  <c r="G139" i="34"/>
  <c r="H139" i="34"/>
  <c r="T30" i="25"/>
  <c r="G132" i="34"/>
  <c r="G136" i="34"/>
  <c r="G141" i="34"/>
  <c r="M30" i="25"/>
  <c r="G133" i="34"/>
  <c r="G138" i="34"/>
  <c r="G140" i="34"/>
  <c r="H133" i="34"/>
  <c r="H30" i="25"/>
  <c r="G143" i="34"/>
  <c r="G135" i="34"/>
  <c r="H143" i="34"/>
  <c r="D30" i="25"/>
  <c r="H135" i="34"/>
  <c r="H140" i="34"/>
  <c r="U30" i="25"/>
  <c r="G142" i="34"/>
  <c r="H147" i="34"/>
  <c r="H156" i="34"/>
  <c r="I147" i="34"/>
  <c r="H149" i="34"/>
  <c r="H158" i="34"/>
  <c r="I149" i="34"/>
  <c r="I158" i="34"/>
  <c r="H153" i="34"/>
  <c r="I148" i="34"/>
  <c r="H150" i="34"/>
  <c r="H152" i="34"/>
  <c r="I152" i="34"/>
  <c r="H154" i="34"/>
  <c r="I16" i="59"/>
  <c r="D18" i="57"/>
  <c r="J47" i="34"/>
  <c r="M48" i="34"/>
  <c r="K50" i="34"/>
  <c r="L41" i="34"/>
  <c r="M50" i="34"/>
  <c r="M41" i="34"/>
  <c r="K43" i="34"/>
  <c r="M43" i="34"/>
  <c r="K45" i="34"/>
  <c r="K47" i="34"/>
  <c r="M47" i="34"/>
  <c r="K42" i="34"/>
  <c r="M45" i="34"/>
  <c r="L47" i="34"/>
  <c r="J49" i="34"/>
  <c r="K49" i="34"/>
  <c r="K40" i="34"/>
  <c r="M49" i="34"/>
  <c r="M40" i="34"/>
  <c r="K41" i="34"/>
  <c r="L50" i="34"/>
  <c r="M42" i="34"/>
  <c r="K44" i="34"/>
  <c r="J46" i="34"/>
  <c r="M46" i="34"/>
  <c r="L44" i="34"/>
  <c r="K46" i="34"/>
  <c r="M44" i="34"/>
  <c r="K48" i="34"/>
  <c r="J50" i="34"/>
  <c r="L42" i="34"/>
  <c r="L45" i="34"/>
  <c r="L43" i="34"/>
  <c r="L48" i="34"/>
  <c r="L49" i="34"/>
  <c r="L46" i="34"/>
  <c r="L40" i="34"/>
  <c r="H31" i="34"/>
  <c r="H33" i="34"/>
  <c r="H35" i="34"/>
  <c r="I37" i="34"/>
  <c r="H26" i="34"/>
  <c r="G28" i="34"/>
  <c r="I26" i="34"/>
  <c r="H28" i="34"/>
  <c r="G30" i="34"/>
  <c r="G32" i="34"/>
  <c r="I28" i="34"/>
  <c r="G34" i="34"/>
  <c r="I35" i="34"/>
  <c r="K25" i="34"/>
  <c r="G36" i="34"/>
  <c r="G26" i="34"/>
  <c r="H36" i="34"/>
  <c r="H37" i="34"/>
  <c r="G29" i="34"/>
  <c r="H27" i="34"/>
  <c r="H29" i="34"/>
  <c r="G31" i="34"/>
  <c r="D16" i="57"/>
  <c r="I22" i="59"/>
  <c r="I45" i="59"/>
  <c r="K20" i="59"/>
  <c r="I15" i="59"/>
  <c r="H16" i="59"/>
  <c r="H22" i="59"/>
  <c r="H15" i="59"/>
  <c r="H45" i="59"/>
  <c r="D12" i="57"/>
  <c r="K13" i="51"/>
  <c r="Q11" i="50"/>
  <c r="Q10" i="50" s="1"/>
  <c r="D40" i="34" l="1"/>
  <c r="G40" i="34" s="1"/>
  <c r="G14" i="34"/>
  <c r="G157" i="34"/>
  <c r="T31" i="25"/>
  <c r="J64" i="34"/>
  <c r="D23" i="57"/>
  <c r="D21" i="57" s="1"/>
  <c r="H21" i="57"/>
  <c r="H20" i="57" s="1"/>
  <c r="I12" i="57"/>
  <c r="L23" i="59"/>
  <c r="I23" i="59" s="1"/>
  <c r="I24" i="59"/>
  <c r="G35" i="34"/>
  <c r="E50" i="34"/>
  <c r="H50" i="34" s="1"/>
  <c r="H24" i="34"/>
  <c r="K12" i="34"/>
  <c r="K39" i="34"/>
  <c r="K38" i="34" s="1"/>
  <c r="F42" i="34"/>
  <c r="I42" i="34" s="1"/>
  <c r="I16" i="34"/>
  <c r="E43" i="34"/>
  <c r="H43" i="34" s="1"/>
  <c r="H17" i="34"/>
  <c r="R31" i="25"/>
  <c r="G156" i="34"/>
  <c r="D29" i="25"/>
  <c r="G122" i="34"/>
  <c r="I129" i="34"/>
  <c r="H121" i="34"/>
  <c r="J108" i="34"/>
  <c r="G28" i="25"/>
  <c r="H95" i="34"/>
  <c r="E108" i="34"/>
  <c r="H108" i="34" s="1"/>
  <c r="J107" i="34"/>
  <c r="F28" i="25" s="1"/>
  <c r="H94" i="34"/>
  <c r="E107" i="34"/>
  <c r="H107" i="34" s="1"/>
  <c r="J51" i="34"/>
  <c r="H81" i="34"/>
  <c r="L64" i="34"/>
  <c r="H76" i="34"/>
  <c r="M20" i="48"/>
  <c r="M21" i="48"/>
  <c r="C21" i="48"/>
  <c r="J11" i="53"/>
  <c r="G11" i="53"/>
  <c r="D10" i="53"/>
  <c r="I11" i="53"/>
  <c r="H11" i="53"/>
  <c r="G20" i="34"/>
  <c r="D46" i="34"/>
  <c r="G46" i="34" s="1"/>
  <c r="J109" i="34"/>
  <c r="H28" i="25" s="1"/>
  <c r="G13" i="57"/>
  <c r="I15" i="57"/>
  <c r="E15" i="57"/>
  <c r="I16" i="57"/>
  <c r="E16" i="57"/>
  <c r="G33" i="34"/>
  <c r="I22" i="34"/>
  <c r="F48" i="34"/>
  <c r="I48" i="34" s="1"/>
  <c r="I20" i="34"/>
  <c r="F46" i="34"/>
  <c r="I46" i="34" s="1"/>
  <c r="E44" i="34"/>
  <c r="H44" i="34" s="1"/>
  <c r="H18" i="34"/>
  <c r="I23" i="34"/>
  <c r="F49" i="34"/>
  <c r="I49" i="34" s="1"/>
  <c r="D49" i="34"/>
  <c r="G49" i="34" s="1"/>
  <c r="G23" i="34"/>
  <c r="J41" i="34"/>
  <c r="F27" i="25" s="1"/>
  <c r="H157" i="34"/>
  <c r="I151" i="34"/>
  <c r="K131" i="34"/>
  <c r="K130" i="34" s="1"/>
  <c r="K117" i="34"/>
  <c r="G123" i="34"/>
  <c r="L91" i="34"/>
  <c r="L90" i="34" s="1"/>
  <c r="J106" i="34"/>
  <c r="D28" i="25"/>
  <c r="E106" i="34"/>
  <c r="H106" i="34" s="1"/>
  <c r="H93" i="34"/>
  <c r="M105" i="34"/>
  <c r="M104" i="34" s="1"/>
  <c r="M91" i="34"/>
  <c r="J91" i="34"/>
  <c r="J105" i="34"/>
  <c r="H92" i="34"/>
  <c r="E105" i="34"/>
  <c r="H105" i="34" s="1"/>
  <c r="M77" i="34"/>
  <c r="J77" i="34"/>
  <c r="I74" i="34"/>
  <c r="H21" i="48"/>
  <c r="C47" i="109"/>
  <c r="G21" i="34"/>
  <c r="D47" i="34"/>
  <c r="G47" i="34" s="1"/>
  <c r="H98" i="34"/>
  <c r="E111" i="34"/>
  <c r="H111" i="34" s="1"/>
  <c r="D105" i="34"/>
  <c r="G105" i="34" s="1"/>
  <c r="G92" i="34"/>
  <c r="K17" i="52"/>
  <c r="E11" i="52"/>
  <c r="G153" i="34"/>
  <c r="K31" i="25"/>
  <c r="J111" i="34"/>
  <c r="K28" i="25"/>
  <c r="L51" i="34"/>
  <c r="I34" i="34"/>
  <c r="D45" i="34"/>
  <c r="G45" i="34" s="1"/>
  <c r="G19" i="34"/>
  <c r="F29" i="25"/>
  <c r="M27" i="25"/>
  <c r="I21" i="34"/>
  <c r="F47" i="34"/>
  <c r="I47" i="34" s="1"/>
  <c r="G103" i="34"/>
  <c r="D116" i="34"/>
  <c r="G116" i="34" s="1"/>
  <c r="I102" i="34"/>
  <c r="I69" i="34"/>
  <c r="I23" i="57"/>
  <c r="G21" i="57"/>
  <c r="E23" i="57"/>
  <c r="I32" i="57"/>
  <c r="G30" i="57"/>
  <c r="E32" i="57"/>
  <c r="I36" i="34"/>
  <c r="M25" i="34"/>
  <c r="H32" i="34"/>
  <c r="I29" i="34"/>
  <c r="I24" i="34"/>
  <c r="F50" i="34"/>
  <c r="I50" i="34" s="1"/>
  <c r="E48" i="34"/>
  <c r="H48" i="34" s="1"/>
  <c r="H22" i="34"/>
  <c r="I19" i="34"/>
  <c r="F45" i="34"/>
  <c r="I45" i="34" s="1"/>
  <c r="O27" i="25"/>
  <c r="I150" i="34"/>
  <c r="M146" i="34"/>
  <c r="I154" i="34"/>
  <c r="I126" i="34"/>
  <c r="H124" i="34"/>
  <c r="I127" i="34"/>
  <c r="T29" i="25"/>
  <c r="I101" i="34"/>
  <c r="G101" i="34"/>
  <c r="D114" i="34"/>
  <c r="G114" i="34" s="1"/>
  <c r="I100" i="34"/>
  <c r="G102" i="34"/>
  <c r="D115" i="34"/>
  <c r="G115" i="34" s="1"/>
  <c r="M51" i="34"/>
  <c r="I56" i="34"/>
  <c r="I61" i="34"/>
  <c r="G61" i="34"/>
  <c r="G87" i="34"/>
  <c r="I86" i="34"/>
  <c r="G74" i="34"/>
  <c r="L39" i="34"/>
  <c r="L38" i="34" s="1"/>
  <c r="L12" i="34"/>
  <c r="J40" i="34"/>
  <c r="D27" i="25"/>
  <c r="C46" i="57"/>
  <c r="U27" i="25"/>
  <c r="G124" i="34"/>
  <c r="L20" i="59"/>
  <c r="J12" i="34"/>
  <c r="J39" i="34"/>
  <c r="C27" i="25" s="1"/>
  <c r="G155" i="34"/>
  <c r="O31" i="25"/>
  <c r="G149" i="34"/>
  <c r="F31" i="25"/>
  <c r="K17" i="59"/>
  <c r="H17" i="59" s="1"/>
  <c r="H18" i="59"/>
  <c r="D15" i="57"/>
  <c r="D13" i="57" s="1"/>
  <c r="D11" i="57" s="1"/>
  <c r="H13" i="57"/>
  <c r="H11" i="57" s="1"/>
  <c r="H30" i="34"/>
  <c r="I27" i="34"/>
  <c r="J48" i="34"/>
  <c r="R27" i="25" s="1"/>
  <c r="R26" i="25" s="1"/>
  <c r="H27" i="25"/>
  <c r="J43" i="34"/>
  <c r="F39" i="34"/>
  <c r="I39" i="34" s="1"/>
  <c r="I13" i="34"/>
  <c r="D31" i="25"/>
  <c r="G148" i="34"/>
  <c r="H155" i="34"/>
  <c r="G152" i="34"/>
  <c r="I31" i="25"/>
  <c r="F30" i="25"/>
  <c r="H142" i="34"/>
  <c r="G121" i="34"/>
  <c r="I124" i="34"/>
  <c r="I125" i="34"/>
  <c r="I99" i="34"/>
  <c r="G99" i="34"/>
  <c r="D112" i="34"/>
  <c r="G112" i="34" s="1"/>
  <c r="G100" i="34"/>
  <c r="D113" i="34"/>
  <c r="G113" i="34" s="1"/>
  <c r="G58" i="34"/>
  <c r="H59" i="34"/>
  <c r="I85" i="34"/>
  <c r="G85" i="34"/>
  <c r="I84" i="34"/>
  <c r="G86" i="34"/>
  <c r="K64" i="34"/>
  <c r="G69" i="34"/>
  <c r="I72" i="34"/>
  <c r="G72" i="34"/>
  <c r="I20" i="52"/>
  <c r="H20" i="52"/>
  <c r="G20" i="52"/>
  <c r="J20" i="52"/>
  <c r="D17" i="52"/>
  <c r="G37" i="34"/>
  <c r="G15" i="34"/>
  <c r="D41" i="34"/>
  <c r="G41" i="34" s="1"/>
  <c r="G22" i="34"/>
  <c r="D48" i="34"/>
  <c r="G48" i="34" s="1"/>
  <c r="D44" i="34"/>
  <c r="G44" i="34" s="1"/>
  <c r="G18" i="34"/>
  <c r="G16" i="34"/>
  <c r="D42" i="34"/>
  <c r="G42" i="34" s="1"/>
  <c r="I153" i="34"/>
  <c r="J146" i="34"/>
  <c r="G147" i="34"/>
  <c r="C31" i="25"/>
  <c r="O30" i="25"/>
  <c r="K30" i="25"/>
  <c r="M131" i="34"/>
  <c r="M130" i="34" s="1"/>
  <c r="G30" i="25"/>
  <c r="I122" i="34"/>
  <c r="G119" i="34"/>
  <c r="I123" i="34"/>
  <c r="I97" i="34"/>
  <c r="D110" i="34"/>
  <c r="G110" i="34" s="1"/>
  <c r="G97" i="34"/>
  <c r="I96" i="34"/>
  <c r="G98" i="34"/>
  <c r="D111" i="34"/>
  <c r="G111" i="34" s="1"/>
  <c r="H62" i="34"/>
  <c r="K51" i="34"/>
  <c r="G56" i="34"/>
  <c r="I57" i="34"/>
  <c r="I83" i="34"/>
  <c r="G83" i="34"/>
  <c r="I82" i="34"/>
  <c r="G84" i="34"/>
  <c r="H68" i="34"/>
  <c r="I76" i="34"/>
  <c r="H70" i="34"/>
  <c r="K12" i="50"/>
  <c r="E10" i="49"/>
  <c r="L10" i="49" s="1"/>
  <c r="C12" i="57"/>
  <c r="L11" i="49"/>
  <c r="E10" i="51"/>
  <c r="C29" i="57"/>
  <c r="T27" i="25"/>
  <c r="I18" i="57"/>
  <c r="E18" i="57"/>
  <c r="H20" i="59"/>
  <c r="J25" i="34"/>
  <c r="H20" i="34"/>
  <c r="E46" i="34"/>
  <c r="H46" i="34" s="1"/>
  <c r="E40" i="34"/>
  <c r="H40" i="34" s="1"/>
  <c r="H14" i="34"/>
  <c r="I157" i="34"/>
  <c r="H148" i="34"/>
  <c r="H31" i="25"/>
  <c r="G151" i="34"/>
  <c r="I156" i="34"/>
  <c r="I128" i="34"/>
  <c r="M117" i="34"/>
  <c r="D108" i="34"/>
  <c r="G108" i="34" s="1"/>
  <c r="G95" i="34"/>
  <c r="D109" i="34"/>
  <c r="G109" i="34" s="1"/>
  <c r="G96" i="34"/>
  <c r="I55" i="34"/>
  <c r="G82" i="34"/>
  <c r="I71" i="34"/>
  <c r="I68" i="34"/>
  <c r="E10" i="50"/>
  <c r="K10" i="50" s="1"/>
  <c r="K11" i="50"/>
  <c r="F41" i="34"/>
  <c r="I41" i="34" s="1"/>
  <c r="I15" i="34"/>
  <c r="J110" i="34"/>
  <c r="I28" i="25"/>
  <c r="U14" i="49"/>
  <c r="U11" i="49" s="1"/>
  <c r="Q11" i="49"/>
  <c r="Q10" i="49" s="1"/>
  <c r="G27" i="34"/>
  <c r="S13" i="51"/>
  <c r="S11" i="51" s="1"/>
  <c r="Q11" i="51"/>
  <c r="Q10" i="51" s="1"/>
  <c r="L25" i="34"/>
  <c r="H34" i="34"/>
  <c r="E49" i="34"/>
  <c r="H49" i="34" s="1"/>
  <c r="H23" i="34"/>
  <c r="H16" i="34"/>
  <c r="E42" i="34"/>
  <c r="H42" i="34" s="1"/>
  <c r="M39" i="34"/>
  <c r="M38" i="34" s="1"/>
  <c r="M12" i="34"/>
  <c r="L38" i="59"/>
  <c r="I39" i="59"/>
  <c r="I14" i="34"/>
  <c r="F40" i="34"/>
  <c r="I40" i="34" s="1"/>
  <c r="J45" i="34"/>
  <c r="K27" i="25"/>
  <c r="K26" i="25" s="1"/>
  <c r="R30" i="25"/>
  <c r="H141" i="34"/>
  <c r="I119" i="34"/>
  <c r="C29" i="25"/>
  <c r="J117" i="34"/>
  <c r="I93" i="34"/>
  <c r="G93" i="34"/>
  <c r="D106" i="34"/>
  <c r="G106" i="34" s="1"/>
  <c r="K105" i="34"/>
  <c r="K104" i="34" s="1"/>
  <c r="K91" i="34"/>
  <c r="K90" i="34" s="1"/>
  <c r="D107" i="34"/>
  <c r="G107" i="34" s="1"/>
  <c r="G94" i="34"/>
  <c r="I79" i="34"/>
  <c r="G79" i="34"/>
  <c r="K77" i="34"/>
  <c r="G76" i="34"/>
  <c r="J12" i="50"/>
  <c r="D11" i="50"/>
  <c r="H14" i="49"/>
  <c r="J14" i="49"/>
  <c r="I14" i="49"/>
  <c r="G14" i="49"/>
  <c r="K14" i="49"/>
  <c r="D11" i="49"/>
  <c r="H13" i="51"/>
  <c r="I13" i="51"/>
  <c r="J13" i="51"/>
  <c r="G13" i="51"/>
  <c r="D11" i="51"/>
  <c r="L17" i="59"/>
  <c r="I17" i="59" s="1"/>
  <c r="I18" i="59"/>
  <c r="J131" i="34"/>
  <c r="J130" i="34" s="1"/>
  <c r="C30" i="25"/>
  <c r="H99" i="34"/>
  <c r="E112" i="34"/>
  <c r="H112" i="34" s="1"/>
  <c r="G13" i="34"/>
  <c r="D39" i="34"/>
  <c r="G39" i="34" s="1"/>
  <c r="E110" i="34"/>
  <c r="H110" i="34" s="1"/>
  <c r="H97" i="34"/>
  <c r="H96" i="34"/>
  <c r="E109" i="34"/>
  <c r="H109" i="34" s="1"/>
  <c r="L43" i="59"/>
  <c r="I44" i="59"/>
  <c r="I32" i="34"/>
  <c r="F44" i="34"/>
  <c r="I44" i="34" s="1"/>
  <c r="I18" i="34"/>
  <c r="H19" i="34"/>
  <c r="E45" i="34"/>
  <c r="H45" i="34" s="1"/>
  <c r="G154" i="34"/>
  <c r="M31" i="25"/>
  <c r="I33" i="34"/>
  <c r="I30" i="34"/>
  <c r="I31" i="34"/>
  <c r="H15" i="34"/>
  <c r="E41" i="34"/>
  <c r="H41" i="34" s="1"/>
  <c r="J42" i="34"/>
  <c r="G27" i="25"/>
  <c r="G26" i="25" s="1"/>
  <c r="D50" i="34"/>
  <c r="G50" i="34" s="1"/>
  <c r="G24" i="34"/>
  <c r="L146" i="34"/>
  <c r="H151" i="34"/>
  <c r="H136" i="34"/>
  <c r="U29" i="25"/>
  <c r="R29" i="25"/>
  <c r="U28" i="25"/>
  <c r="E116" i="34"/>
  <c r="H116" i="34" s="1"/>
  <c r="H103" i="34"/>
  <c r="T28" i="25"/>
  <c r="H102" i="34"/>
  <c r="E115" i="34"/>
  <c r="H115" i="34" s="1"/>
  <c r="I63" i="34"/>
  <c r="G63" i="34"/>
  <c r="L77" i="34"/>
  <c r="H89" i="34"/>
  <c r="H88" i="34"/>
  <c r="I73" i="34"/>
  <c r="G71" i="34"/>
  <c r="H74" i="34"/>
  <c r="I17" i="34"/>
  <c r="F43" i="34"/>
  <c r="I43" i="34" s="1"/>
  <c r="K146" i="34"/>
  <c r="J44" i="34"/>
  <c r="I27" i="25" s="1"/>
  <c r="I26" i="25" s="1"/>
  <c r="G17" i="34"/>
  <c r="D43" i="34"/>
  <c r="G43" i="34" s="1"/>
  <c r="K38" i="59"/>
  <c r="H39" i="59"/>
  <c r="K23" i="59"/>
  <c r="H23" i="59" s="1"/>
  <c r="H24" i="59"/>
  <c r="K13" i="59"/>
  <c r="H14" i="59"/>
  <c r="L13" i="59"/>
  <c r="I14" i="59"/>
  <c r="H13" i="34"/>
  <c r="E39" i="34"/>
  <c r="H39" i="34" s="1"/>
  <c r="E47" i="34"/>
  <c r="H47" i="34" s="1"/>
  <c r="H21" i="34"/>
  <c r="G150" i="34"/>
  <c r="G31" i="25"/>
  <c r="I155" i="34"/>
  <c r="U31" i="25"/>
  <c r="G158" i="34"/>
  <c r="H138" i="34"/>
  <c r="O29" i="25"/>
  <c r="M29" i="25"/>
  <c r="J114" i="34"/>
  <c r="R28" i="25" s="1"/>
  <c r="H101" i="34"/>
  <c r="E114" i="34"/>
  <c r="H114" i="34" s="1"/>
  <c r="O28" i="25"/>
  <c r="E113" i="34"/>
  <c r="H113" i="34" s="1"/>
  <c r="H100" i="34"/>
  <c r="H58" i="34"/>
  <c r="H61" i="34"/>
  <c r="H87" i="34"/>
  <c r="H86" i="34"/>
  <c r="G75" i="34"/>
  <c r="M64" i="34"/>
  <c r="H69" i="34"/>
  <c r="C46" i="65"/>
  <c r="F14" i="124"/>
  <c r="D14" i="124" s="1"/>
  <c r="F46" i="22" l="1"/>
  <c r="F11" i="57"/>
  <c r="R43" i="25"/>
  <c r="R39" i="25" s="1"/>
  <c r="R10" i="25"/>
  <c r="F26" i="25"/>
  <c r="I43" i="25"/>
  <c r="I39" i="25" s="1"/>
  <c r="I10" i="25"/>
  <c r="E30" i="47"/>
  <c r="E50" i="109" s="1"/>
  <c r="E50" i="65" s="1"/>
  <c r="P49" i="70" s="1"/>
  <c r="Q49" i="70" s="1"/>
  <c r="I31" i="47"/>
  <c r="L50" i="59"/>
  <c r="I51" i="59"/>
  <c r="D10" i="51"/>
  <c r="I11" i="51"/>
  <c r="H11" i="51"/>
  <c r="G11" i="51"/>
  <c r="J11" i="51"/>
  <c r="K10" i="51"/>
  <c r="D26" i="25"/>
  <c r="M26" i="25"/>
  <c r="K50" i="59"/>
  <c r="H51" i="59"/>
  <c r="K12" i="59"/>
  <c r="H13" i="59"/>
  <c r="C28" i="57"/>
  <c r="E28" i="57" s="1"/>
  <c r="E29" i="57"/>
  <c r="C10" i="127"/>
  <c r="L37" i="59"/>
  <c r="I38" i="59"/>
  <c r="O26" i="25"/>
  <c r="G28" i="57"/>
  <c r="I28" i="57" s="1"/>
  <c r="I30" i="57"/>
  <c r="E19" i="47" s="1"/>
  <c r="E30" i="57"/>
  <c r="C18" i="47"/>
  <c r="S10" i="51"/>
  <c r="I29" i="57"/>
  <c r="D29" i="57"/>
  <c r="D28" i="57" s="1"/>
  <c r="H28" i="57"/>
  <c r="C30" i="47"/>
  <c r="I32" i="47"/>
  <c r="J11" i="50"/>
  <c r="D10" i="50"/>
  <c r="J10" i="50" s="1"/>
  <c r="M11" i="34"/>
  <c r="M10" i="34" s="1"/>
  <c r="C12" i="47"/>
  <c r="U10" i="49"/>
  <c r="E12" i="57"/>
  <c r="C11" i="57"/>
  <c r="L11" i="34"/>
  <c r="L10" i="34" s="1"/>
  <c r="C28" i="25"/>
  <c r="F47" i="22" s="1"/>
  <c r="J104" i="34"/>
  <c r="J90" i="34" s="1"/>
  <c r="K37" i="59"/>
  <c r="H38" i="59"/>
  <c r="H26" i="25"/>
  <c r="F48" i="22"/>
  <c r="G20" i="57"/>
  <c r="I21" i="57"/>
  <c r="E21" i="57"/>
  <c r="M90" i="34"/>
  <c r="I10" i="53"/>
  <c r="G10" i="53"/>
  <c r="H10" i="53"/>
  <c r="J10" i="53"/>
  <c r="K43" i="59"/>
  <c r="H44" i="59"/>
  <c r="D45" i="70"/>
  <c r="E45" i="70" s="1"/>
  <c r="G11" i="49"/>
  <c r="K11" i="49"/>
  <c r="D10" i="49"/>
  <c r="I11" i="49"/>
  <c r="H11" i="49"/>
  <c r="J11" i="49"/>
  <c r="F50" i="22"/>
  <c r="J38" i="34"/>
  <c r="J11" i="34" s="1"/>
  <c r="J10" i="34" s="1"/>
  <c r="D20" i="57"/>
  <c r="F20" i="57" s="1"/>
  <c r="F21" i="57"/>
  <c r="J302" i="56"/>
  <c r="J281" i="56"/>
  <c r="G306" i="56"/>
  <c r="G281" i="56" s="1"/>
  <c r="K19" i="59"/>
  <c r="H17" i="52"/>
  <c r="J17" i="52"/>
  <c r="I17" i="52"/>
  <c r="G17" i="52"/>
  <c r="D11" i="52"/>
  <c r="K32" i="59"/>
  <c r="H33" i="59"/>
  <c r="L42" i="59"/>
  <c r="I42" i="59" s="1"/>
  <c r="I43" i="59"/>
  <c r="I20" i="59"/>
  <c r="L19" i="59"/>
  <c r="I19" i="59" s="1"/>
  <c r="C47" i="65"/>
  <c r="G10" i="25"/>
  <c r="G43" i="25"/>
  <c r="G39" i="25" s="1"/>
  <c r="F49" i="22"/>
  <c r="K10" i="25"/>
  <c r="K43" i="25"/>
  <c r="K39" i="25" s="1"/>
  <c r="J415" i="56"/>
  <c r="J423" i="56"/>
  <c r="J416" i="56" s="1"/>
  <c r="G427" i="56"/>
  <c r="L32" i="59"/>
  <c r="I33" i="59"/>
  <c r="J282" i="56"/>
  <c r="G307" i="56"/>
  <c r="G282" i="56" s="1"/>
  <c r="L12" i="59"/>
  <c r="I13" i="59"/>
  <c r="T26" i="25"/>
  <c r="F13" i="57"/>
  <c r="U26" i="25"/>
  <c r="G11" i="57"/>
  <c r="I13" i="57"/>
  <c r="E13" i="57"/>
  <c r="K11" i="34"/>
  <c r="K10" i="34" s="1"/>
  <c r="K11" i="51"/>
  <c r="K11" i="52"/>
  <c r="E10" i="52"/>
  <c r="K10" i="52" s="1"/>
  <c r="F11" i="126"/>
  <c r="F10" i="126" s="1"/>
  <c r="D12" i="1" s="1"/>
  <c r="G10" i="126"/>
  <c r="H10" i="126"/>
  <c r="C30" i="128"/>
  <c r="C23" i="128"/>
  <c r="C67" i="109"/>
  <c r="F16" i="124"/>
  <c r="D16" i="124" s="1"/>
  <c r="J12" i="1" l="1"/>
  <c r="D11" i="1"/>
  <c r="I11" i="57"/>
  <c r="J331" i="56"/>
  <c r="J327" i="56" s="1"/>
  <c r="J320" i="56" s="1"/>
  <c r="D22" i="47" s="1"/>
  <c r="I22" i="47" s="1"/>
  <c r="J411" i="56"/>
  <c r="J404" i="56" s="1"/>
  <c r="J295" i="56"/>
  <c r="J277" i="56"/>
  <c r="G302" i="56"/>
  <c r="F45" i="70"/>
  <c r="H10" i="25"/>
  <c r="H43" i="25"/>
  <c r="H39" i="25" s="1"/>
  <c r="U43" i="25"/>
  <c r="U39" i="25" s="1"/>
  <c r="U10" i="25"/>
  <c r="K49" i="59"/>
  <c r="H50" i="59"/>
  <c r="K42" i="59"/>
  <c r="H43" i="59"/>
  <c r="D18" i="47"/>
  <c r="H37" i="59"/>
  <c r="O43" i="25"/>
  <c r="O39" i="25" s="1"/>
  <c r="O10" i="25"/>
  <c r="M43" i="25"/>
  <c r="M39" i="25" s="1"/>
  <c r="M10" i="25"/>
  <c r="R49" i="70"/>
  <c r="K31" i="59"/>
  <c r="H32" i="59"/>
  <c r="D10" i="25"/>
  <c r="D43" i="25"/>
  <c r="D39" i="25" s="1"/>
  <c r="E18" i="47"/>
  <c r="E17" i="47" s="1"/>
  <c r="E45" i="109" s="1"/>
  <c r="E45" i="65" s="1"/>
  <c r="P44" i="70" s="1"/>
  <c r="Q44" i="70" s="1"/>
  <c r="L36" i="59"/>
  <c r="I36" i="59" s="1"/>
  <c r="I37" i="59"/>
  <c r="O50" i="22"/>
  <c r="D25" i="73"/>
  <c r="E25" i="73" s="1"/>
  <c r="I30" i="47"/>
  <c r="C50" i="109"/>
  <c r="F10" i="25"/>
  <c r="F43" i="25"/>
  <c r="F39" i="25" s="1"/>
  <c r="E12" i="47"/>
  <c r="L11" i="59"/>
  <c r="I12" i="59"/>
  <c r="C21" i="128"/>
  <c r="C10" i="128" s="1"/>
  <c r="C10" i="57"/>
  <c r="E11" i="57"/>
  <c r="O49" i="22"/>
  <c r="D24" i="73"/>
  <c r="E24" i="73" s="1"/>
  <c r="I11" i="52"/>
  <c r="J11" i="52"/>
  <c r="H11" i="52"/>
  <c r="D10" i="52"/>
  <c r="G11" i="52"/>
  <c r="G11" i="124"/>
  <c r="F13" i="124"/>
  <c r="M11" i="50"/>
  <c r="O12" i="50"/>
  <c r="G12" i="50"/>
  <c r="C11" i="126"/>
  <c r="N11" i="50"/>
  <c r="H12" i="50"/>
  <c r="F28" i="57"/>
  <c r="C66" i="65"/>
  <c r="O67" i="109"/>
  <c r="T43" i="25"/>
  <c r="T39" i="25" s="1"/>
  <c r="T10" i="25"/>
  <c r="O47" i="22"/>
  <c r="D22" i="73"/>
  <c r="E22" i="73" s="1"/>
  <c r="I10" i="49"/>
  <c r="G10" i="49"/>
  <c r="K10" i="49"/>
  <c r="H10" i="49"/>
  <c r="J10" i="49"/>
  <c r="D46" i="70"/>
  <c r="E46" i="70" s="1"/>
  <c r="D13" i="47"/>
  <c r="I13" i="47" s="1"/>
  <c r="H19" i="59"/>
  <c r="C11" i="47"/>
  <c r="I12" i="47"/>
  <c r="H10" i="51"/>
  <c r="I10" i="51"/>
  <c r="G10" i="51"/>
  <c r="J10" i="51"/>
  <c r="I20" i="57"/>
  <c r="E20" i="57"/>
  <c r="C17" i="47"/>
  <c r="I18" i="47"/>
  <c r="F45" i="22"/>
  <c r="D21" i="73"/>
  <c r="E21" i="73" s="1"/>
  <c r="O46" i="22"/>
  <c r="L31" i="59"/>
  <c r="I32" i="59"/>
  <c r="G423" i="56"/>
  <c r="G415" i="56"/>
  <c r="E13" i="47"/>
  <c r="O48" i="22"/>
  <c r="D23" i="73"/>
  <c r="E23" i="73" s="1"/>
  <c r="K11" i="59"/>
  <c r="D12" i="47"/>
  <c r="D11" i="47" s="1"/>
  <c r="H12" i="59"/>
  <c r="L49" i="59"/>
  <c r="I50" i="59"/>
  <c r="C26" i="25"/>
  <c r="C43" i="25" s="1"/>
  <c r="W43" i="25" s="1"/>
  <c r="F18" i="124"/>
  <c r="R44" i="70" l="1"/>
  <c r="L25" i="59"/>
  <c r="I25" i="59" s="1"/>
  <c r="I31" i="59"/>
  <c r="C43" i="109"/>
  <c r="F22" i="73"/>
  <c r="S12" i="50"/>
  <c r="S11" i="50" s="1"/>
  <c r="O11" i="50"/>
  <c r="I12" i="50"/>
  <c r="M10" i="50"/>
  <c r="G10" i="50" s="1"/>
  <c r="G11" i="50"/>
  <c r="F11" i="124"/>
  <c r="D13" i="124"/>
  <c r="D11" i="124" s="1"/>
  <c r="J270" i="56"/>
  <c r="J269" i="56" s="1"/>
  <c r="J10" i="56" s="1"/>
  <c r="G277" i="56"/>
  <c r="E16" i="47"/>
  <c r="E14" i="47" s="1"/>
  <c r="E44" i="109" s="1"/>
  <c r="E44" i="65" s="1"/>
  <c r="P43" i="70" s="1"/>
  <c r="Q43" i="70" s="1"/>
  <c r="I11" i="47"/>
  <c r="D43" i="109"/>
  <c r="D43" i="65" s="1"/>
  <c r="J42" i="70" s="1"/>
  <c r="K42" i="70" s="1"/>
  <c r="K36" i="59"/>
  <c r="H36" i="59" s="1"/>
  <c r="D19" i="47"/>
  <c r="I19" i="47" s="1"/>
  <c r="H42" i="59"/>
  <c r="C10" i="126"/>
  <c r="H11" i="59"/>
  <c r="F23" i="73"/>
  <c r="F46" i="70"/>
  <c r="D65" i="70"/>
  <c r="E65" i="70" s="1"/>
  <c r="K66" i="65"/>
  <c r="E11" i="47"/>
  <c r="L48" i="59"/>
  <c r="I48" i="59" s="1"/>
  <c r="E21" i="47"/>
  <c r="E20" i="47" s="1"/>
  <c r="E46" i="109" s="1"/>
  <c r="E46" i="65" s="1"/>
  <c r="P45" i="70" s="1"/>
  <c r="Q45" i="70" s="1"/>
  <c r="I49" i="59"/>
  <c r="C45" i="109"/>
  <c r="I10" i="52"/>
  <c r="H10" i="52"/>
  <c r="G10" i="52"/>
  <c r="J10" i="52"/>
  <c r="D16" i="47"/>
  <c r="K25" i="59"/>
  <c r="H25" i="59" s="1"/>
  <c r="H31" i="59"/>
  <c r="K48" i="59"/>
  <c r="H48" i="59" s="1"/>
  <c r="D21" i="47"/>
  <c r="H49" i="59"/>
  <c r="I11" i="59"/>
  <c r="F21" i="73"/>
  <c r="F28" i="109"/>
  <c r="O45" i="22"/>
  <c r="G411" i="56"/>
  <c r="G331" i="56"/>
  <c r="G327" i="56" s="1"/>
  <c r="O50" i="109"/>
  <c r="C50" i="65"/>
  <c r="D18" i="124"/>
  <c r="D17" i="124" s="1"/>
  <c r="F17" i="124"/>
  <c r="G17" i="124" s="1"/>
  <c r="G10" i="124" s="1"/>
  <c r="C29" i="47" s="1"/>
  <c r="D52" i="109"/>
  <c r="J11" i="1"/>
  <c r="N10" i="50"/>
  <c r="H10" i="50" s="1"/>
  <c r="H11" i="50"/>
  <c r="F24" i="73"/>
  <c r="F25" i="73"/>
  <c r="F28" i="65" l="1"/>
  <c r="K28" i="65" s="1"/>
  <c r="O28" i="109"/>
  <c r="L42" i="70"/>
  <c r="O10" i="50"/>
  <c r="I10" i="50" s="1"/>
  <c r="I11" i="50"/>
  <c r="D52" i="65"/>
  <c r="O52" i="109"/>
  <c r="C45" i="65"/>
  <c r="I29" i="47"/>
  <c r="C49" i="109"/>
  <c r="D10" i="124"/>
  <c r="R43" i="70"/>
  <c r="D49" i="70"/>
  <c r="E49" i="70" s="1"/>
  <c r="K50" i="65"/>
  <c r="D20" i="47"/>
  <c r="I21" i="47"/>
  <c r="R45" i="70"/>
  <c r="F10" i="124"/>
  <c r="C43" i="65"/>
  <c r="D17" i="47"/>
  <c r="E43" i="109"/>
  <c r="E43" i="65" s="1"/>
  <c r="P42" i="70" s="1"/>
  <c r="Q42" i="70" s="1"/>
  <c r="C15" i="47"/>
  <c r="S10" i="50"/>
  <c r="D14" i="47"/>
  <c r="I16" i="47"/>
  <c r="F65" i="70"/>
  <c r="C49" i="65" l="1"/>
  <c r="O49" i="109"/>
  <c r="D12" i="43"/>
  <c r="F10" i="127"/>
  <c r="D11" i="127"/>
  <c r="D27" i="128"/>
  <c r="D44" i="70"/>
  <c r="E44" i="70" s="1"/>
  <c r="D31" i="128"/>
  <c r="G30" i="128"/>
  <c r="D30" i="128" s="1"/>
  <c r="D44" i="109"/>
  <c r="D44" i="65" s="1"/>
  <c r="J43" i="70" s="1"/>
  <c r="K43" i="70" s="1"/>
  <c r="D46" i="109"/>
  <c r="I20" i="47"/>
  <c r="J51" i="70"/>
  <c r="K51" i="70" s="1"/>
  <c r="K52" i="65"/>
  <c r="F11" i="129"/>
  <c r="D23" i="1"/>
  <c r="J23" i="1" s="1"/>
  <c r="F49" i="70"/>
  <c r="D42" i="70"/>
  <c r="E42" i="70" s="1"/>
  <c r="K43" i="65"/>
  <c r="D22" i="128"/>
  <c r="I15" i="47"/>
  <c r="C14" i="47"/>
  <c r="G10" i="127"/>
  <c r="E11" i="127"/>
  <c r="R42" i="70"/>
  <c r="D13" i="46"/>
  <c r="D45" i="109"/>
  <c r="I17" i="47"/>
  <c r="F22" i="128"/>
  <c r="I21" i="128"/>
  <c r="D22" i="1"/>
  <c r="F10" i="129"/>
  <c r="H21" i="128"/>
  <c r="E22" i="128"/>
  <c r="E22" i="1"/>
  <c r="E21" i="1" s="1"/>
  <c r="E55" i="109" s="1"/>
  <c r="E55" i="65" s="1"/>
  <c r="P54" i="70" s="1"/>
  <c r="Q54" i="70" s="1"/>
  <c r="G10" i="129"/>
  <c r="O43" i="109"/>
  <c r="E14" i="43"/>
  <c r="C46" i="38"/>
  <c r="E38" i="38"/>
  <c r="J38" i="38" s="1"/>
  <c r="E37" i="38"/>
  <c r="J37" i="38" s="1"/>
  <c r="E23" i="43"/>
  <c r="D12" i="46"/>
  <c r="E39" i="38"/>
  <c r="J39" i="38" s="1"/>
  <c r="E13" i="43" l="1"/>
  <c r="F12" i="43"/>
  <c r="E36" i="38" s="1"/>
  <c r="J36" i="38" s="1"/>
  <c r="E35" i="38"/>
  <c r="F10" i="43"/>
  <c r="D45" i="65"/>
  <c r="O45" i="109"/>
  <c r="F42" i="70"/>
  <c r="E40" i="38"/>
  <c r="J40" i="38" s="1"/>
  <c r="E19" i="43"/>
  <c r="E22" i="43"/>
  <c r="F21" i="43"/>
  <c r="E42" i="38" s="1"/>
  <c r="J42" i="38" s="1"/>
  <c r="E18" i="43"/>
  <c r="F44" i="70"/>
  <c r="R54" i="70"/>
  <c r="E11" i="43"/>
  <c r="E17" i="43"/>
  <c r="G23" i="128"/>
  <c r="E16" i="43"/>
  <c r="H10" i="128"/>
  <c r="E21" i="128"/>
  <c r="E16" i="1"/>
  <c r="E15" i="1" s="1"/>
  <c r="E10" i="127"/>
  <c r="L51" i="70"/>
  <c r="J46" i="38"/>
  <c r="C39" i="109"/>
  <c r="C44" i="109"/>
  <c r="I14" i="47"/>
  <c r="C10" i="47"/>
  <c r="D16" i="1"/>
  <c r="D10" i="127"/>
  <c r="D21" i="1"/>
  <c r="J22" i="1"/>
  <c r="D46" i="65"/>
  <c r="O46" i="109"/>
  <c r="E12" i="43"/>
  <c r="I10" i="128"/>
  <c r="F21" i="128"/>
  <c r="D11" i="46"/>
  <c r="E10" i="46"/>
  <c r="C45" i="38" s="1"/>
  <c r="L43" i="70"/>
  <c r="K49" i="65"/>
  <c r="D48" i="70"/>
  <c r="E48" i="70" s="1"/>
  <c r="P22" i="12"/>
  <c r="K28" i="12"/>
  <c r="K42" i="12"/>
  <c r="K47" i="12"/>
  <c r="F42" i="15"/>
  <c r="K26" i="12"/>
  <c r="F28" i="15"/>
  <c r="K13" i="12"/>
  <c r="K17" i="12"/>
  <c r="K11" i="12"/>
  <c r="P34" i="12"/>
  <c r="E50" i="15"/>
  <c r="K37" i="12"/>
  <c r="F13" i="33"/>
  <c r="G12" i="33" l="1"/>
  <c r="G11" i="33" s="1"/>
  <c r="G10" i="33" s="1"/>
  <c r="C13" i="25"/>
  <c r="C12" i="25" s="1"/>
  <c r="C11" i="25" s="1"/>
  <c r="N26" i="12"/>
  <c r="P26" i="12" s="1"/>
  <c r="L26" i="12"/>
  <c r="K24" i="12"/>
  <c r="N47" i="12"/>
  <c r="L47" i="12"/>
  <c r="H24" i="15"/>
  <c r="Q24" i="12"/>
  <c r="C42" i="109"/>
  <c r="Q34" i="12"/>
  <c r="G45" i="15"/>
  <c r="H45" i="15" s="1"/>
  <c r="H34" i="15"/>
  <c r="G31" i="15"/>
  <c r="Q22" i="12"/>
  <c r="H22" i="15"/>
  <c r="H41" i="15"/>
  <c r="Q41" i="12"/>
  <c r="K19" i="12"/>
  <c r="C10" i="38"/>
  <c r="J45" i="38"/>
  <c r="C38" i="109"/>
  <c r="E10" i="128"/>
  <c r="D19" i="1"/>
  <c r="D18" i="1" s="1"/>
  <c r="D54" i="109" s="1"/>
  <c r="D54" i="65" s="1"/>
  <c r="J53" i="70" s="1"/>
  <c r="K52" i="12"/>
  <c r="E31" i="15"/>
  <c r="Q26" i="12"/>
  <c r="R26" i="12" s="1"/>
  <c r="S26" i="12" s="1"/>
  <c r="T26" i="12" s="1"/>
  <c r="H26" i="15"/>
  <c r="H28" i="15"/>
  <c r="Q28" i="12"/>
  <c r="O44" i="109"/>
  <c r="C44" i="65"/>
  <c r="F47" i="15"/>
  <c r="I50" i="15"/>
  <c r="F50" i="15" s="1"/>
  <c r="K35" i="12"/>
  <c r="N28" i="12"/>
  <c r="P28" i="12" s="1"/>
  <c r="R28" i="12" s="1"/>
  <c r="S28" i="12" s="1"/>
  <c r="T28" i="12" s="1"/>
  <c r="L28" i="12"/>
  <c r="F35" i="15"/>
  <c r="I45" i="15"/>
  <c r="D23" i="128"/>
  <c r="G21" i="128"/>
  <c r="F10" i="128"/>
  <c r="E19" i="1"/>
  <c r="E18" i="1" s="1"/>
  <c r="E54" i="109" s="1"/>
  <c r="E54" i="65" s="1"/>
  <c r="P53" i="70" s="1"/>
  <c r="K15" i="12"/>
  <c r="C39" i="65"/>
  <c r="O39" i="109"/>
  <c r="K21" i="12"/>
  <c r="K20" i="12"/>
  <c r="K25" i="12"/>
  <c r="C25" i="42"/>
  <c r="Q37" i="12"/>
  <c r="R37" i="12" s="1"/>
  <c r="S37" i="12" s="1"/>
  <c r="T37" i="12" s="1"/>
  <c r="H37" i="15"/>
  <c r="K41" i="12"/>
  <c r="E45" i="15"/>
  <c r="C53" i="11"/>
  <c r="J45" i="70"/>
  <c r="K45" i="70" s="1"/>
  <c r="K46" i="65"/>
  <c r="J44" i="70"/>
  <c r="K44" i="70" s="1"/>
  <c r="K45" i="65"/>
  <c r="I31" i="15"/>
  <c r="F26" i="15"/>
  <c r="N11" i="12"/>
  <c r="L11" i="12"/>
  <c r="N17" i="12"/>
  <c r="P17" i="12" s="1"/>
  <c r="R17" i="12" s="1"/>
  <c r="S17" i="12" s="1"/>
  <c r="T17" i="12" s="1"/>
  <c r="L17" i="12"/>
  <c r="K40" i="12"/>
  <c r="F48" i="70"/>
  <c r="D55" i="109"/>
  <c r="J21" i="1"/>
  <c r="J35" i="38"/>
  <c r="E34" i="38"/>
  <c r="H35" i="132"/>
  <c r="C24" i="22" s="1"/>
  <c r="H39" i="132"/>
  <c r="H45" i="132"/>
  <c r="H42" i="132" s="1"/>
  <c r="H36" i="132"/>
  <c r="L37" i="12"/>
  <c r="N37" i="12"/>
  <c r="P37" i="12" s="1"/>
  <c r="L42" i="12"/>
  <c r="N42" i="12"/>
  <c r="P42" i="12" s="1"/>
  <c r="E64" i="132"/>
  <c r="H64" i="132"/>
  <c r="C31" i="22" s="1"/>
  <c r="G50" i="15"/>
  <c r="H50" i="15" s="1"/>
  <c r="Q47" i="12"/>
  <c r="H47" i="15"/>
  <c r="F41" i="15"/>
  <c r="L13" i="12"/>
  <c r="N13" i="12"/>
  <c r="P13" i="12" s="1"/>
  <c r="R13" i="12" s="1"/>
  <c r="S13" i="12" s="1"/>
  <c r="T13" i="12" s="1"/>
  <c r="K16" i="12"/>
  <c r="H25" i="15"/>
  <c r="Q25" i="12"/>
  <c r="Q42" i="12"/>
  <c r="R42" i="12" s="1"/>
  <c r="S42" i="12" s="1"/>
  <c r="T42" i="12" s="1"/>
  <c r="H42" i="15"/>
  <c r="Q35" i="12"/>
  <c r="H35" i="15"/>
  <c r="D15" i="1"/>
  <c r="J16" i="1"/>
  <c r="E53" i="109"/>
  <c r="E53" i="65" s="1"/>
  <c r="P52" i="70" s="1"/>
  <c r="Q52" i="70" s="1"/>
  <c r="E10" i="1"/>
  <c r="E51" i="109" s="1"/>
  <c r="E51" i="65" s="1"/>
  <c r="P50" i="70" s="1"/>
  <c r="Q50" i="70" s="1"/>
  <c r="E33" i="132"/>
  <c r="K22" i="132"/>
  <c r="L22" i="132"/>
  <c r="F28" i="33"/>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J28" i="41"/>
  <c r="J27" i="41" s="1"/>
  <c r="J30" i="41"/>
  <c r="M20" i="41"/>
  <c r="M15" i="41" s="1"/>
  <c r="M10" i="41" s="1"/>
  <c r="K28" i="41"/>
  <c r="K27" i="41" s="1"/>
  <c r="K30" i="41"/>
  <c r="R22" i="41"/>
  <c r="L28" i="41"/>
  <c r="L27" i="41" s="1"/>
  <c r="L30" i="41"/>
  <c r="O28" i="41"/>
  <c r="O27" i="41" s="1"/>
  <c r="Q28" i="41"/>
  <c r="Q27" i="41" s="1"/>
  <c r="N30" i="41"/>
  <c r="O30" i="41"/>
  <c r="O48" i="41" s="1"/>
  <c r="R33" i="41"/>
  <c r="Q30" i="41"/>
  <c r="Q48" i="41" s="1"/>
  <c r="Q49" i="41" s="1"/>
  <c r="G22" i="40"/>
  <c r="E22" i="41" s="1"/>
  <c r="G29" i="40"/>
  <c r="E29" i="41" s="1"/>
  <c r="G23" i="40"/>
  <c r="E23" i="41" s="1"/>
  <c r="G26" i="40"/>
  <c r="E26" i="41" s="1"/>
  <c r="G21" i="40"/>
  <c r="E21" i="41" s="1"/>
  <c r="J49" i="41"/>
  <c r="K49" i="41"/>
  <c r="L49" i="41"/>
  <c r="C22" i="10"/>
  <c r="C27" i="10"/>
  <c r="C104" i="10"/>
  <c r="C50" i="10"/>
  <c r="H98" i="132"/>
  <c r="C58" i="22" s="1"/>
  <c r="G28" i="39"/>
  <c r="G27" i="39" s="1"/>
  <c r="D19" i="38" s="1"/>
  <c r="J19" i="38" s="1"/>
  <c r="G45" i="39"/>
  <c r="K28" i="40"/>
  <c r="K27" i="40" s="1"/>
  <c r="D29" i="38" s="1"/>
  <c r="K39" i="40"/>
  <c r="C22" i="22"/>
  <c r="O22" i="22" s="1"/>
  <c r="G25" i="39"/>
  <c r="G24" i="39" s="1"/>
  <c r="D18" i="38" s="1"/>
  <c r="J18" i="38" s="1"/>
  <c r="K25" i="40"/>
  <c r="K24" i="40" s="1"/>
  <c r="D28" i="38" s="1"/>
  <c r="J28" i="38" s="1"/>
  <c r="K45" i="40"/>
  <c r="G39" i="39"/>
  <c r="X30" i="41"/>
  <c r="E30" i="38" s="1"/>
  <c r="Y17" i="25"/>
  <c r="Y16" i="25" s="1"/>
  <c r="L66" i="59" l="1"/>
  <c r="I67" i="59"/>
  <c r="C38" i="40"/>
  <c r="J38" i="40" s="1"/>
  <c r="C38" i="41"/>
  <c r="U38" i="41" s="1"/>
  <c r="I30" i="41"/>
  <c r="I48" i="41" s="1"/>
  <c r="I49" i="41" s="1"/>
  <c r="R38" i="41"/>
  <c r="I164" i="34"/>
  <c r="F27" i="45"/>
  <c r="O55" i="109"/>
  <c r="D55" i="65"/>
  <c r="L35" i="12"/>
  <c r="N35" i="12"/>
  <c r="R34" i="12"/>
  <c r="Q45" i="12"/>
  <c r="G84" i="10"/>
  <c r="F84" i="10"/>
  <c r="C30" i="22"/>
  <c r="E31" i="38"/>
  <c r="J31" i="38" s="1"/>
  <c r="C36" i="22"/>
  <c r="H72" i="132"/>
  <c r="C68" i="10"/>
  <c r="C60" i="10" s="1"/>
  <c r="C29" i="10"/>
  <c r="F69" i="10"/>
  <c r="G69" i="10"/>
  <c r="C40" i="10"/>
  <c r="C36" i="40"/>
  <c r="J36" i="40" s="1"/>
  <c r="C36" i="41"/>
  <c r="F36" i="39"/>
  <c r="F37" i="39"/>
  <c r="C37" i="40"/>
  <c r="J37" i="40" s="1"/>
  <c r="C37" i="41"/>
  <c r="G164" i="34"/>
  <c r="E23" i="132"/>
  <c r="F23" i="132"/>
  <c r="G23" i="132"/>
  <c r="L45" i="70"/>
  <c r="O38" i="109"/>
  <c r="C38" i="65"/>
  <c r="I31" i="22"/>
  <c r="AJ18" i="25"/>
  <c r="AJ16" i="25" s="1"/>
  <c r="H48" i="57"/>
  <c r="D50" i="57"/>
  <c r="D48" i="57" s="1"/>
  <c r="F48" i="57" s="1"/>
  <c r="X28" i="41"/>
  <c r="C17" i="22"/>
  <c r="C105" i="10"/>
  <c r="C102" i="10"/>
  <c r="C23" i="10"/>
  <c r="F34" i="39"/>
  <c r="C34" i="40"/>
  <c r="J34" i="40" s="1"/>
  <c r="C34" i="41"/>
  <c r="C35" i="41"/>
  <c r="C35" i="40"/>
  <c r="J35" i="40" s="1"/>
  <c r="F35" i="39"/>
  <c r="R23" i="41"/>
  <c r="K20" i="41"/>
  <c r="K15" i="41" s="1"/>
  <c r="K10" i="41" s="1"/>
  <c r="K48" i="41" s="1"/>
  <c r="R43" i="41"/>
  <c r="F21" i="45"/>
  <c r="G24" i="132"/>
  <c r="K39" i="65"/>
  <c r="D38" i="70"/>
  <c r="E38" i="70" s="1"/>
  <c r="C42" i="65"/>
  <c r="X17" i="25"/>
  <c r="X16" i="25" s="1"/>
  <c r="G24" i="33"/>
  <c r="G23" i="33" s="1"/>
  <c r="G22" i="33" s="1"/>
  <c r="G30" i="39"/>
  <c r="D20" i="38" s="1"/>
  <c r="J20" i="38" s="1"/>
  <c r="C12" i="10"/>
  <c r="C96" i="10"/>
  <c r="C88" i="10" s="1"/>
  <c r="C33" i="40"/>
  <c r="J33" i="40" s="1"/>
  <c r="C33" i="41"/>
  <c r="F33" i="39"/>
  <c r="N40" i="12"/>
  <c r="P40" i="12" s="1"/>
  <c r="R40" i="12" s="1"/>
  <c r="S40" i="12" s="1"/>
  <c r="T40" i="12" s="1"/>
  <c r="L40" i="12"/>
  <c r="N15" i="12"/>
  <c r="P15" i="12" s="1"/>
  <c r="R15" i="12" s="1"/>
  <c r="S15" i="12" s="1"/>
  <c r="T15" i="12" s="1"/>
  <c r="L15" i="12"/>
  <c r="D43" i="70"/>
  <c r="E43" i="70" s="1"/>
  <c r="K44" i="65"/>
  <c r="C31" i="109"/>
  <c r="R29" i="41"/>
  <c r="F28" i="41"/>
  <c r="L16" i="12"/>
  <c r="N16" i="12"/>
  <c r="P16" i="12" s="1"/>
  <c r="R16" i="12" s="1"/>
  <c r="S16" i="12" s="1"/>
  <c r="T16" i="12" s="1"/>
  <c r="L41" i="12"/>
  <c r="N41" i="12"/>
  <c r="P41" i="12" s="1"/>
  <c r="R41" i="12" s="1"/>
  <c r="S41" i="12" s="1"/>
  <c r="T41" i="12" s="1"/>
  <c r="N19" i="12"/>
  <c r="P19" i="12" s="1"/>
  <c r="R19" i="12" s="1"/>
  <c r="S19" i="12" s="1"/>
  <c r="T19" i="12" s="1"/>
  <c r="L19" i="12"/>
  <c r="Y41" i="25"/>
  <c r="Y39" i="25" s="1"/>
  <c r="Y10" i="25"/>
  <c r="C21" i="10"/>
  <c r="C30" i="10"/>
  <c r="C81" i="10"/>
  <c r="C32" i="40"/>
  <c r="F32" i="39"/>
  <c r="C32" i="41"/>
  <c r="C30" i="39"/>
  <c r="F30" i="39" s="1"/>
  <c r="J20" i="41"/>
  <c r="J15" i="41" s="1"/>
  <c r="J10" i="41" s="1"/>
  <c r="G98" i="10"/>
  <c r="F98" i="10"/>
  <c r="R21" i="41"/>
  <c r="F20" i="41"/>
  <c r="R50" i="70"/>
  <c r="D21" i="128"/>
  <c r="G10" i="128"/>
  <c r="P47" i="12"/>
  <c r="P50" i="12" s="1"/>
  <c r="N50" i="12"/>
  <c r="C12" i="13" s="1"/>
  <c r="D12" i="13" s="1"/>
  <c r="K20" i="40"/>
  <c r="K15" i="40" s="1"/>
  <c r="C26" i="41"/>
  <c r="C25" i="41" s="1"/>
  <c r="C24" i="41" s="1"/>
  <c r="C25" i="39"/>
  <c r="F26" i="39"/>
  <c r="C26" i="40"/>
  <c r="E18" i="22"/>
  <c r="J22" i="132"/>
  <c r="F120" i="10"/>
  <c r="G120" i="10"/>
  <c r="C103" i="10"/>
  <c r="C21" i="41"/>
  <c r="C21" i="40"/>
  <c r="C15" i="39"/>
  <c r="F21" i="39"/>
  <c r="R32" i="41"/>
  <c r="I54" i="22"/>
  <c r="AJ35" i="25"/>
  <c r="F14" i="45"/>
  <c r="F10" i="45" s="1"/>
  <c r="R52" i="70"/>
  <c r="P11" i="12"/>
  <c r="N24" i="12"/>
  <c r="P24" i="12" s="1"/>
  <c r="R24" i="12" s="1"/>
  <c r="S24" i="12" s="1"/>
  <c r="T24" i="12" s="1"/>
  <c r="L24" i="12"/>
  <c r="C29" i="40"/>
  <c r="F29" i="39"/>
  <c r="C29" i="41"/>
  <c r="C28" i="41" s="1"/>
  <c r="C27" i="41" s="1"/>
  <c r="C28" i="39"/>
  <c r="C23" i="40"/>
  <c r="J23" i="40" s="1"/>
  <c r="C23" i="41"/>
  <c r="U23" i="41" s="1"/>
  <c r="F23" i="39"/>
  <c r="R26" i="41"/>
  <c r="M25" i="41"/>
  <c r="E73" i="132"/>
  <c r="F45" i="15"/>
  <c r="R22" i="12"/>
  <c r="S22" i="12" s="1"/>
  <c r="T22" i="12" s="1"/>
  <c r="Q31" i="12"/>
  <c r="G20" i="39"/>
  <c r="G15" i="39" s="1"/>
  <c r="I35" i="132"/>
  <c r="I45" i="132"/>
  <c r="I42" i="132" s="1"/>
  <c r="C100" i="10"/>
  <c r="C99" i="10" s="1"/>
  <c r="C112" i="10"/>
  <c r="C111" i="10" s="1"/>
  <c r="D53" i="109"/>
  <c r="J15" i="1"/>
  <c r="D10" i="1"/>
  <c r="Q50" i="12"/>
  <c r="R47" i="12"/>
  <c r="J34" i="38"/>
  <c r="E33" i="38"/>
  <c r="F31" i="15"/>
  <c r="I55" i="15"/>
  <c r="F55" i="15" s="1"/>
  <c r="N25" i="12"/>
  <c r="P25" i="12" s="1"/>
  <c r="R25" i="12" s="1"/>
  <c r="S25" i="12" s="1"/>
  <c r="T25" i="12" s="1"/>
  <c r="L25" i="12"/>
  <c r="E55" i="15"/>
  <c r="G55" i="15"/>
  <c r="H55" i="15" s="1"/>
  <c r="H31" i="15"/>
  <c r="C46" i="41"/>
  <c r="C45" i="41" s="1"/>
  <c r="C45" i="39"/>
  <c r="F45" i="39" s="1"/>
  <c r="F46" i="39"/>
  <c r="C46" i="40"/>
  <c r="N48" i="41"/>
  <c r="N49" i="41" s="1"/>
  <c r="J48" i="41"/>
  <c r="J162" i="34"/>
  <c r="AJ34" i="25"/>
  <c r="AJ33" i="25" s="1"/>
  <c r="AJ44" i="25" s="1"/>
  <c r="I53" i="22"/>
  <c r="X20" i="41"/>
  <c r="C16" i="10"/>
  <c r="V47" i="41"/>
  <c r="F22" i="39"/>
  <c r="C22" i="40"/>
  <c r="J22" i="40" s="1"/>
  <c r="C22" i="41"/>
  <c r="R46" i="41"/>
  <c r="M45" i="41"/>
  <c r="R45" i="41" s="1"/>
  <c r="E63" i="132"/>
  <c r="L20" i="12"/>
  <c r="N20" i="12"/>
  <c r="P20" i="12" s="1"/>
  <c r="R20" i="12" s="1"/>
  <c r="S20" i="12" s="1"/>
  <c r="T20" i="12" s="1"/>
  <c r="N52" i="12"/>
  <c r="L52" i="12"/>
  <c r="C40" i="25"/>
  <c r="C10" i="25"/>
  <c r="K30" i="40"/>
  <c r="D30" i="38" s="1"/>
  <c r="J30" i="38" s="1"/>
  <c r="C57" i="22"/>
  <c r="O58" i="22"/>
  <c r="C15" i="10"/>
  <c r="C26" i="10"/>
  <c r="C13" i="10" s="1"/>
  <c r="W47" i="41"/>
  <c r="C43" i="40"/>
  <c r="F43" i="39"/>
  <c r="C39" i="39"/>
  <c r="F39" i="39" s="1"/>
  <c r="C43" i="41"/>
  <c r="C39" i="41" s="1"/>
  <c r="L20" i="41"/>
  <c r="L15" i="41" s="1"/>
  <c r="L10" i="41" s="1"/>
  <c r="L48" i="41" s="1"/>
  <c r="F25" i="33"/>
  <c r="F26" i="33"/>
  <c r="H164" i="34"/>
  <c r="F46" i="132"/>
  <c r="E46" i="132"/>
  <c r="O31" i="22"/>
  <c r="L44" i="70"/>
  <c r="L21" i="12"/>
  <c r="N21" i="12"/>
  <c r="P21" i="12" s="1"/>
  <c r="R21" i="12" s="1"/>
  <c r="S21" i="12" s="1"/>
  <c r="T21" i="12" s="1"/>
  <c r="C99" i="11"/>
  <c r="C14" i="20"/>
  <c r="M10" i="20" s="1"/>
  <c r="L10" i="20" s="1"/>
  <c r="D16" i="20"/>
  <c r="C10" i="20"/>
  <c r="G24" i="114"/>
  <c r="E38" i="7"/>
  <c r="F23" i="114"/>
  <c r="G26" i="114"/>
  <c r="G23" i="114"/>
  <c r="F26" i="114"/>
  <c r="G22" i="114"/>
  <c r="F25" i="114"/>
  <c r="D14" i="16"/>
  <c r="G30" i="114"/>
  <c r="G38" i="114"/>
  <c r="G13" i="114"/>
  <c r="G12" i="114"/>
  <c r="D13" i="16"/>
  <c r="I27" i="114"/>
  <c r="J27" i="114"/>
  <c r="J21" i="114" s="1"/>
  <c r="D44" i="7" s="1"/>
  <c r="D15" i="16"/>
  <c r="H38" i="114"/>
  <c r="G25" i="114"/>
  <c r="F24" i="114"/>
  <c r="C10" i="16"/>
  <c r="E35" i="114"/>
  <c r="I70" i="132"/>
  <c r="I67" i="132" s="1"/>
  <c r="H70" i="132"/>
  <c r="H67" i="132" s="1"/>
  <c r="C34" i="22" s="1"/>
  <c r="J70" i="132"/>
  <c r="J67" i="132" s="1"/>
  <c r="H50" i="132"/>
  <c r="H47" i="132" s="1"/>
  <c r="C26" i="22" s="1"/>
  <c r="O26" i="22" s="1"/>
  <c r="F91" i="10"/>
  <c r="G94" i="10"/>
  <c r="E61" i="10"/>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H25" i="8" l="1"/>
  <c r="G32" i="10"/>
  <c r="J22" i="10"/>
  <c r="G22" i="10" s="1"/>
  <c r="G121" i="10"/>
  <c r="J104" i="10"/>
  <c r="G104" i="10" s="1"/>
  <c r="H61" i="9"/>
  <c r="G41" i="10"/>
  <c r="J40" i="10"/>
  <c r="H29" i="10"/>
  <c r="H68" i="10"/>
  <c r="H60" i="10" s="1"/>
  <c r="E69" i="10"/>
  <c r="F121" i="10"/>
  <c r="I104" i="10"/>
  <c r="F104" i="10" s="1"/>
  <c r="F31" i="10"/>
  <c r="I30" i="10"/>
  <c r="I21" i="10"/>
  <c r="H31" i="9"/>
  <c r="C19" i="7" s="1"/>
  <c r="H45" i="9"/>
  <c r="C21" i="7" s="1"/>
  <c r="H81" i="9"/>
  <c r="J25" i="8"/>
  <c r="I26" i="8"/>
  <c r="H46" i="57"/>
  <c r="H10" i="57" s="1"/>
  <c r="D47" i="57"/>
  <c r="D46" i="57" s="1"/>
  <c r="J52" i="132"/>
  <c r="E34" i="22"/>
  <c r="E27" i="22" s="1"/>
  <c r="E25" i="109" s="1"/>
  <c r="E25" i="65" s="1"/>
  <c r="P25" i="70" s="1"/>
  <c r="Q25" i="70" s="1"/>
  <c r="E15" i="16"/>
  <c r="F14" i="114"/>
  <c r="V27" i="73"/>
  <c r="W27" i="73" s="1"/>
  <c r="I52" i="22"/>
  <c r="O53" i="22"/>
  <c r="G103" i="10"/>
  <c r="F103" i="10"/>
  <c r="D10" i="128"/>
  <c r="C19" i="1"/>
  <c r="D41" i="70"/>
  <c r="E41" i="70" s="1"/>
  <c r="C35" i="22"/>
  <c r="O36" i="22"/>
  <c r="J54" i="70"/>
  <c r="K54" i="70" s="1"/>
  <c r="K55" i="65"/>
  <c r="H119" i="9"/>
  <c r="H118" i="9" s="1"/>
  <c r="G17" i="10"/>
  <c r="J16" i="10"/>
  <c r="E25" i="7" s="1"/>
  <c r="J24" i="9"/>
  <c r="E18" i="7" s="1"/>
  <c r="I27" i="8"/>
  <c r="F89" i="10"/>
  <c r="J13" i="9"/>
  <c r="I40" i="10"/>
  <c r="F41" i="10"/>
  <c r="J60" i="10"/>
  <c r="G61" i="10"/>
  <c r="J96" i="10"/>
  <c r="J14" i="10" s="1"/>
  <c r="G97" i="10"/>
  <c r="I81" i="10"/>
  <c r="D27" i="7" s="1"/>
  <c r="F82" i="10"/>
  <c r="I38" i="9"/>
  <c r="D20" i="7" s="1"/>
  <c r="I62" i="9"/>
  <c r="J81" i="9"/>
  <c r="I50" i="57"/>
  <c r="G48" i="57"/>
  <c r="E50" i="57"/>
  <c r="J38" i="9"/>
  <c r="E20" i="7" s="1"/>
  <c r="E12" i="16"/>
  <c r="G11" i="16"/>
  <c r="F18" i="16"/>
  <c r="D18" i="16" s="1"/>
  <c r="D19" i="16"/>
  <c r="E23" i="19"/>
  <c r="E29" i="19" s="1"/>
  <c r="C58" i="7"/>
  <c r="L24" i="114"/>
  <c r="L21" i="114" s="1"/>
  <c r="C17" i="19"/>
  <c r="C11" i="19"/>
  <c r="C16" i="19"/>
  <c r="C30" i="41"/>
  <c r="U30" i="41" s="1"/>
  <c r="F38" i="70"/>
  <c r="I47" i="57"/>
  <c r="E24" i="47" s="1"/>
  <c r="I24" i="47" s="1"/>
  <c r="E47" i="57"/>
  <c r="I65" i="9"/>
  <c r="I52" i="132"/>
  <c r="D34" i="22"/>
  <c r="D27" i="22" s="1"/>
  <c r="D25" i="109" s="1"/>
  <c r="D25" i="65" s="1"/>
  <c r="J25" i="70" s="1"/>
  <c r="K25" i="70" s="1"/>
  <c r="F22" i="114"/>
  <c r="I21" i="114"/>
  <c r="C44" i="7" s="1"/>
  <c r="M9" i="20"/>
  <c r="L9" i="20" s="1"/>
  <c r="I22" i="132"/>
  <c r="D24" i="22"/>
  <c r="C27" i="39"/>
  <c r="F27" i="39" s="1"/>
  <c r="F28" i="39"/>
  <c r="AJ41" i="25"/>
  <c r="AJ39" i="25" s="1"/>
  <c r="AJ10" i="25"/>
  <c r="H52" i="132"/>
  <c r="J66" i="8"/>
  <c r="G11" i="114"/>
  <c r="I32" i="114"/>
  <c r="F35" i="114"/>
  <c r="C30" i="109"/>
  <c r="O57" i="22"/>
  <c r="G10" i="39"/>
  <c r="D17" i="38"/>
  <c r="J32" i="40"/>
  <c r="F27" i="41"/>
  <c r="R28" i="41"/>
  <c r="I27" i="22"/>
  <c r="V14" i="73"/>
  <c r="C27" i="22"/>
  <c r="E35" i="109"/>
  <c r="J33" i="38"/>
  <c r="Q55" i="12"/>
  <c r="R31" i="12"/>
  <c r="E16" i="22"/>
  <c r="O18" i="22"/>
  <c r="D37" i="70"/>
  <c r="E37" i="70" s="1"/>
  <c r="K38" i="65"/>
  <c r="J26" i="40"/>
  <c r="C25" i="40"/>
  <c r="F15" i="41"/>
  <c r="F10" i="41" s="1"/>
  <c r="R20" i="41"/>
  <c r="R15" i="41" s="1"/>
  <c r="R10" i="41" s="1"/>
  <c r="J62" i="9"/>
  <c r="H38" i="9"/>
  <c r="C20" i="7" s="1"/>
  <c r="J20" i="7" s="1"/>
  <c r="E19" i="109"/>
  <c r="E19" i="65" s="1"/>
  <c r="P19" i="70" s="1"/>
  <c r="Q19" i="70" s="1"/>
  <c r="C39" i="25"/>
  <c r="W40" i="25"/>
  <c r="R50" i="12"/>
  <c r="S47" i="12"/>
  <c r="T47" i="12" s="1"/>
  <c r="T50" i="12" s="1"/>
  <c r="E12" i="13" s="1"/>
  <c r="C20" i="10"/>
  <c r="C31" i="65"/>
  <c r="F20" i="45"/>
  <c r="F97" i="10"/>
  <c r="I96" i="10"/>
  <c r="I14" i="10" s="1"/>
  <c r="I16" i="10"/>
  <c r="D25" i="7" s="1"/>
  <c r="F17" i="10"/>
  <c r="J50" i="10"/>
  <c r="G51" i="10"/>
  <c r="J26" i="8"/>
  <c r="I10" i="114"/>
  <c r="C43" i="7" s="1"/>
  <c r="F11" i="114"/>
  <c r="J27" i="10"/>
  <c r="G37" i="10"/>
  <c r="I52" i="9"/>
  <c r="D22" i="7" s="1"/>
  <c r="H14" i="114"/>
  <c r="C28" i="40"/>
  <c r="J29" i="40"/>
  <c r="H24" i="9"/>
  <c r="C18" i="7" s="1"/>
  <c r="I61" i="9"/>
  <c r="I100" i="10"/>
  <c r="F113" i="10"/>
  <c r="I112" i="10"/>
  <c r="I111" i="10" s="1"/>
  <c r="J102" i="10"/>
  <c r="G102" i="10" s="1"/>
  <c r="J105" i="10"/>
  <c r="G108" i="10"/>
  <c r="E32" i="10"/>
  <c r="H22" i="10"/>
  <c r="E22" i="10" s="1"/>
  <c r="F37" i="10"/>
  <c r="I27" i="10"/>
  <c r="I67" i="9"/>
  <c r="I60" i="9"/>
  <c r="I119" i="9"/>
  <c r="I118" i="9" s="1"/>
  <c r="H102" i="9"/>
  <c r="I95" i="9"/>
  <c r="J102" i="9"/>
  <c r="K32" i="114"/>
  <c r="K31" i="114" s="1"/>
  <c r="E45" i="7" s="1"/>
  <c r="E42" i="7" s="1"/>
  <c r="E20" i="109" s="1"/>
  <c r="E20" i="65" s="1"/>
  <c r="P20" i="70" s="1"/>
  <c r="Q20" i="70" s="1"/>
  <c r="H37" i="114"/>
  <c r="K36" i="114"/>
  <c r="C24" i="39"/>
  <c r="F24" i="39" s="1"/>
  <c r="F25" i="39"/>
  <c r="E12" i="10"/>
  <c r="G12" i="10"/>
  <c r="F12" i="10"/>
  <c r="M39" i="41"/>
  <c r="C109" i="11"/>
  <c r="C108" i="11" s="1"/>
  <c r="C94" i="11"/>
  <c r="C93" i="11" s="1"/>
  <c r="O54" i="22"/>
  <c r="V28" i="73"/>
  <c r="W28" i="73" s="1"/>
  <c r="H99" i="11"/>
  <c r="E99" i="11" s="1"/>
  <c r="E114" i="11"/>
  <c r="I22" i="10"/>
  <c r="F22" i="10" s="1"/>
  <c r="F32" i="10"/>
  <c r="F51" i="10"/>
  <c r="I50" i="10"/>
  <c r="N62" i="109"/>
  <c r="I102" i="10"/>
  <c r="F102" i="10" s="1"/>
  <c r="I105" i="10"/>
  <c r="F108" i="10"/>
  <c r="G36" i="10"/>
  <c r="J26" i="10"/>
  <c r="E51" i="10"/>
  <c r="H50" i="10"/>
  <c r="I81" i="9"/>
  <c r="G37" i="114"/>
  <c r="J36" i="114"/>
  <c r="F38" i="114"/>
  <c r="G14" i="114"/>
  <c r="K10" i="114"/>
  <c r="E43" i="7" s="1"/>
  <c r="H11" i="114"/>
  <c r="N54" i="12"/>
  <c r="C13" i="13" s="1"/>
  <c r="D13" i="13" s="1"/>
  <c r="P52" i="12"/>
  <c r="D51" i="109"/>
  <c r="D51" i="65" s="1"/>
  <c r="J50" i="70" s="1"/>
  <c r="K50" i="70" s="1"/>
  <c r="C15" i="68"/>
  <c r="N31" i="12"/>
  <c r="F43" i="70"/>
  <c r="H22" i="132"/>
  <c r="J12" i="9"/>
  <c r="G89" i="10"/>
  <c r="J88" i="10"/>
  <c r="E28" i="7" s="1"/>
  <c r="E121" i="10"/>
  <c r="H104" i="10"/>
  <c r="E104" i="10" s="1"/>
  <c r="I30" i="8"/>
  <c r="J45" i="9"/>
  <c r="E21" i="7" s="1"/>
  <c r="G18" i="114"/>
  <c r="J16" i="114"/>
  <c r="H103" i="10"/>
  <c r="E103" i="10" s="1"/>
  <c r="E120" i="10"/>
  <c r="E17" i="10"/>
  <c r="H16" i="10"/>
  <c r="C25" i="7" s="1"/>
  <c r="J95" i="9"/>
  <c r="E19" i="132"/>
  <c r="J46" i="40"/>
  <c r="C45" i="40"/>
  <c r="J45" i="40" s="1"/>
  <c r="J100" i="10"/>
  <c r="G113" i="10"/>
  <c r="J112" i="10"/>
  <c r="J111" i="10" s="1"/>
  <c r="H30" i="8"/>
  <c r="F36" i="10"/>
  <c r="I26" i="10"/>
  <c r="I23" i="10"/>
  <c r="F23" i="10" s="1"/>
  <c r="F33" i="10"/>
  <c r="E36" i="10"/>
  <c r="H26" i="10"/>
  <c r="J119" i="9"/>
  <c r="J118" i="9" s="1"/>
  <c r="J52" i="9"/>
  <c r="E22" i="7" s="1"/>
  <c r="I36" i="114"/>
  <c r="F37" i="114"/>
  <c r="K21" i="114"/>
  <c r="E44" i="7" s="1"/>
  <c r="H22" i="114"/>
  <c r="C11" i="10"/>
  <c r="C10" i="10" s="1"/>
  <c r="R25" i="41"/>
  <c r="M24" i="41"/>
  <c r="R24" i="41" s="1"/>
  <c r="R11" i="12"/>
  <c r="S11" i="12" s="1"/>
  <c r="T11" i="12" s="1"/>
  <c r="T31" i="12" s="1"/>
  <c r="P31" i="12"/>
  <c r="F15" i="39"/>
  <c r="C10" i="39"/>
  <c r="K10" i="40"/>
  <c r="D27" i="38"/>
  <c r="C16" i="22"/>
  <c r="C24" i="109" s="1"/>
  <c r="O17" i="22"/>
  <c r="F29" i="10"/>
  <c r="G29" i="10"/>
  <c r="C28" i="10"/>
  <c r="C14" i="10" s="1"/>
  <c r="S34" i="12"/>
  <c r="T34" i="12" s="1"/>
  <c r="J65" i="9"/>
  <c r="E97" i="10"/>
  <c r="H96" i="10"/>
  <c r="H88" i="10" s="1"/>
  <c r="C28" i="7" s="1"/>
  <c r="G18" i="16"/>
  <c r="E18" i="16" s="1"/>
  <c r="E19" i="16"/>
  <c r="I102" i="9"/>
  <c r="I12" i="9"/>
  <c r="H60" i="9"/>
  <c r="H67" i="9"/>
  <c r="E15" i="19"/>
  <c r="C49" i="7" s="1"/>
  <c r="E27" i="19"/>
  <c r="E28" i="19" s="1"/>
  <c r="X10" i="25"/>
  <c r="X41" i="25"/>
  <c r="U29" i="41"/>
  <c r="P35" i="12"/>
  <c r="N45" i="12"/>
  <c r="C11" i="13" s="1"/>
  <c r="D11" i="13" s="1"/>
  <c r="F61" i="10"/>
  <c r="I60" i="10"/>
  <c r="E31" i="10"/>
  <c r="H21" i="10"/>
  <c r="H30" i="10"/>
  <c r="I10" i="20"/>
  <c r="E53" i="7" s="1"/>
  <c r="F11" i="20"/>
  <c r="J17" i="9"/>
  <c r="E17" i="7" s="1"/>
  <c r="J11" i="9"/>
  <c r="H95" i="9"/>
  <c r="H102" i="10"/>
  <c r="E102" i="10" s="1"/>
  <c r="H105" i="10"/>
  <c r="E108" i="10"/>
  <c r="H23" i="10"/>
  <c r="E23" i="10" s="1"/>
  <c r="E33" i="10"/>
  <c r="H40" i="10"/>
  <c r="E41" i="10"/>
  <c r="J43" i="40"/>
  <c r="O53" i="109"/>
  <c r="D53" i="65"/>
  <c r="J21" i="40"/>
  <c r="C20" i="40"/>
  <c r="J81" i="10"/>
  <c r="E27" i="7" s="1"/>
  <c r="G82" i="10"/>
  <c r="E113" i="10"/>
  <c r="H100" i="10"/>
  <c r="H112" i="10"/>
  <c r="H111" i="10" s="1"/>
  <c r="J61" i="9"/>
  <c r="G31" i="10"/>
  <c r="J21" i="10"/>
  <c r="J60" i="9"/>
  <c r="J67" i="9"/>
  <c r="J68" i="8"/>
  <c r="K66" i="59"/>
  <c r="H67" i="59"/>
  <c r="F11" i="16"/>
  <c r="F10" i="16" s="1"/>
  <c r="D39" i="7" s="1"/>
  <c r="D38" i="7" s="1"/>
  <c r="J32" i="114"/>
  <c r="G35" i="114"/>
  <c r="X15" i="41"/>
  <c r="U20" i="41"/>
  <c r="U21" i="41"/>
  <c r="C20" i="41"/>
  <c r="C15" i="41" s="1"/>
  <c r="C10" i="41" s="1"/>
  <c r="U28" i="41"/>
  <c r="X27" i="41"/>
  <c r="L65" i="59"/>
  <c r="I66" i="59"/>
  <c r="E20" i="132"/>
  <c r="E21" i="132"/>
  <c r="J16" i="9"/>
  <c r="J61" i="8"/>
  <c r="J75" i="8"/>
  <c r="E47" i="10"/>
  <c r="N63" i="109"/>
  <c r="E95" i="10"/>
  <c r="M63" i="109"/>
  <c r="K63" i="109"/>
  <c r="L63" i="109"/>
  <c r="H27" i="8" l="1"/>
  <c r="J63" i="8"/>
  <c r="H62" i="8"/>
  <c r="C39" i="40"/>
  <c r="J25" i="7"/>
  <c r="J31" i="9"/>
  <c r="E19" i="7" s="1"/>
  <c r="J44" i="7"/>
  <c r="O35" i="22"/>
  <c r="C26" i="109"/>
  <c r="R25" i="70"/>
  <c r="I13" i="9"/>
  <c r="C13" i="22"/>
  <c r="O13" i="22" s="1"/>
  <c r="E12" i="132"/>
  <c r="E21" i="10"/>
  <c r="F10" i="39"/>
  <c r="G100" i="10"/>
  <c r="J99" i="10"/>
  <c r="E29" i="7" s="1"/>
  <c r="X28" i="73"/>
  <c r="E10" i="22"/>
  <c r="E22" i="109" s="1"/>
  <c r="E22" i="65" s="1"/>
  <c r="P22" i="70" s="1"/>
  <c r="Q22" i="70" s="1"/>
  <c r="E24" i="109"/>
  <c r="E24" i="65" s="1"/>
  <c r="P24" i="70" s="1"/>
  <c r="Q24" i="70" s="1"/>
  <c r="O34" i="22"/>
  <c r="G14" i="10"/>
  <c r="H13" i="10"/>
  <c r="E13" i="10" s="1"/>
  <c r="E26" i="10"/>
  <c r="R20" i="70"/>
  <c r="L25" i="70"/>
  <c r="F41" i="70"/>
  <c r="E82" i="10"/>
  <c r="H81" i="10"/>
  <c r="C27" i="7" s="1"/>
  <c r="J27" i="7" s="1"/>
  <c r="H21" i="8"/>
  <c r="H66" i="8"/>
  <c r="H65" i="9"/>
  <c r="H26" i="8"/>
  <c r="I52" i="7"/>
  <c r="N61" i="109" s="1"/>
  <c r="C18" i="1"/>
  <c r="J19" i="1"/>
  <c r="F46" i="57"/>
  <c r="D10" i="57"/>
  <c r="F10" i="57" s="1"/>
  <c r="I61" i="8"/>
  <c r="I68" i="8"/>
  <c r="J53" i="8"/>
  <c r="E14" i="7" s="1"/>
  <c r="J21" i="8"/>
  <c r="C12" i="22"/>
  <c r="E11" i="132"/>
  <c r="E10" i="13"/>
  <c r="C27" i="40"/>
  <c r="J27" i="40" s="1"/>
  <c r="J28" i="40"/>
  <c r="I59" i="9"/>
  <c r="D23" i="7" s="1"/>
  <c r="I99" i="10"/>
  <c r="D29" i="7" s="1"/>
  <c r="F100" i="10"/>
  <c r="E35" i="65"/>
  <c r="O35" i="109"/>
  <c r="I48" i="57"/>
  <c r="E25" i="47" s="1"/>
  <c r="E23" i="47" s="1"/>
  <c r="E48" i="57"/>
  <c r="E29" i="10"/>
  <c r="H28" i="10"/>
  <c r="H14" i="10" s="1"/>
  <c r="E14" i="10" s="1"/>
  <c r="D30" i="70"/>
  <c r="E30" i="70" s="1"/>
  <c r="D11" i="38"/>
  <c r="J17" i="38"/>
  <c r="H17" i="9"/>
  <c r="C17" i="7" s="1"/>
  <c r="H12" i="9"/>
  <c r="R39" i="41"/>
  <c r="M30" i="41"/>
  <c r="R30" i="41" s="1"/>
  <c r="H13" i="9"/>
  <c r="J31" i="114"/>
  <c r="D45" i="7" s="1"/>
  <c r="J59" i="9"/>
  <c r="E23" i="7" s="1"/>
  <c r="P45" i="12"/>
  <c r="R35" i="12"/>
  <c r="H18" i="132"/>
  <c r="H14" i="132" s="1"/>
  <c r="C15" i="22" s="1"/>
  <c r="O15" i="22" s="1"/>
  <c r="I11" i="10"/>
  <c r="X10" i="41"/>
  <c r="U15" i="41"/>
  <c r="E27" i="38"/>
  <c r="C14" i="22"/>
  <c r="O14" i="22" s="1"/>
  <c r="E13" i="132"/>
  <c r="H53" i="8"/>
  <c r="C14" i="7" s="1"/>
  <c r="J14" i="7" s="1"/>
  <c r="H52" i="7"/>
  <c r="M61" i="109" s="1"/>
  <c r="M62" i="109"/>
  <c r="I75" i="8"/>
  <c r="I63" i="8"/>
  <c r="I20" i="8" s="1"/>
  <c r="I11" i="9"/>
  <c r="I17" i="9"/>
  <c r="D17" i="7" s="1"/>
  <c r="D19" i="109"/>
  <c r="D19" i="65" s="1"/>
  <c r="J19" i="70" s="1"/>
  <c r="K19" i="70" s="1"/>
  <c r="J10" i="9"/>
  <c r="F26" i="10"/>
  <c r="I13" i="10"/>
  <c r="F13" i="10" s="1"/>
  <c r="C10" i="13"/>
  <c r="N55" i="12"/>
  <c r="C25" i="109"/>
  <c r="O30" i="109"/>
  <c r="C30" i="65"/>
  <c r="C57" i="7"/>
  <c r="J58" i="7"/>
  <c r="I53" i="8"/>
  <c r="D14" i="7" s="1"/>
  <c r="I16" i="9"/>
  <c r="E100" i="10"/>
  <c r="H99" i="10"/>
  <c r="C29" i="7" s="1"/>
  <c r="E16" i="7"/>
  <c r="E14" i="109" s="1"/>
  <c r="E14" i="65" s="1"/>
  <c r="P14" i="70" s="1"/>
  <c r="Q14" i="70" s="1"/>
  <c r="AH41" i="25"/>
  <c r="X39" i="25"/>
  <c r="G30" i="22"/>
  <c r="I15" i="10"/>
  <c r="F15" i="10" s="1"/>
  <c r="F27" i="10"/>
  <c r="F25" i="22"/>
  <c r="W39" i="25"/>
  <c r="J25" i="40"/>
  <c r="C24" i="40"/>
  <c r="J24" i="40" s="1"/>
  <c r="V10" i="73"/>
  <c r="W10" i="73" s="1"/>
  <c r="W14" i="73"/>
  <c r="I29" i="109"/>
  <c r="O52" i="22"/>
  <c r="E15" i="20"/>
  <c r="H14" i="20"/>
  <c r="D54" i="7" s="1"/>
  <c r="D63" i="109" s="1"/>
  <c r="D62" i="65" s="1"/>
  <c r="J61" i="70" s="1"/>
  <c r="K61" i="70" s="1"/>
  <c r="H27" i="10"/>
  <c r="E37" i="10"/>
  <c r="J30" i="8"/>
  <c r="H61" i="8"/>
  <c r="H68" i="8"/>
  <c r="J82" i="8"/>
  <c r="I31" i="9"/>
  <c r="D19" i="7" s="1"/>
  <c r="J19" i="7" s="1"/>
  <c r="H11" i="9"/>
  <c r="H52" i="9"/>
  <c r="C22" i="7" s="1"/>
  <c r="J22" i="7" s="1"/>
  <c r="H11" i="16"/>
  <c r="D12" i="16"/>
  <c r="C15" i="40"/>
  <c r="J20" i="40"/>
  <c r="H16" i="9"/>
  <c r="H10" i="20"/>
  <c r="D53" i="7" s="1"/>
  <c r="E11" i="20"/>
  <c r="I66" i="8"/>
  <c r="H75" i="8"/>
  <c r="I24" i="9"/>
  <c r="D18" i="7" s="1"/>
  <c r="J18" i="7" s="1"/>
  <c r="L50" i="70"/>
  <c r="I25" i="109"/>
  <c r="I25" i="65" s="1"/>
  <c r="I10" i="22"/>
  <c r="I22" i="109" s="1"/>
  <c r="I31" i="114"/>
  <c r="C45" i="7" s="1"/>
  <c r="J45" i="7" s="1"/>
  <c r="D16" i="22"/>
  <c r="O24" i="22"/>
  <c r="G46" i="57"/>
  <c r="I88" i="10"/>
  <c r="D28" i="7" s="1"/>
  <c r="J28" i="7" s="1"/>
  <c r="X27" i="73"/>
  <c r="K62" i="109"/>
  <c r="F52" i="7"/>
  <c r="K61" i="109" s="1"/>
  <c r="D15" i="20"/>
  <c r="G14" i="20"/>
  <c r="C54" i="7" s="1"/>
  <c r="G10" i="20"/>
  <c r="C53" i="7" s="1"/>
  <c r="D11" i="20"/>
  <c r="I21" i="8"/>
  <c r="I45" i="9"/>
  <c r="D21" i="7" s="1"/>
  <c r="J21" i="7" s="1"/>
  <c r="J30" i="10"/>
  <c r="J23" i="10"/>
  <c r="G23" i="10" s="1"/>
  <c r="G33" i="10"/>
  <c r="L59" i="59"/>
  <c r="I65" i="59"/>
  <c r="G21" i="10"/>
  <c r="J20" i="10"/>
  <c r="E26" i="7" s="1"/>
  <c r="E24" i="7" s="1"/>
  <c r="E15" i="109" s="1"/>
  <c r="E15" i="65" s="1"/>
  <c r="P15" i="70" s="1"/>
  <c r="Q15" i="70" s="1"/>
  <c r="J52" i="70"/>
  <c r="K52" i="70" s="1"/>
  <c r="K53" i="65"/>
  <c r="E62" i="109"/>
  <c r="E61" i="65" s="1"/>
  <c r="P60" i="70" s="1"/>
  <c r="Q60" i="70" s="1"/>
  <c r="E52" i="7"/>
  <c r="E61" i="109" s="1"/>
  <c r="E60" i="65" s="1"/>
  <c r="P59" i="70" s="1"/>
  <c r="Q59" i="70" s="1"/>
  <c r="C24" i="65"/>
  <c r="D24" i="70" s="1"/>
  <c r="E24" i="70" s="1"/>
  <c r="I82" i="8"/>
  <c r="P54" i="12"/>
  <c r="R52" i="12"/>
  <c r="G26" i="10"/>
  <c r="J13" i="10"/>
  <c r="G13" i="10" s="1"/>
  <c r="H62" i="9"/>
  <c r="G27" i="10"/>
  <c r="J15" i="10"/>
  <c r="G15" i="10" s="1"/>
  <c r="F14" i="10"/>
  <c r="E37" i="7"/>
  <c r="E18" i="109" s="1"/>
  <c r="E18" i="65" s="1"/>
  <c r="P18" i="70" s="1"/>
  <c r="Q18" i="70" s="1"/>
  <c r="J10" i="114"/>
  <c r="D43" i="7" s="1"/>
  <c r="I62" i="8"/>
  <c r="L54" i="70"/>
  <c r="J18" i="8"/>
  <c r="I20" i="10"/>
  <c r="D26" i="7" s="1"/>
  <c r="D24" i="7" s="1"/>
  <c r="D15" i="109" s="1"/>
  <c r="D15" i="65" s="1"/>
  <c r="J15" i="70" s="1"/>
  <c r="K15" i="70" s="1"/>
  <c r="F21" i="10"/>
  <c r="H32" i="8"/>
  <c r="H44" i="11"/>
  <c r="G52" i="7"/>
  <c r="L61" i="109" s="1"/>
  <c r="L62" i="109"/>
  <c r="I14" i="20"/>
  <c r="E54" i="7" s="1"/>
  <c r="E63" i="109" s="1"/>
  <c r="E62" i="65" s="1"/>
  <c r="P61" i="70" s="1"/>
  <c r="Q61" i="70" s="1"/>
  <c r="F15" i="20"/>
  <c r="J62" i="8"/>
  <c r="I32" i="8"/>
  <c r="I25" i="8"/>
  <c r="E29" i="38"/>
  <c r="J29" i="38" s="1"/>
  <c r="U27" i="41"/>
  <c r="K65" i="59"/>
  <c r="H66" i="59"/>
  <c r="C47" i="7"/>
  <c r="J49" i="7"/>
  <c r="D22" i="38"/>
  <c r="D21" i="38"/>
  <c r="J27" i="38"/>
  <c r="H11" i="10"/>
  <c r="R19" i="70"/>
  <c r="F37" i="70"/>
  <c r="R27" i="41"/>
  <c r="F48" i="41"/>
  <c r="G10" i="16"/>
  <c r="C39" i="7" s="1"/>
  <c r="E11" i="16"/>
  <c r="H18" i="8"/>
  <c r="L15" i="70" l="1"/>
  <c r="J47" i="7"/>
  <c r="C21" i="109"/>
  <c r="O25" i="22"/>
  <c r="D11" i="73"/>
  <c r="F16" i="22"/>
  <c r="D10" i="13"/>
  <c r="C15" i="13"/>
  <c r="X50" i="41"/>
  <c r="U50" i="41" s="1"/>
  <c r="U10" i="41"/>
  <c r="I19" i="8"/>
  <c r="I10" i="109"/>
  <c r="I10" i="65" s="1"/>
  <c r="I22" i="65"/>
  <c r="I23" i="8"/>
  <c r="H20" i="10"/>
  <c r="C26" i="7" s="1"/>
  <c r="S52" i="12"/>
  <c r="T52" i="12" s="1"/>
  <c r="T54" i="12" s="1"/>
  <c r="E13" i="13" s="1"/>
  <c r="R54" i="12"/>
  <c r="C62" i="109"/>
  <c r="J53" i="7"/>
  <c r="C52" i="7"/>
  <c r="K59" i="59"/>
  <c r="D25" i="47"/>
  <c r="H65" i="59"/>
  <c r="H10" i="9"/>
  <c r="L61" i="70"/>
  <c r="D42" i="7"/>
  <c r="G27" i="22"/>
  <c r="O30" i="22"/>
  <c r="S35" i="12"/>
  <c r="T35" i="12" s="1"/>
  <c r="T45" i="12" s="1"/>
  <c r="R45" i="12"/>
  <c r="R55" i="12" s="1"/>
  <c r="E47" i="109"/>
  <c r="E47" i="65" s="1"/>
  <c r="P46" i="70" s="1"/>
  <c r="Q46" i="70" s="1"/>
  <c r="E10" i="47"/>
  <c r="E42" i="109" s="1"/>
  <c r="E42" i="65" s="1"/>
  <c r="P41" i="70" s="1"/>
  <c r="Q41" i="70" s="1"/>
  <c r="I60" i="8"/>
  <c r="D15" i="7" s="1"/>
  <c r="C38" i="7"/>
  <c r="J39" i="7"/>
  <c r="H23" i="11"/>
  <c r="H23" i="8"/>
  <c r="R18" i="70"/>
  <c r="F24" i="70"/>
  <c r="D52" i="7"/>
  <c r="D61" i="109" s="1"/>
  <c r="D60" i="65" s="1"/>
  <c r="J59" i="70" s="1"/>
  <c r="K59" i="70" s="1"/>
  <c r="D62" i="109"/>
  <c r="D61" i="65" s="1"/>
  <c r="J60" i="70" s="1"/>
  <c r="K60" i="70" s="1"/>
  <c r="J57" i="7"/>
  <c r="C66" i="109"/>
  <c r="P55" i="12"/>
  <c r="H24" i="8"/>
  <c r="C13" i="7" s="1"/>
  <c r="H19" i="8"/>
  <c r="AH39" i="25"/>
  <c r="J13" i="73"/>
  <c r="D29" i="70"/>
  <c r="E29" i="70" s="1"/>
  <c r="K30" i="65"/>
  <c r="J17" i="7"/>
  <c r="R24" i="70"/>
  <c r="J43" i="7"/>
  <c r="O29" i="109"/>
  <c r="I29" i="65"/>
  <c r="K29" i="65" s="1"/>
  <c r="L19" i="70"/>
  <c r="H10" i="10"/>
  <c r="E11" i="10"/>
  <c r="I24" i="8"/>
  <c r="D13" i="7" s="1"/>
  <c r="D12" i="7" s="1"/>
  <c r="I18" i="8"/>
  <c r="R60" i="70"/>
  <c r="Y14" i="73"/>
  <c r="X14" i="73"/>
  <c r="Z14" i="73"/>
  <c r="R14" i="70"/>
  <c r="P34" i="70"/>
  <c r="Q34" i="70" s="1"/>
  <c r="K35" i="65"/>
  <c r="R22" i="70"/>
  <c r="C42" i="7"/>
  <c r="X10" i="73"/>
  <c r="J29" i="7"/>
  <c r="D16" i="7"/>
  <c r="D14" i="109" s="1"/>
  <c r="D14" i="65" s="1"/>
  <c r="J14" i="70" s="1"/>
  <c r="K14" i="70" s="1"/>
  <c r="C10" i="1"/>
  <c r="J18" i="1"/>
  <c r="C54" i="109"/>
  <c r="D33" i="109"/>
  <c r="L52" i="70"/>
  <c r="I14" i="8"/>
  <c r="J15" i="40"/>
  <c r="C10" i="40"/>
  <c r="J10" i="40" s="1"/>
  <c r="C25" i="65"/>
  <c r="D25" i="70" s="1"/>
  <c r="E25" i="70" s="1"/>
  <c r="I10" i="9"/>
  <c r="H63" i="8"/>
  <c r="H20" i="8" s="1"/>
  <c r="J11" i="38"/>
  <c r="D32" i="109"/>
  <c r="H10" i="132"/>
  <c r="R15" i="70"/>
  <c r="E21" i="38"/>
  <c r="E22" i="38"/>
  <c r="J22" i="38" s="1"/>
  <c r="O12" i="22"/>
  <c r="C11" i="22"/>
  <c r="J39" i="40"/>
  <c r="C30" i="40"/>
  <c r="J30" i="40" s="1"/>
  <c r="J11" i="10"/>
  <c r="J23" i="8"/>
  <c r="J14" i="8"/>
  <c r="J19" i="8"/>
  <c r="I46" i="57"/>
  <c r="E46" i="57"/>
  <c r="G10" i="57"/>
  <c r="R61" i="70"/>
  <c r="I59" i="59"/>
  <c r="L10" i="59"/>
  <c r="I10" i="59" s="1"/>
  <c r="C63" i="109"/>
  <c r="J54" i="7"/>
  <c r="D24" i="109"/>
  <c r="D10" i="22"/>
  <c r="H15" i="10"/>
  <c r="E15" i="10" s="1"/>
  <c r="E27" i="10"/>
  <c r="H14" i="8"/>
  <c r="O26" i="109"/>
  <c r="C26" i="65"/>
  <c r="R59" i="70"/>
  <c r="D11" i="16"/>
  <c r="H10" i="16"/>
  <c r="J27" i="8"/>
  <c r="J32" i="8"/>
  <c r="F30" i="70"/>
  <c r="F11" i="10"/>
  <c r="I10" i="10"/>
  <c r="H82" i="8"/>
  <c r="H59" i="9"/>
  <c r="C23" i="7" s="1"/>
  <c r="J23" i="7" s="1"/>
  <c r="J60" i="8"/>
  <c r="E15" i="7" s="1"/>
  <c r="C54" i="65" l="1"/>
  <c r="O54" i="109"/>
  <c r="E33" i="109"/>
  <c r="E33" i="65" s="1"/>
  <c r="P32" i="70" s="1"/>
  <c r="Q32" i="70" s="1"/>
  <c r="K26" i="65"/>
  <c r="D26" i="70"/>
  <c r="E26" i="70" s="1"/>
  <c r="H60" i="8"/>
  <c r="C15" i="7" s="1"/>
  <c r="J10" i="73"/>
  <c r="K10" i="73" s="1"/>
  <c r="K13" i="73"/>
  <c r="J10" i="10"/>
  <c r="G11" i="10"/>
  <c r="C21" i="65"/>
  <c r="O21" i="109"/>
  <c r="O32" i="109"/>
  <c r="D32" i="65"/>
  <c r="R46" i="70"/>
  <c r="D23" i="47"/>
  <c r="I25" i="47"/>
  <c r="H59" i="59"/>
  <c r="K10" i="59"/>
  <c r="H10" i="59" s="1"/>
  <c r="R41" i="70"/>
  <c r="J10" i="1"/>
  <c r="C51" i="109"/>
  <c r="L14" i="70"/>
  <c r="D13" i="109"/>
  <c r="D13" i="65" s="1"/>
  <c r="J13" i="70" s="1"/>
  <c r="K13" i="70" s="1"/>
  <c r="E11" i="13"/>
  <c r="E15" i="13" s="1"/>
  <c r="T55" i="12"/>
  <c r="C61" i="109"/>
  <c r="J52" i="7"/>
  <c r="J17" i="8"/>
  <c r="I10" i="57"/>
  <c r="E10" i="57"/>
  <c r="R34" i="70"/>
  <c r="J20" i="8"/>
  <c r="J24" i="8"/>
  <c r="E13" i="7" s="1"/>
  <c r="D22" i="109"/>
  <c r="D22" i="65" s="1"/>
  <c r="J22" i="70" s="1"/>
  <c r="K22" i="70" s="1"/>
  <c r="C12" i="68"/>
  <c r="G25" i="109"/>
  <c r="G10" i="22"/>
  <c r="G22" i="109" s="1"/>
  <c r="O27" i="22"/>
  <c r="C61" i="65"/>
  <c r="O62" i="109"/>
  <c r="C16" i="7"/>
  <c r="C65" i="65"/>
  <c r="O66" i="109"/>
  <c r="D20" i="109"/>
  <c r="D20" i="65" s="1"/>
  <c r="J20" i="70" s="1"/>
  <c r="K20" i="70" s="1"/>
  <c r="D37" i="7"/>
  <c r="D18" i="109" s="1"/>
  <c r="D18" i="65" s="1"/>
  <c r="J18" i="70" s="1"/>
  <c r="K18" i="70" s="1"/>
  <c r="D33" i="65"/>
  <c r="O33" i="109"/>
  <c r="H16" i="11"/>
  <c r="H16" i="8" s="1"/>
  <c r="C56" i="7" s="1"/>
  <c r="D15" i="13"/>
  <c r="G13" i="13"/>
  <c r="I13" i="13" s="1"/>
  <c r="I17" i="8"/>
  <c r="D24" i="65"/>
  <c r="J24" i="70" s="1"/>
  <c r="K24" i="70" s="1"/>
  <c r="O24" i="109"/>
  <c r="O63" i="109"/>
  <c r="C62" i="65"/>
  <c r="F25" i="70"/>
  <c r="J21" i="38"/>
  <c r="C20" i="109"/>
  <c r="J42" i="7"/>
  <c r="H17" i="8"/>
  <c r="L60" i="70"/>
  <c r="O16" i="22"/>
  <c r="F24" i="109"/>
  <c r="F24" i="65" s="1"/>
  <c r="F10" i="22"/>
  <c r="F22" i="109" s="1"/>
  <c r="C10" i="22"/>
  <c r="C23" i="109"/>
  <c r="O11" i="22"/>
  <c r="F29" i="70"/>
  <c r="L59" i="70"/>
  <c r="C19" i="109"/>
  <c r="J38" i="7"/>
  <c r="C37" i="7"/>
  <c r="J26" i="7"/>
  <c r="C24" i="7"/>
  <c r="E11" i="73"/>
  <c r="D10" i="73"/>
  <c r="E10" i="73" s="1"/>
  <c r="J56" i="7" l="1"/>
  <c r="C65" i="109"/>
  <c r="G25" i="65"/>
  <c r="K25" i="65" s="1"/>
  <c r="O25" i="109"/>
  <c r="L10" i="73"/>
  <c r="J31" i="70"/>
  <c r="K31" i="70" s="1"/>
  <c r="K32" i="65"/>
  <c r="C12" i="7"/>
  <c r="J15" i="7"/>
  <c r="J32" i="70"/>
  <c r="K32" i="70" s="1"/>
  <c r="K33" i="65"/>
  <c r="O51" i="109"/>
  <c r="C51" i="65"/>
  <c r="L20" i="70"/>
  <c r="J13" i="7"/>
  <c r="E12" i="7"/>
  <c r="C60" i="65"/>
  <c r="O61" i="109"/>
  <c r="D21" i="70"/>
  <c r="E21" i="70" s="1"/>
  <c r="K21" i="65"/>
  <c r="F26" i="70"/>
  <c r="L22" i="70"/>
  <c r="H11" i="73"/>
  <c r="G11" i="73"/>
  <c r="F11" i="73"/>
  <c r="O20" i="109"/>
  <c r="C20" i="65"/>
  <c r="K65" i="65"/>
  <c r="D64" i="70"/>
  <c r="C64" i="70" s="1"/>
  <c r="E64" i="70" s="1"/>
  <c r="O23" i="109"/>
  <c r="C23" i="65"/>
  <c r="C14" i="109"/>
  <c r="J16" i="7"/>
  <c r="R32" i="70"/>
  <c r="F10" i="73"/>
  <c r="C18" i="109"/>
  <c r="J37" i="7"/>
  <c r="O10" i="22"/>
  <c r="C22" i="109"/>
  <c r="L13" i="70"/>
  <c r="K61" i="65"/>
  <c r="D60" i="70"/>
  <c r="E60" i="70" s="1"/>
  <c r="D53" i="70"/>
  <c r="E53" i="70" s="1"/>
  <c r="K54" i="65"/>
  <c r="L18" i="70"/>
  <c r="F22" i="65"/>
  <c r="F10" i="109"/>
  <c r="F10" i="65" s="1"/>
  <c r="C19" i="65"/>
  <c r="O19" i="109"/>
  <c r="K24" i="65"/>
  <c r="D47" i="109"/>
  <c r="I23" i="47"/>
  <c r="D10" i="47"/>
  <c r="L24" i="70"/>
  <c r="C15" i="109"/>
  <c r="J24" i="7"/>
  <c r="K62" i="65"/>
  <c r="D61" i="70"/>
  <c r="E61" i="70" s="1"/>
  <c r="G22" i="65"/>
  <c r="G10" i="109"/>
  <c r="G10" i="65" s="1"/>
  <c r="L13" i="73"/>
  <c r="L32" i="70" l="1"/>
  <c r="F53" i="70"/>
  <c r="D20" i="70"/>
  <c r="E20" i="70" s="1"/>
  <c r="K20" i="65"/>
  <c r="H21" i="70"/>
  <c r="F21" i="70"/>
  <c r="G21" i="70"/>
  <c r="C13" i="109"/>
  <c r="J12" i="7"/>
  <c r="F60" i="70"/>
  <c r="K60" i="65"/>
  <c r="D59" i="70"/>
  <c r="E59" i="70" s="1"/>
  <c r="E13" i="109"/>
  <c r="E13" i="65" s="1"/>
  <c r="P13" i="70" s="1"/>
  <c r="Q13" i="70" s="1"/>
  <c r="L31" i="70"/>
  <c r="F61" i="70"/>
  <c r="C14" i="65"/>
  <c r="O14" i="109"/>
  <c r="D42" i="109"/>
  <c r="C14" i="68"/>
  <c r="I10" i="47"/>
  <c r="C22" i="65"/>
  <c r="O22" i="109"/>
  <c r="D23" i="70"/>
  <c r="E23" i="70" s="1"/>
  <c r="K23" i="65"/>
  <c r="D50" i="70"/>
  <c r="E50" i="70" s="1"/>
  <c r="K51" i="65"/>
  <c r="D47" i="65"/>
  <c r="O47" i="109"/>
  <c r="D19" i="70"/>
  <c r="E19" i="70" s="1"/>
  <c r="K19" i="65"/>
  <c r="O15" i="109"/>
  <c r="C15" i="65"/>
  <c r="C64" i="65"/>
  <c r="O65" i="109"/>
  <c r="O18" i="109"/>
  <c r="C18" i="65"/>
  <c r="H64" i="70"/>
  <c r="F64" i="70"/>
  <c r="G64" i="70"/>
  <c r="O13" i="109" l="1"/>
  <c r="C13" i="65"/>
  <c r="F23" i="70"/>
  <c r="D22" i="70"/>
  <c r="E22" i="70" s="1"/>
  <c r="K22" i="65"/>
  <c r="R13" i="70"/>
  <c r="F59" i="70"/>
  <c r="F20" i="70"/>
  <c r="K64" i="65"/>
  <c r="D63" i="70"/>
  <c r="E63" i="70" s="1"/>
  <c r="K15" i="65"/>
  <c r="D15" i="70"/>
  <c r="E15" i="70" s="1"/>
  <c r="D42" i="65"/>
  <c r="O42" i="109"/>
  <c r="D18" i="70"/>
  <c r="E18" i="70" s="1"/>
  <c r="K18" i="65"/>
  <c r="K14" i="65"/>
  <c r="D14" i="70"/>
  <c r="E14" i="70" s="1"/>
  <c r="F19" i="70"/>
  <c r="J46" i="70"/>
  <c r="K46" i="70" s="1"/>
  <c r="K47" i="65"/>
  <c r="F50" i="70"/>
  <c r="F15" i="70" l="1"/>
  <c r="F18" i="70"/>
  <c r="F22" i="70"/>
  <c r="J41" i="70"/>
  <c r="K41" i="70" s="1"/>
  <c r="K42" i="65"/>
  <c r="L46" i="70"/>
  <c r="D13" i="70"/>
  <c r="E13" i="70" s="1"/>
  <c r="K13" i="65"/>
  <c r="F63" i="70"/>
  <c r="F14" i="70"/>
  <c r="G16" i="45"/>
  <c r="G17" i="45"/>
  <c r="H12" i="45"/>
  <c r="G12" i="45"/>
  <c r="G19" i="45"/>
  <c r="H29" i="45"/>
  <c r="G13" i="45"/>
  <c r="H26" i="45"/>
  <c r="H19" i="45"/>
  <c r="H17" i="45"/>
  <c r="H18" i="45"/>
  <c r="H16" i="45"/>
  <c r="G18" i="45"/>
  <c r="G26" i="45"/>
  <c r="G29" i="45"/>
  <c r="H13" i="45"/>
  <c r="L41" i="70" l="1"/>
  <c r="H11" i="45"/>
  <c r="J21" i="45"/>
  <c r="H22" i="45"/>
  <c r="I27" i="45"/>
  <c r="G27" i="45" s="1"/>
  <c r="G28" i="45"/>
  <c r="I14" i="45"/>
  <c r="G14" i="45" s="1"/>
  <c r="G15" i="45"/>
  <c r="D32" i="38"/>
  <c r="G10" i="42"/>
  <c r="F11" i="42"/>
  <c r="J14" i="45"/>
  <c r="H14" i="45" s="1"/>
  <c r="H15" i="45"/>
  <c r="J27" i="45"/>
  <c r="H27" i="45" s="1"/>
  <c r="H28" i="45"/>
  <c r="G11" i="45"/>
  <c r="F13" i="70"/>
  <c r="I21" i="45"/>
  <c r="G22" i="45"/>
  <c r="C41" i="11"/>
  <c r="F84" i="8" l="1"/>
  <c r="E84" i="8"/>
  <c r="G84" i="8"/>
  <c r="I20" i="45"/>
  <c r="G20" i="45" s="1"/>
  <c r="G21" i="45"/>
  <c r="J32" i="38"/>
  <c r="D34" i="109"/>
  <c r="C25" i="8"/>
  <c r="E33" i="8"/>
  <c r="G33" i="8"/>
  <c r="F33" i="8"/>
  <c r="F83" i="8"/>
  <c r="E83" i="8"/>
  <c r="G83" i="8"/>
  <c r="G56" i="8"/>
  <c r="E56" i="8"/>
  <c r="F56" i="8"/>
  <c r="C53" i="8"/>
  <c r="G54" i="8"/>
  <c r="E54" i="8"/>
  <c r="F54" i="8"/>
  <c r="C66" i="8"/>
  <c r="G88" i="8"/>
  <c r="E88" i="8"/>
  <c r="F88" i="8"/>
  <c r="I10" i="45"/>
  <c r="C32" i="8"/>
  <c r="C27" i="8"/>
  <c r="F35" i="8"/>
  <c r="E35" i="8"/>
  <c r="G35" i="8"/>
  <c r="C75" i="8"/>
  <c r="G76" i="8"/>
  <c r="F76" i="8"/>
  <c r="E76" i="8"/>
  <c r="J20" i="45"/>
  <c r="H20" i="45" s="1"/>
  <c r="H21" i="45"/>
  <c r="C21" i="8"/>
  <c r="E57" i="8"/>
  <c r="G57" i="8"/>
  <c r="F57" i="8"/>
  <c r="C30" i="8"/>
  <c r="E38" i="8"/>
  <c r="F38" i="8"/>
  <c r="G38" i="8"/>
  <c r="C62" i="8"/>
  <c r="F70" i="8"/>
  <c r="E70" i="8"/>
  <c r="G70" i="8"/>
  <c r="E77" i="8"/>
  <c r="G77" i="8"/>
  <c r="F77" i="8"/>
  <c r="J10" i="45"/>
  <c r="C68" i="8"/>
  <c r="C61" i="8"/>
  <c r="G69" i="8"/>
  <c r="F69" i="8"/>
  <c r="E69" i="8"/>
  <c r="C63" i="8"/>
  <c r="G71" i="8"/>
  <c r="E71" i="8"/>
  <c r="F71" i="8"/>
  <c r="C26" i="8"/>
  <c r="F34" i="8"/>
  <c r="G34" i="8"/>
  <c r="E34" i="8"/>
  <c r="C19" i="11"/>
  <c r="C20" i="11"/>
  <c r="C13" i="11" s="1"/>
  <c r="C62" i="11"/>
  <c r="C40" i="11"/>
  <c r="G58" i="11"/>
  <c r="F58" i="11"/>
  <c r="F48" i="11" l="1"/>
  <c r="I40" i="11"/>
  <c r="F40" i="11" s="1"/>
  <c r="E110" i="11"/>
  <c r="H94" i="11"/>
  <c r="H109" i="11"/>
  <c r="H108" i="11" s="1"/>
  <c r="C36" i="7" s="1"/>
  <c r="H18" i="11"/>
  <c r="H25" i="11"/>
  <c r="E26" i="11"/>
  <c r="G114" i="11"/>
  <c r="J99" i="11"/>
  <c r="G99" i="11" s="1"/>
  <c r="C39" i="11"/>
  <c r="C38" i="11" s="1"/>
  <c r="C46" i="11"/>
  <c r="E62" i="8"/>
  <c r="G62" i="8"/>
  <c r="F62" i="8"/>
  <c r="G66" i="8"/>
  <c r="E66" i="8"/>
  <c r="F66" i="8"/>
  <c r="J62" i="11"/>
  <c r="G62" i="11" s="1"/>
  <c r="G69" i="11"/>
  <c r="J66" i="11"/>
  <c r="J60" i="11"/>
  <c r="G67" i="11"/>
  <c r="F47" i="11"/>
  <c r="I46" i="11"/>
  <c r="I39" i="11"/>
  <c r="J44" i="11"/>
  <c r="G52" i="11"/>
  <c r="J53" i="11"/>
  <c r="G54" i="11"/>
  <c r="I109" i="11"/>
  <c r="I108" i="11" s="1"/>
  <c r="D36" i="7" s="1"/>
  <c r="D34" i="7" s="1"/>
  <c r="D17" i="109" s="1"/>
  <c r="D17" i="65" s="1"/>
  <c r="J17" i="70" s="1"/>
  <c r="K17" i="70" s="1"/>
  <c r="F110" i="11"/>
  <c r="I94" i="11"/>
  <c r="H66" i="11"/>
  <c r="E67" i="11"/>
  <c r="H60" i="11"/>
  <c r="C60" i="11"/>
  <c r="C59" i="11" s="1"/>
  <c r="C66" i="11"/>
  <c r="F85" i="8"/>
  <c r="G85" i="8"/>
  <c r="E85" i="8"/>
  <c r="J25" i="11"/>
  <c r="G26" i="11"/>
  <c r="J18" i="11"/>
  <c r="F26" i="11"/>
  <c r="I18" i="11"/>
  <c r="I25" i="11"/>
  <c r="I23" i="11"/>
  <c r="F31" i="11"/>
  <c r="C44" i="11"/>
  <c r="E44" i="11" s="1"/>
  <c r="E52" i="11"/>
  <c r="C60" i="8"/>
  <c r="G61" i="8"/>
  <c r="E61" i="8"/>
  <c r="F61" i="8"/>
  <c r="C18" i="8"/>
  <c r="C24" i="8"/>
  <c r="E25" i="8"/>
  <c r="G25" i="8"/>
  <c r="F25" i="8"/>
  <c r="H62" i="11"/>
  <c r="E62" i="11" s="1"/>
  <c r="E69" i="11"/>
  <c r="H20" i="11"/>
  <c r="E28" i="11"/>
  <c r="E48" i="11"/>
  <c r="H40" i="11"/>
  <c r="E40" i="11" s="1"/>
  <c r="C25" i="11"/>
  <c r="C18" i="11"/>
  <c r="C23" i="8"/>
  <c r="F30" i="8"/>
  <c r="E30" i="8"/>
  <c r="G30" i="8"/>
  <c r="O34" i="109"/>
  <c r="D34" i="65"/>
  <c r="G48" i="11"/>
  <c r="J40" i="11"/>
  <c r="G40" i="11" s="1"/>
  <c r="E44" i="38"/>
  <c r="H10" i="45"/>
  <c r="F27" i="11"/>
  <c r="I19" i="11"/>
  <c r="I44" i="11"/>
  <c r="F44" i="11" s="1"/>
  <c r="F52" i="11"/>
  <c r="H41" i="11"/>
  <c r="E41" i="11" s="1"/>
  <c r="E49" i="11"/>
  <c r="I99" i="11"/>
  <c r="F99" i="11" s="1"/>
  <c r="F114" i="11"/>
  <c r="C19" i="8"/>
  <c r="F26" i="8"/>
  <c r="G26" i="8"/>
  <c r="E26" i="8"/>
  <c r="C20" i="8"/>
  <c r="F27" i="8"/>
  <c r="E27" i="8"/>
  <c r="G27" i="8"/>
  <c r="J23" i="11"/>
  <c r="G31" i="11"/>
  <c r="C23" i="11"/>
  <c r="E31" i="11"/>
  <c r="E54" i="11"/>
  <c r="H53" i="11"/>
  <c r="I66" i="11"/>
  <c r="I60" i="11"/>
  <c r="F67" i="11"/>
  <c r="C14" i="8"/>
  <c r="G21" i="8"/>
  <c r="E21" i="8"/>
  <c r="F21" i="8"/>
  <c r="D44" i="38"/>
  <c r="G10" i="45"/>
  <c r="E47" i="11"/>
  <c r="H39" i="11"/>
  <c r="H46" i="11"/>
  <c r="I41" i="11"/>
  <c r="F41" i="11" s="1"/>
  <c r="F49" i="11"/>
  <c r="J19" i="11"/>
  <c r="G27" i="11"/>
  <c r="J20" i="11"/>
  <c r="G28" i="11"/>
  <c r="G63" i="8"/>
  <c r="F63" i="8"/>
  <c r="E63" i="8"/>
  <c r="E27" i="11"/>
  <c r="H19" i="11"/>
  <c r="J41" i="11"/>
  <c r="G41" i="11" s="1"/>
  <c r="G49" i="11"/>
  <c r="F28" i="11"/>
  <c r="I20" i="11"/>
  <c r="J94" i="11"/>
  <c r="J109" i="11"/>
  <c r="J108" i="11" s="1"/>
  <c r="E36" i="7" s="1"/>
  <c r="E34" i="7" s="1"/>
  <c r="E17" i="109" s="1"/>
  <c r="E17" i="65" s="1"/>
  <c r="P17" i="70" s="1"/>
  <c r="Q17" i="70" s="1"/>
  <c r="G110" i="11"/>
  <c r="I53" i="11"/>
  <c r="F54" i="11"/>
  <c r="J46" i="11"/>
  <c r="G47" i="11"/>
  <c r="J39" i="11"/>
  <c r="F69" i="11"/>
  <c r="I62" i="11"/>
  <c r="F62" i="11" s="1"/>
  <c r="C12" i="11"/>
  <c r="G78" i="8"/>
  <c r="F78" i="8"/>
  <c r="E78" i="8"/>
  <c r="C82" i="8"/>
  <c r="H20" i="47"/>
  <c r="M46" i="109" s="1"/>
  <c r="F20" i="47"/>
  <c r="K46" i="109" s="1"/>
  <c r="G17" i="47"/>
  <c r="L45" i="109" s="1"/>
  <c r="G20" i="47"/>
  <c r="L46" i="109" s="1"/>
  <c r="H14" i="47"/>
  <c r="M44" i="109" s="1"/>
  <c r="N27" i="22"/>
  <c r="M16" i="22"/>
  <c r="F14" i="47"/>
  <c r="K44" i="109" s="1"/>
  <c r="F34" i="7"/>
  <c r="K17" i="109" s="1"/>
  <c r="M35" i="22"/>
  <c r="M26" i="109" s="1"/>
  <c r="G34" i="7"/>
  <c r="L17" i="109" s="1"/>
  <c r="H23" i="47"/>
  <c r="M47" i="109" s="1"/>
  <c r="H42" i="7"/>
  <c r="F30" i="7"/>
  <c r="K16" i="109" s="1"/>
  <c r="F12" i="7"/>
  <c r="H11" i="1"/>
  <c r="F23" i="47"/>
  <c r="K47" i="109" s="1"/>
  <c r="G14" i="47"/>
  <c r="L44" i="109" s="1"/>
  <c r="K27" i="22"/>
  <c r="I30" i="7"/>
  <c r="N16" i="109" s="1"/>
  <c r="I34" i="7"/>
  <c r="N17" i="109" s="1"/>
  <c r="G23" i="47"/>
  <c r="L47" i="109" s="1"/>
  <c r="M57" i="22"/>
  <c r="M30" i="109" s="1"/>
  <c r="H30" i="7"/>
  <c r="M16" i="109" s="1"/>
  <c r="H34" i="7"/>
  <c r="M17" i="109" s="1"/>
  <c r="H12" i="7"/>
  <c r="D37" i="109" l="1"/>
  <c r="J44" i="38"/>
  <c r="D10" i="38"/>
  <c r="I16" i="11"/>
  <c r="F23" i="11"/>
  <c r="H59" i="11"/>
  <c r="C33" i="7" s="1"/>
  <c r="J33" i="7" s="1"/>
  <c r="E60" i="11"/>
  <c r="K10" i="22"/>
  <c r="K25" i="109"/>
  <c r="H11" i="47"/>
  <c r="H21" i="1"/>
  <c r="M55" i="109" s="1"/>
  <c r="G16" i="7"/>
  <c r="L14" i="109" s="1"/>
  <c r="G23" i="11"/>
  <c r="J16" i="11"/>
  <c r="M52" i="109"/>
  <c r="H10" i="1"/>
  <c r="G24" i="7"/>
  <c r="L15" i="109" s="1"/>
  <c r="M24" i="109"/>
  <c r="M10" i="22"/>
  <c r="F18" i="11"/>
  <c r="I17" i="11"/>
  <c r="D31" i="7" s="1"/>
  <c r="I11" i="11"/>
  <c r="G60" i="11"/>
  <c r="J59" i="11"/>
  <c r="E33" i="7" s="1"/>
  <c r="I12" i="7"/>
  <c r="R17" i="70"/>
  <c r="J13" i="11"/>
  <c r="G20" i="11"/>
  <c r="E23" i="8"/>
  <c r="F23" i="8"/>
  <c r="G23" i="8"/>
  <c r="F94" i="11"/>
  <c r="I93" i="11"/>
  <c r="M13" i="109"/>
  <c r="J93" i="11"/>
  <c r="G94" i="11"/>
  <c r="F13" i="13"/>
  <c r="H13" i="13" s="1"/>
  <c r="G14" i="8"/>
  <c r="E14" i="8"/>
  <c r="F14" i="8"/>
  <c r="F19" i="11"/>
  <c r="I12" i="11"/>
  <c r="C11" i="11"/>
  <c r="C17" i="11"/>
  <c r="C17" i="8"/>
  <c r="E18" i="8"/>
  <c r="G18" i="8"/>
  <c r="F18" i="8"/>
  <c r="J11" i="11"/>
  <c r="J17" i="11"/>
  <c r="E31" i="7" s="1"/>
  <c r="E30" i="7" s="1"/>
  <c r="G18" i="11"/>
  <c r="K13" i="109"/>
  <c r="N10" i="22"/>
  <c r="N22" i="109" s="1"/>
  <c r="N25" i="109"/>
  <c r="F20" i="11"/>
  <c r="I13" i="11"/>
  <c r="J12" i="11"/>
  <c r="G19" i="11"/>
  <c r="F20" i="8"/>
  <c r="E20" i="8"/>
  <c r="G20" i="8"/>
  <c r="L17" i="70"/>
  <c r="F16" i="7"/>
  <c r="K14" i="109" s="1"/>
  <c r="F17" i="47"/>
  <c r="K45" i="109" s="1"/>
  <c r="M27" i="22"/>
  <c r="M25" i="109" s="1"/>
  <c r="G42" i="7"/>
  <c r="I59" i="11"/>
  <c r="D33" i="7" s="1"/>
  <c r="F60" i="11"/>
  <c r="H11" i="11"/>
  <c r="E18" i="11"/>
  <c r="H17" i="11"/>
  <c r="C31" i="7" s="1"/>
  <c r="M20" i="109"/>
  <c r="H37" i="7"/>
  <c r="M18" i="109" s="1"/>
  <c r="F10" i="38"/>
  <c r="K37" i="109"/>
  <c r="E37" i="109"/>
  <c r="E37" i="65" s="1"/>
  <c r="P36" i="70" s="1"/>
  <c r="Q36" i="70" s="1"/>
  <c r="E10" i="38"/>
  <c r="E31" i="109" s="1"/>
  <c r="E31" i="65" s="1"/>
  <c r="P30" i="70" s="1"/>
  <c r="Q30" i="70" s="1"/>
  <c r="J36" i="7"/>
  <c r="C34" i="7"/>
  <c r="G10" i="38"/>
  <c r="L37" i="109"/>
  <c r="H24" i="7"/>
  <c r="M15" i="109" s="1"/>
  <c r="H93" i="11"/>
  <c r="E94" i="11"/>
  <c r="I24" i="7"/>
  <c r="N15" i="109" s="1"/>
  <c r="G30" i="7"/>
  <c r="L16" i="109" s="1"/>
  <c r="F24" i="7"/>
  <c r="K15" i="109" s="1"/>
  <c r="G11" i="47"/>
  <c r="J38" i="11"/>
  <c r="E32" i="7" s="1"/>
  <c r="G39" i="11"/>
  <c r="E19" i="11"/>
  <c r="H12" i="11"/>
  <c r="E39" i="11"/>
  <c r="H38" i="11"/>
  <c r="C32" i="7" s="1"/>
  <c r="G19" i="8"/>
  <c r="F19" i="8"/>
  <c r="E19" i="8"/>
  <c r="H13" i="11"/>
  <c r="E20" i="11"/>
  <c r="G44" i="11"/>
  <c r="L27" i="22"/>
  <c r="M37" i="109"/>
  <c r="H10" i="38"/>
  <c r="H16" i="7"/>
  <c r="M14" i="109" s="1"/>
  <c r="H17" i="47"/>
  <c r="M45" i="109" s="1"/>
  <c r="F11" i="47"/>
  <c r="J33" i="70"/>
  <c r="K33" i="70" s="1"/>
  <c r="K34" i="65"/>
  <c r="I38" i="11"/>
  <c r="D32" i="7" s="1"/>
  <c r="F39" i="11"/>
  <c r="F42" i="7"/>
  <c r="G12" i="7"/>
  <c r="I16" i="7"/>
  <c r="N14" i="109" s="1"/>
  <c r="C16" i="11"/>
  <c r="E16" i="11" s="1"/>
  <c r="E23" i="11"/>
  <c r="C13" i="9" l="1"/>
  <c r="G20" i="9"/>
  <c r="E20" i="9"/>
  <c r="F20" i="9"/>
  <c r="C12" i="9"/>
  <c r="F19" i="9"/>
  <c r="G19" i="9"/>
  <c r="E19" i="9"/>
  <c r="C119" i="9"/>
  <c r="C118" i="9" s="1"/>
  <c r="E120" i="9"/>
  <c r="F120" i="9"/>
  <c r="G120" i="9"/>
  <c r="G44" i="9"/>
  <c r="F44" i="9"/>
  <c r="E44" i="9"/>
  <c r="F37" i="7"/>
  <c r="K18" i="109" s="1"/>
  <c r="K20" i="109"/>
  <c r="L43" i="109"/>
  <c r="G10" i="47"/>
  <c r="R36" i="70"/>
  <c r="G33" i="9"/>
  <c r="E33" i="9"/>
  <c r="F33" i="9"/>
  <c r="E83" i="9"/>
  <c r="F83" i="9"/>
  <c r="G83" i="9"/>
  <c r="E41" i="9"/>
  <c r="F41" i="9"/>
  <c r="G41" i="9"/>
  <c r="G125" i="9"/>
  <c r="F125" i="9"/>
  <c r="E125" i="9"/>
  <c r="C65" i="9"/>
  <c r="F73" i="9"/>
  <c r="G73" i="9"/>
  <c r="E73" i="9"/>
  <c r="G87" i="9"/>
  <c r="F87" i="9"/>
  <c r="E87" i="9"/>
  <c r="C62" i="9"/>
  <c r="G70" i="9"/>
  <c r="E70" i="9"/>
  <c r="F70" i="9"/>
  <c r="E34" i="9"/>
  <c r="G34" i="9"/>
  <c r="F34" i="9"/>
  <c r="G47" i="9"/>
  <c r="E47" i="9"/>
  <c r="F47" i="9"/>
  <c r="E13" i="11"/>
  <c r="H13" i="8"/>
  <c r="C10" i="11"/>
  <c r="F13" i="68"/>
  <c r="K31" i="109"/>
  <c r="F11" i="7"/>
  <c r="F12" i="11"/>
  <c r="I12" i="8"/>
  <c r="I10" i="11"/>
  <c r="F11" i="11"/>
  <c r="I11" i="8"/>
  <c r="M43" i="109"/>
  <c r="H10" i="47"/>
  <c r="C60" i="9"/>
  <c r="C67" i="9"/>
  <c r="F68" i="9"/>
  <c r="G68" i="9"/>
  <c r="E68" i="9"/>
  <c r="C102" i="9"/>
  <c r="E103" i="9"/>
  <c r="F103" i="9"/>
  <c r="G103" i="9"/>
  <c r="F55" i="9"/>
  <c r="G55" i="9"/>
  <c r="E55" i="9"/>
  <c r="F101" i="9"/>
  <c r="G101" i="9"/>
  <c r="E101" i="9"/>
  <c r="G26" i="9"/>
  <c r="F26" i="9"/>
  <c r="E26" i="9"/>
  <c r="G51" i="9"/>
  <c r="E51" i="9"/>
  <c r="F51" i="9"/>
  <c r="E105" i="9"/>
  <c r="F105" i="9"/>
  <c r="G105" i="9"/>
  <c r="G30" i="9"/>
  <c r="E30" i="9"/>
  <c r="F30" i="9"/>
  <c r="E104" i="9"/>
  <c r="G104" i="9"/>
  <c r="F104" i="9"/>
  <c r="F122" i="9"/>
  <c r="E122" i="9"/>
  <c r="G122" i="9"/>
  <c r="D30" i="7"/>
  <c r="F12" i="68"/>
  <c r="K22" i="109"/>
  <c r="C16" i="9"/>
  <c r="G23" i="9"/>
  <c r="F23" i="9"/>
  <c r="E23" i="9"/>
  <c r="G58" i="9"/>
  <c r="F58" i="9"/>
  <c r="E58" i="9"/>
  <c r="L33" i="70"/>
  <c r="G54" i="9"/>
  <c r="F54" i="9"/>
  <c r="E54" i="9"/>
  <c r="C61" i="9"/>
  <c r="E69" i="9"/>
  <c r="F69" i="9"/>
  <c r="G69" i="9"/>
  <c r="C38" i="9"/>
  <c r="F39" i="9"/>
  <c r="E39" i="9"/>
  <c r="G39" i="9"/>
  <c r="F10" i="47"/>
  <c r="K43" i="109"/>
  <c r="J31" i="7"/>
  <c r="C30" i="7"/>
  <c r="E16" i="109"/>
  <c r="E16" i="65" s="1"/>
  <c r="P16" i="70" s="1"/>
  <c r="Q16" i="70" s="1"/>
  <c r="E11" i="7"/>
  <c r="E12" i="68"/>
  <c r="M22" i="109"/>
  <c r="C11" i="9"/>
  <c r="C17" i="9"/>
  <c r="G18" i="9"/>
  <c r="E18" i="9"/>
  <c r="F18" i="9"/>
  <c r="C45" i="9"/>
  <c r="G46" i="9"/>
  <c r="E46" i="9"/>
  <c r="F46" i="9"/>
  <c r="F37" i="9"/>
  <c r="G37" i="9"/>
  <c r="E37" i="9"/>
  <c r="J32" i="7"/>
  <c r="J10" i="11"/>
  <c r="G11" i="11"/>
  <c r="J11" i="8"/>
  <c r="G13" i="11"/>
  <c r="J13" i="8"/>
  <c r="C95" i="9"/>
  <c r="G96" i="9"/>
  <c r="E96" i="9"/>
  <c r="F96" i="9"/>
  <c r="G40" i="9"/>
  <c r="F40" i="9"/>
  <c r="E40" i="9"/>
  <c r="H10" i="11"/>
  <c r="E11" i="11"/>
  <c r="H11" i="8"/>
  <c r="E27" i="9"/>
  <c r="G27" i="9"/>
  <c r="F27" i="9"/>
  <c r="G98" i="9"/>
  <c r="F98" i="9"/>
  <c r="E98" i="9"/>
  <c r="C52" i="9"/>
  <c r="F53" i="9"/>
  <c r="G53" i="9"/>
  <c r="E53" i="9"/>
  <c r="E13" i="68"/>
  <c r="M31" i="109"/>
  <c r="E12" i="11"/>
  <c r="H12" i="8"/>
  <c r="D13" i="68"/>
  <c r="L31" i="109"/>
  <c r="E15" i="68"/>
  <c r="M51" i="109"/>
  <c r="F16" i="11"/>
  <c r="I16" i="8"/>
  <c r="J34" i="7"/>
  <c r="C17" i="109"/>
  <c r="G12" i="11"/>
  <c r="J12" i="8"/>
  <c r="C13" i="68"/>
  <c r="D31" i="109"/>
  <c r="J10" i="38"/>
  <c r="E121" i="9"/>
  <c r="G121" i="9"/>
  <c r="F121" i="9"/>
  <c r="E48" i="9"/>
  <c r="G48" i="9"/>
  <c r="F48" i="9"/>
  <c r="C81" i="9"/>
  <c r="F82" i="9"/>
  <c r="E82" i="9"/>
  <c r="G82" i="9"/>
  <c r="L25" i="109"/>
  <c r="L10" i="22"/>
  <c r="G37" i="7"/>
  <c r="L18" i="109" s="1"/>
  <c r="L20" i="109"/>
  <c r="F13" i="11"/>
  <c r="I13" i="8"/>
  <c r="G16" i="11"/>
  <c r="J16" i="8"/>
  <c r="C24" i="9"/>
  <c r="F25" i="9"/>
  <c r="G25" i="9"/>
  <c r="E25" i="9"/>
  <c r="E84" i="9"/>
  <c r="G84" i="9"/>
  <c r="F84" i="9"/>
  <c r="C31" i="9"/>
  <c r="G32" i="9"/>
  <c r="E32" i="9"/>
  <c r="F32" i="9"/>
  <c r="L13" i="109"/>
  <c r="G11" i="7"/>
  <c r="R30" i="70"/>
  <c r="H11" i="7"/>
  <c r="N13" i="109"/>
  <c r="I11" i="7"/>
  <c r="D37" i="65"/>
  <c r="O37" i="109"/>
  <c r="K37" i="65" l="1"/>
  <c r="J36" i="70"/>
  <c r="K36" i="70" s="1"/>
  <c r="D31" i="65"/>
  <c r="O31" i="109"/>
  <c r="G11" i="13"/>
  <c r="I11" i="13" s="1"/>
  <c r="G10" i="7"/>
  <c r="L12" i="109"/>
  <c r="C17" i="65"/>
  <c r="O17" i="109"/>
  <c r="G65" i="9"/>
  <c r="F65" i="9"/>
  <c r="E65" i="9"/>
  <c r="C10" i="9"/>
  <c r="G11" i="9"/>
  <c r="F11" i="9"/>
  <c r="E11" i="9"/>
  <c r="C11" i="8"/>
  <c r="F10" i="7"/>
  <c r="K12" i="109"/>
  <c r="E10" i="7"/>
  <c r="E11" i="109" s="1"/>
  <c r="E12" i="109"/>
  <c r="E12" i="65" s="1"/>
  <c r="P12" i="70" s="1"/>
  <c r="Q12" i="70" s="1"/>
  <c r="D14" i="68"/>
  <c r="L42" i="109"/>
  <c r="R16" i="70"/>
  <c r="E61" i="9"/>
  <c r="F61" i="9"/>
  <c r="G61" i="9"/>
  <c r="F62" i="9"/>
  <c r="G62" i="9"/>
  <c r="E62" i="9"/>
  <c r="N12" i="109"/>
  <c r="I10" i="7"/>
  <c r="N11" i="109" s="1"/>
  <c r="N10" i="109" s="1"/>
  <c r="C16" i="109"/>
  <c r="J30" i="7"/>
  <c r="C11" i="7"/>
  <c r="G16" i="9"/>
  <c r="E16" i="9"/>
  <c r="F16" i="9"/>
  <c r="C16" i="8"/>
  <c r="E16" i="8" s="1"/>
  <c r="C59" i="9"/>
  <c r="E60" i="9"/>
  <c r="F60" i="9"/>
  <c r="G60" i="9"/>
  <c r="G12" i="13"/>
  <c r="I12" i="13" s="1"/>
  <c r="G12" i="9"/>
  <c r="F12" i="9"/>
  <c r="E12" i="9"/>
  <c r="C12" i="8"/>
  <c r="F11" i="13" s="1"/>
  <c r="H11" i="13" s="1"/>
  <c r="L22" i="109"/>
  <c r="D12" i="68"/>
  <c r="E14" i="68"/>
  <c r="M42" i="109"/>
  <c r="M12" i="109"/>
  <c r="H10" i="7"/>
  <c r="K42" i="109"/>
  <c r="F14" i="68"/>
  <c r="D16" i="109"/>
  <c r="D16" i="65" s="1"/>
  <c r="J16" i="70" s="1"/>
  <c r="K16" i="70" s="1"/>
  <c r="D11" i="7"/>
  <c r="I10" i="8"/>
  <c r="F11" i="8"/>
  <c r="G10" i="13"/>
  <c r="H10" i="8"/>
  <c r="J10" i="8"/>
  <c r="G11" i="8"/>
  <c r="C13" i="8"/>
  <c r="F12" i="13" s="1"/>
  <c r="H12" i="13" s="1"/>
  <c r="G13" i="9"/>
  <c r="F13" i="9"/>
  <c r="E13" i="9"/>
  <c r="E11" i="68" l="1"/>
  <c r="E10" i="68" s="1"/>
  <c r="M11" i="109"/>
  <c r="M10" i="109" s="1"/>
  <c r="G15" i="13"/>
  <c r="I15" i="13" s="1"/>
  <c r="I10" i="13"/>
  <c r="K11" i="109"/>
  <c r="K10" i="109" s="1"/>
  <c r="F11" i="68"/>
  <c r="F10" i="68" s="1"/>
  <c r="K17" i="65"/>
  <c r="D17" i="70"/>
  <c r="E17" i="70" s="1"/>
  <c r="G16" i="8"/>
  <c r="F16" i="8"/>
  <c r="F10" i="13"/>
  <c r="C10" i="8"/>
  <c r="D11" i="68"/>
  <c r="D10" i="68" s="1"/>
  <c r="L11" i="109"/>
  <c r="L10" i="109" s="1"/>
  <c r="D10" i="7"/>
  <c r="D12" i="109"/>
  <c r="D12" i="65" s="1"/>
  <c r="J12" i="70" s="1"/>
  <c r="K12" i="70" s="1"/>
  <c r="G13" i="8"/>
  <c r="L16" i="70"/>
  <c r="C10" i="7"/>
  <c r="J11" i="7"/>
  <c r="C12" i="109"/>
  <c r="E12" i="8"/>
  <c r="E13" i="8"/>
  <c r="O16" i="109"/>
  <c r="C16" i="65"/>
  <c r="J30" i="70"/>
  <c r="K30" i="70" s="1"/>
  <c r="K31" i="65"/>
  <c r="R12" i="70"/>
  <c r="L36" i="70"/>
  <c r="E10" i="109"/>
  <c r="E10" i="65" s="1"/>
  <c r="E11" i="65"/>
  <c r="P11" i="70" s="1"/>
  <c r="E11" i="8"/>
  <c r="F13" i="8"/>
  <c r="F12" i="8"/>
  <c r="G12" i="8"/>
  <c r="O12" i="109" l="1"/>
  <c r="C12" i="65"/>
  <c r="F15" i="13"/>
  <c r="H15" i="13" s="1"/>
  <c r="H10" i="13"/>
  <c r="J10" i="7"/>
  <c r="C11" i="109"/>
  <c r="F17" i="70"/>
  <c r="L30" i="70"/>
  <c r="L12" i="70"/>
  <c r="K16" i="65"/>
  <c r="D16" i="70"/>
  <c r="E16" i="70" s="1"/>
  <c r="C11" i="68"/>
  <c r="C10" i="68" s="1"/>
  <c r="D11" i="109"/>
  <c r="Q11" i="70"/>
  <c r="P10" i="70"/>
  <c r="Q10" i="70" s="1"/>
  <c r="D10" i="109" l="1"/>
  <c r="D10" i="65" s="1"/>
  <c r="D11" i="65"/>
  <c r="J11" i="70" s="1"/>
  <c r="C11" i="65"/>
  <c r="C10" i="109"/>
  <c r="O11" i="109"/>
  <c r="R10" i="70"/>
  <c r="R11" i="70"/>
  <c r="F16" i="70"/>
  <c r="K12" i="65"/>
  <c r="D12" i="70"/>
  <c r="E12" i="70" s="1"/>
  <c r="F12" i="70" l="1"/>
  <c r="J10" i="70"/>
  <c r="K10" i="70" s="1"/>
  <c r="K11" i="70"/>
  <c r="C10" i="65"/>
  <c r="K10" i="65" s="1"/>
  <c r="O10" i="109"/>
  <c r="K11" i="65"/>
  <c r="D11" i="70"/>
  <c r="E11" i="70" l="1"/>
  <c r="D10" i="70"/>
  <c r="K72" i="65"/>
  <c r="K71" i="65"/>
  <c r="L11" i="70"/>
  <c r="L10" i="70"/>
  <c r="G34" i="73" l="1"/>
  <c r="E10" i="70"/>
  <c r="F11" i="70"/>
  <c r="H11" i="70"/>
  <c r="F10" i="70" l="1"/>
  <c r="H10" i="70"/>
  <c r="I34" i="73"/>
  <c r="J34" i="73" s="1"/>
  <c r="G35" i="73"/>
  <c r="T49" i="70"/>
  <c r="H45" i="70"/>
  <c r="H23" i="73"/>
  <c r="T44" i="70"/>
  <c r="H24" i="73"/>
  <c r="H25" i="73"/>
  <c r="H22" i="73"/>
  <c r="H21" i="73"/>
  <c r="H46" i="70"/>
  <c r="N42" i="70"/>
  <c r="T43" i="70"/>
  <c r="T45" i="70"/>
  <c r="H65" i="70"/>
  <c r="T42" i="70"/>
  <c r="H49" i="70"/>
  <c r="N43" i="70"/>
  <c r="H44" i="70"/>
  <c r="N51" i="70"/>
  <c r="T54" i="70"/>
  <c r="H42" i="70"/>
  <c r="H48" i="70"/>
  <c r="T52" i="70"/>
  <c r="N44" i="70"/>
  <c r="N45" i="70"/>
  <c r="T50" i="70"/>
  <c r="H43" i="70"/>
  <c r="H38" i="70"/>
  <c r="N50" i="70"/>
  <c r="N54" i="70"/>
  <c r="T25" i="70"/>
  <c r="Z28" i="73"/>
  <c r="Z27" i="73"/>
  <c r="N25" i="70"/>
  <c r="T19" i="70"/>
  <c r="H41" i="70"/>
  <c r="H37" i="70"/>
  <c r="T20" i="70"/>
  <c r="N52" i="70"/>
  <c r="T61" i="70"/>
  <c r="N15" i="70"/>
  <c r="N61" i="70"/>
  <c r="T15" i="70"/>
  <c r="T59" i="70"/>
  <c r="Z10" i="73"/>
  <c r="T14" i="70"/>
  <c r="H30" i="70"/>
  <c r="T24" i="70"/>
  <c r="T18" i="70"/>
  <c r="H24" i="70"/>
  <c r="T60" i="70"/>
  <c r="N19" i="70"/>
  <c r="T22" i="70"/>
  <c r="T46" i="70"/>
  <c r="N14" i="70"/>
  <c r="N60" i="70"/>
  <c r="N59" i="70"/>
  <c r="T34" i="70"/>
  <c r="H25" i="70"/>
  <c r="H29" i="70"/>
  <c r="T41" i="70"/>
  <c r="N24" i="70"/>
  <c r="H26" i="70"/>
  <c r="N18" i="70"/>
  <c r="N13" i="73"/>
  <c r="H10" i="73"/>
  <c r="N20" i="70"/>
  <c r="N22" i="70"/>
  <c r="N10" i="73"/>
  <c r="N13" i="70"/>
  <c r="T32" i="70"/>
  <c r="H61" i="70"/>
  <c r="N32" i="70"/>
  <c r="H60" i="70"/>
  <c r="H53" i="70"/>
  <c r="N31" i="70"/>
  <c r="H20" i="70"/>
  <c r="H23" i="70"/>
  <c r="H19" i="70"/>
  <c r="H50" i="70"/>
  <c r="H59" i="70"/>
  <c r="T13" i="70"/>
  <c r="N46" i="70"/>
  <c r="H15" i="70"/>
  <c r="H18" i="70"/>
  <c r="H63" i="70"/>
  <c r="H22" i="70"/>
  <c r="H14" i="70"/>
  <c r="N41" i="70"/>
  <c r="H13" i="70"/>
  <c r="T17" i="70"/>
  <c r="N17" i="70"/>
  <c r="N33" i="70"/>
  <c r="T36" i="70"/>
  <c r="T30" i="70"/>
  <c r="T16" i="70"/>
  <c r="N36" i="70"/>
  <c r="T12" i="70"/>
  <c r="N16" i="70"/>
  <c r="N12" i="70"/>
  <c r="N30" i="70"/>
  <c r="H17" i="70"/>
  <c r="H16" i="70"/>
  <c r="T10" i="70"/>
  <c r="T11" i="70"/>
  <c r="H12" i="70"/>
  <c r="N10" i="70"/>
  <c r="N11" i="70"/>
  <c r="I35" i="73" l="1"/>
  <c r="J35" i="73" s="1"/>
  <c r="G24" i="73"/>
  <c r="G23" i="73"/>
  <c r="G25" i="73"/>
  <c r="G22" i="73"/>
  <c r="G21" i="73"/>
  <c r="G65" i="70"/>
  <c r="M51" i="70"/>
  <c r="S54" i="70"/>
  <c r="S52" i="70"/>
  <c r="S50" i="70"/>
  <c r="G38" i="70"/>
  <c r="S25" i="70"/>
  <c r="S20" i="70"/>
  <c r="Y28" i="73"/>
  <c r="Y27" i="73"/>
  <c r="M25" i="70"/>
  <c r="M50" i="70"/>
  <c r="S19" i="70"/>
  <c r="G37" i="70"/>
  <c r="M54" i="70"/>
  <c r="M19" i="70"/>
  <c r="S22" i="70"/>
  <c r="S15" i="70"/>
  <c r="S59" i="70"/>
  <c r="M15" i="70"/>
  <c r="M61" i="70"/>
  <c r="Y10" i="73"/>
  <c r="S24" i="70"/>
  <c r="S14" i="70"/>
  <c r="M52" i="70"/>
  <c r="S18" i="70"/>
  <c r="S61" i="70"/>
  <c r="G30" i="70"/>
  <c r="S60" i="70"/>
  <c r="G24" i="70"/>
  <c r="M59" i="70"/>
  <c r="M14" i="70"/>
  <c r="G25" i="70"/>
  <c r="S34" i="70"/>
  <c r="M60" i="70"/>
  <c r="G29" i="70"/>
  <c r="G10" i="73"/>
  <c r="S32" i="70"/>
  <c r="M24" i="70"/>
  <c r="M18" i="70"/>
  <c r="G26" i="70"/>
  <c r="M13" i="70"/>
  <c r="M20" i="70"/>
  <c r="M22" i="70"/>
  <c r="M10" i="73"/>
  <c r="M13" i="73"/>
  <c r="M32" i="70"/>
  <c r="G61" i="70"/>
  <c r="G60" i="70"/>
  <c r="G53" i="70"/>
  <c r="M31" i="70"/>
  <c r="G59" i="70"/>
  <c r="G50" i="70"/>
  <c r="G19" i="70"/>
  <c r="G20" i="70"/>
  <c r="G23" i="70"/>
  <c r="S13" i="70"/>
  <c r="G15" i="70"/>
  <c r="G18" i="70"/>
  <c r="G63" i="70"/>
  <c r="G22" i="70"/>
  <c r="G14" i="70"/>
  <c r="G13" i="70"/>
  <c r="S17" i="70"/>
  <c r="M17" i="70"/>
  <c r="M33" i="70"/>
  <c r="S30" i="70"/>
  <c r="S36" i="70"/>
  <c r="S16" i="70"/>
  <c r="M16" i="70"/>
  <c r="S12" i="70"/>
  <c r="M36" i="70"/>
  <c r="M12" i="70"/>
  <c r="M30" i="70"/>
  <c r="G17" i="70"/>
  <c r="G16" i="70"/>
  <c r="S10" i="70"/>
  <c r="S11" i="70"/>
  <c r="G12" i="70"/>
  <c r="M11" i="70"/>
  <c r="M10" i="70"/>
  <c r="G11" i="70"/>
  <c r="G10" i="70"/>
</calcChain>
</file>

<file path=xl/sharedStrings.xml><?xml version="1.0" encoding="utf-8"?>
<sst xmlns="http://schemas.openxmlformats.org/spreadsheetml/2006/main" count="19223" uniqueCount="2462">
  <si>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</si>
  <si>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</si>
  <si>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</si>
  <si>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</si>
  <si>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</si>
  <si>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</si>
  <si>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</si>
  <si>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</si>
  <si>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</si>
  <si>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</si>
  <si>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</si>
  <si>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</si>
  <si>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</si>
  <si>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</si>
  <si>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</si>
  <si>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</si>
  <si>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</si>
  <si>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</si>
  <si>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</si>
  <si>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</si>
  <si>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</si>
  <si>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</si>
  <si>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</si>
  <si>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</si>
  <si>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</si>
  <si>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</si>
  <si>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</si>
  <si>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</si>
  <si>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</si>
  <si>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</si>
  <si>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</si>
  <si>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</si>
  <si>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</si>
  <si>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</si>
  <si>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</si>
  <si>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</si>
  <si>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</si>
  <si>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</si>
  <si>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</si>
  <si>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</si>
  <si>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</si>
  <si>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</si>
  <si>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</si>
  <si>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</si>
  <si>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</si>
  <si>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</si>
  <si>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</si>
  <si>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</si>
  <si>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</si>
  <si>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</si>
  <si>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</si>
  <si>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</si>
  <si>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</si>
  <si>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</si>
  <si>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</si>
  <si>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</si>
  <si>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</si>
  <si>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</si>
  <si>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</si>
  <si>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</si>
  <si>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</si>
  <si>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</si>
  <si>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</si>
  <si>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</si>
  <si>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</si>
  <si>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</si>
  <si>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</si>
  <si>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</si>
  <si>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</si>
  <si>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</si>
  <si>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</si>
  <si>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</si>
  <si>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</si>
  <si>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</si>
  <si>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</si>
  <si>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</si>
  <si>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</si>
  <si>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</si>
  <si>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</si>
  <si>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</si>
  <si>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</si>
  <si>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</si>
  <si>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</si>
  <si>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</si>
  <si>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</si>
  <si>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</si>
  <si>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</si>
  <si>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</si>
  <si>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</si>
  <si>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</si>
  <si>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</si>
  <si>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</si>
  <si>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</si>
  <si>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</si>
  <si>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</si>
  <si>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</si>
  <si>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</si>
  <si>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</si>
  <si>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</si>
  <si>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</si>
  <si>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</si>
  <si>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</si>
  <si>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</si>
  <si>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</si>
  <si>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</si>
  <si>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</si>
  <si>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</si>
  <si>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</si>
  <si>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</si>
  <si>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</si>
  <si>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</si>
  <si>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</si>
  <si>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</si>
  <si>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</si>
  <si>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</si>
  <si>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</si>
  <si>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</si>
  <si>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</si>
  <si>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</si>
  <si>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</si>
  <si>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</si>
  <si>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</si>
  <si>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</si>
  <si>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</si>
  <si>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</si>
  <si>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</si>
  <si>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</si>
  <si>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</si>
  <si>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</si>
  <si>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</si>
  <si>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</si>
  <si>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</si>
  <si>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</si>
  <si>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</si>
  <si>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</si>
  <si>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</si>
  <si>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</si>
  <si>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</si>
  <si>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</si>
  <si>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</si>
  <si>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</si>
  <si>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</si>
  <si>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</si>
  <si>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</si>
  <si>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</si>
  <si>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</si>
  <si>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</si>
  <si>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</si>
  <si>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</si>
  <si>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</si>
  <si>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</si>
  <si>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</si>
  <si>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</si>
  <si>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</si>
  <si>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</si>
  <si>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</si>
  <si>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</si>
  <si>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</si>
  <si>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</si>
  <si>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</si>
  <si>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</si>
  <si>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</si>
  <si>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</si>
  <si>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</si>
  <si>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</si>
  <si>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</si>
  <si>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</si>
  <si>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</si>
  <si>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</si>
  <si>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</si>
  <si>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</si>
  <si>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</si>
  <si>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</si>
  <si>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</si>
  <si>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</si>
  <si>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</si>
  <si>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</si>
  <si>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</si>
  <si>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</si>
  <si>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</si>
  <si>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</si>
  <si>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</si>
  <si>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</si>
  <si>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</si>
  <si>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</si>
  <si>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</si>
  <si>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</si>
  <si>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</si>
  <si>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</si>
  <si>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</si>
  <si>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</si>
  <si>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</si>
  <si>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</si>
  <si>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</si>
  <si>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</si>
  <si>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</si>
  <si>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</si>
  <si>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</si>
  <si>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</si>
  <si>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</si>
  <si>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</si>
  <si>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</si>
  <si>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</si>
  <si>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</si>
  <si>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</si>
  <si>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</si>
  <si>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</si>
  <si>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</si>
  <si>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</si>
  <si>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</si>
  <si>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</si>
  <si>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</si>
  <si>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</si>
  <si>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</si>
  <si>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</si>
  <si>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</si>
  <si>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</si>
  <si>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</si>
  <si>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</si>
  <si>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</si>
  <si>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</si>
  <si>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</si>
  <si>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</si>
  <si>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</si>
  <si>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</si>
  <si>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</si>
  <si>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</si>
  <si>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</si>
  <si>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</si>
  <si>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</si>
  <si>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</si>
  <si>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</si>
  <si>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</si>
  <si>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</si>
  <si>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</si>
  <si>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</si>
  <si>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</si>
  <si>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</si>
  <si>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</si>
  <si>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</si>
  <si>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</si>
  <si>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</si>
  <si>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</si>
  <si>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</si>
  <si>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</si>
  <si>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</si>
  <si>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</si>
  <si>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</si>
  <si>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</si>
  <si>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</si>
  <si>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</si>
  <si>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</si>
  <si>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</si>
  <si>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</si>
  <si>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</si>
  <si>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</si>
  <si>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</si>
  <si>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</si>
  <si>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</si>
  <si>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</si>
  <si>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</si>
  <si>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</si>
  <si>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</si>
  <si>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</si>
  <si>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</si>
  <si>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</si>
  <si>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</si>
  <si>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</si>
  <si>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</si>
  <si>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</si>
  <si>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</si>
  <si>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</si>
  <si>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</si>
  <si>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</si>
  <si>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</si>
  <si>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</si>
  <si>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</si>
  <si>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</si>
  <si>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</si>
  <si>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</si>
  <si>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</si>
  <si>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</si>
  <si>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</si>
  <si>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</si>
  <si>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</si>
  <si>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</si>
  <si>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</si>
  <si>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</si>
  <si>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</si>
  <si>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</si>
  <si>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</si>
  <si>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</si>
  <si>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</si>
  <si>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</si>
  <si>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</si>
  <si>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</si>
  <si>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</si>
  <si>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</si>
  <si>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</si>
  <si>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</si>
  <si>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</si>
  <si>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</si>
  <si>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</si>
  <si>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</si>
  <si>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</si>
  <si>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</si>
  <si>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</si>
  <si>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</si>
  <si>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</si>
  <si>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</si>
  <si>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</si>
  <si>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</si>
  <si>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</si>
  <si>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</si>
  <si>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</si>
  <si>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</si>
  <si>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</si>
  <si>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</si>
  <si>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</si>
  <si>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</si>
  <si>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</si>
  <si>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</si>
  <si>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</si>
  <si>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</si>
  <si>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</si>
  <si>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</si>
  <si>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</si>
  <si>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</si>
  <si>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</si>
  <si>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</si>
  <si>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</si>
  <si>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</si>
  <si>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</si>
  <si>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</si>
  <si>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</si>
  <si>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</si>
  <si>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</si>
  <si>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</si>
  <si>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</si>
  <si>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</si>
  <si>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</si>
  <si>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</si>
  <si>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</si>
  <si>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</si>
  <si>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</si>
  <si>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</si>
  <si>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</si>
  <si>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</si>
  <si>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</si>
  <si>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</si>
  <si>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</si>
  <si>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</si>
  <si>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</si>
  <si>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</si>
  <si>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</si>
  <si>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</si>
  <si>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</si>
  <si>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</si>
  <si>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</si>
  <si>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</si>
  <si>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</si>
  <si>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</si>
  <si>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</si>
  <si>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</si>
  <si>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</si>
  <si>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</si>
  <si>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</si>
  <si>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</si>
  <si>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</si>
  <si>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</si>
  <si>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</si>
  <si>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</si>
  <si>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</si>
  <si>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</si>
  <si>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</si>
  <si>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</si>
  <si>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</si>
  <si>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</si>
  <si>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</si>
  <si>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</si>
  <si>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</si>
  <si>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</si>
  <si>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</si>
  <si>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</si>
  <si>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</si>
  <si>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</si>
  <si>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</si>
  <si>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</si>
  <si>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</si>
  <si>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</si>
  <si>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</si>
  <si>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</si>
  <si>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</si>
  <si>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</si>
  <si>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</si>
  <si>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</si>
  <si>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</si>
  <si>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</si>
  <si>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</si>
  <si>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</si>
  <si>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</si>
  <si>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</si>
  <si>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</si>
  <si>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</si>
  <si>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</si>
  <si>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</si>
  <si>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</si>
  <si>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</si>
  <si>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</si>
  <si>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</si>
  <si>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</si>
  <si>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</si>
  <si>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</si>
  <si>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</si>
  <si>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</si>
  <si>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</si>
  <si>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</si>
  <si>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</si>
  <si>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</si>
  <si>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</si>
  <si>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</si>
  <si>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</si>
  <si>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</si>
  <si>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</si>
  <si>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</si>
  <si>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</si>
  <si>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</si>
  <si>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</si>
  <si>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</si>
  <si>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</si>
  <si>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</si>
  <si>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</si>
  <si>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</si>
  <si>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</si>
  <si>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</si>
  <si>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</si>
  <si>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</si>
  <si>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</si>
  <si>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</si>
  <si>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</si>
  <si>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</si>
  <si>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</si>
  <si>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</si>
  <si>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</si>
  <si>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</si>
  <si>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</si>
  <si>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</si>
  <si>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</si>
  <si>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</si>
  <si>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</si>
  <si>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</si>
  <si>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</si>
  <si>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</si>
  <si>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</si>
  <si>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</si>
  <si>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</si>
  <si>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</si>
  <si>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</si>
  <si>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</si>
  <si>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</si>
  <si>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</si>
  <si>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</si>
  <si>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</si>
  <si>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</si>
  <si>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</si>
  <si>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</si>
  <si>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</si>
  <si>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</si>
  <si>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</si>
  <si>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</si>
  <si>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</si>
  <si>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</si>
  <si>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</si>
  <si>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</si>
  <si>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</si>
  <si>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</si>
  <si>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</si>
  <si>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</si>
  <si>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</si>
  <si>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</si>
  <si>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</si>
  <si>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</si>
  <si>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</si>
  <si>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</si>
  <si>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</si>
  <si>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</si>
  <si>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</si>
  <si>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</si>
  <si>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</si>
  <si>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</si>
  <si>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</si>
  <si>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</si>
  <si>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</si>
  <si>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</si>
  <si>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</si>
  <si>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</si>
  <si>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</si>
  <si>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</si>
  <si>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</si>
  <si>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</si>
  <si>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</si>
  <si>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</si>
  <si>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</si>
  <si>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</si>
  <si>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</si>
  <si>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</si>
  <si>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</si>
  <si>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</si>
  <si>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</si>
  <si>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</si>
  <si>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</si>
  <si>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</si>
  <si>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</si>
  <si>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</si>
  <si>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</si>
  <si>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</si>
  <si>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</si>
  <si>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</si>
  <si>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</si>
  <si>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</si>
  <si>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</si>
  <si>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</si>
  <si>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</si>
  <si>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</si>
  <si>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</si>
  <si>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</si>
  <si>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</si>
  <si>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</si>
  <si>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</si>
  <si>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</si>
  <si>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</si>
  <si>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</si>
  <si>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</si>
  <si>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</si>
  <si>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</si>
  <si>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</si>
  <si>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</si>
  <si>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</si>
  <si>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</si>
  <si>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</si>
  <si>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</si>
  <si>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</si>
  <si>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</si>
  <si>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</si>
  <si>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</si>
  <si>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</si>
  <si>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</si>
  <si>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</si>
  <si>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</si>
  <si>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</si>
  <si>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</si>
  <si>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</si>
  <si>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</si>
  <si>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</si>
  <si>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</si>
  <si>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</si>
  <si>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</si>
  <si>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</si>
  <si>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</si>
  <si>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</si>
  <si>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</si>
  <si>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</si>
  <si>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</si>
  <si>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</si>
  <si>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</si>
  <si>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</si>
  <si>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</si>
  <si>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</si>
  <si>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</si>
  <si>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</si>
  <si>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</si>
  <si>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</si>
  <si>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</si>
  <si>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</si>
  <si>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</si>
  <si>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</si>
  <si>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</si>
  <si>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</si>
  <si>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</si>
  <si>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</si>
  <si>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</si>
  <si>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</si>
  <si>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</si>
  <si>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</si>
  <si>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</si>
  <si>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</si>
  <si>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</si>
  <si>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</si>
  <si>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</si>
  <si>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</si>
  <si>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</si>
  <si>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</si>
  <si>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</si>
  <si>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</si>
  <si>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</si>
  <si>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</si>
  <si>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</si>
  <si>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</si>
  <si>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</si>
  <si>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</si>
  <si>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</si>
  <si>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</si>
  <si>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</si>
  <si>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</si>
  <si>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</si>
  <si>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</si>
  <si>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</si>
  <si>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</si>
  <si>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</si>
  <si>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</si>
  <si>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</si>
  <si>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</si>
  <si>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</si>
  <si>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</si>
  <si>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</si>
  <si>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</si>
  <si>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</si>
  <si>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</si>
  <si>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</si>
  <si>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</si>
  <si>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</si>
  <si>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</si>
  <si>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</si>
  <si>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</si>
  <si>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</si>
  <si>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</si>
  <si>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</si>
  <si>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</si>
  <si>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</si>
  <si>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</si>
  <si>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</si>
  <si>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</si>
  <si>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</si>
  <si>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</si>
  <si>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</si>
  <si>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</si>
  <si>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</si>
  <si>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</si>
  <si>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</si>
  <si>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</si>
  <si>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</si>
  <si>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</si>
  <si>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</si>
  <si>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</si>
  <si>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</si>
  <si>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</si>
  <si>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</si>
  <si>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</si>
  <si>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</si>
  <si>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</si>
  <si>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</si>
  <si>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</si>
  <si>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</si>
  <si>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</si>
  <si>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</si>
  <si>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</si>
  <si>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</si>
  <si>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</si>
  <si>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</si>
  <si>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</si>
  <si>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</si>
  <si>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</si>
  <si>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</si>
  <si>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</si>
  <si>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</si>
  <si>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</si>
  <si>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</si>
  <si>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</si>
  <si>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</si>
  <si>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</si>
  <si>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</si>
  <si>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</si>
  <si>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</si>
  <si>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</si>
  <si>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</si>
  <si>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</si>
  <si>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</si>
  <si>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</si>
  <si>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</si>
  <si>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</si>
  <si>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</si>
  <si>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</si>
  <si>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</si>
  <si>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</si>
  <si>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</si>
  <si>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</si>
  <si>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</si>
  <si>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</si>
  <si>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</si>
  <si>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</si>
  <si>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</si>
  <si>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</si>
  <si>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</si>
  <si>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</si>
  <si>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</si>
  <si>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</si>
  <si>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</si>
  <si>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</si>
  <si>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</si>
  <si>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</si>
  <si>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</si>
  <si>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</si>
  <si>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</si>
  <si>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</si>
  <si>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</si>
  <si>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</si>
  <si>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</si>
  <si>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</si>
  <si>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</si>
  <si>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</si>
  <si>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</si>
  <si>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</si>
  <si>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</si>
  <si>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</si>
  <si>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</si>
  <si>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</si>
  <si>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</si>
  <si>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</si>
  <si>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</si>
  <si>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</si>
  <si>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</si>
  <si>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</si>
  <si>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</si>
  <si>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</si>
  <si>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</si>
  <si>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</si>
  <si>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</si>
  <si>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</si>
  <si>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</si>
  <si>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</si>
  <si>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</si>
  <si>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</si>
  <si>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</si>
  <si>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</si>
  <si>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</si>
  <si>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</si>
  <si>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</si>
  <si>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</si>
  <si>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</si>
  <si>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</si>
  <si>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</si>
  <si>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</si>
  <si>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</si>
  <si>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</si>
  <si>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</si>
  <si>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</si>
  <si>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</si>
  <si>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</si>
  <si>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</si>
  <si>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</si>
  <si>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</si>
  <si>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</si>
  <si>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</si>
  <si>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</si>
  <si>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</si>
  <si>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</si>
  <si>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</si>
  <si>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</si>
  <si>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</si>
  <si>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</si>
  <si>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</si>
  <si>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</si>
  <si>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</si>
  <si>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</si>
  <si>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</si>
  <si>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</si>
  <si>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</si>
  <si>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</si>
  <si>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</si>
  <si>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</si>
  <si>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</si>
  <si>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</si>
  <si>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</si>
  <si>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</si>
  <si>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</si>
  <si>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</si>
  <si>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</si>
  <si>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</si>
  <si>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</si>
  <si>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</si>
  <si>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</si>
  <si>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</si>
  <si>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</si>
  <si>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</si>
  <si>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</si>
  <si>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</si>
  <si>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</si>
  <si>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</si>
  <si>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</si>
  <si>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</si>
  <si>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</si>
  <si>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</si>
  <si>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</si>
  <si>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</si>
  <si>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</si>
  <si>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</si>
  <si>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</si>
  <si>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</si>
  <si>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</si>
  <si>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</si>
  <si>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</si>
  <si>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</si>
  <si>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</si>
  <si>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</si>
  <si>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</si>
  <si>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</si>
  <si>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</si>
  <si>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</si>
  <si>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</si>
  <si>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</si>
  <si>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</si>
  <si>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</si>
  <si>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</si>
  <si>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</si>
  <si>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</si>
  <si>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</si>
  <si>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</si>
  <si>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</si>
  <si>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</si>
  <si>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</si>
  <si>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</si>
  <si>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</si>
  <si>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</si>
  <si>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</si>
  <si>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</si>
  <si>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</si>
  <si>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</si>
  <si>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</si>
  <si>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</si>
  <si>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</si>
  <si>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</si>
  <si>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</si>
  <si>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</si>
  <si>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</si>
  <si>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</si>
  <si>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</si>
  <si>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</si>
  <si>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</si>
  <si>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</si>
  <si>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</si>
  <si>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</si>
  <si>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</si>
  <si>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</si>
  <si>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</si>
  <si>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</si>
  <si>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</si>
  <si>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</si>
  <si>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</si>
  <si>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</si>
  <si>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</si>
  <si>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</si>
  <si>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</si>
  <si>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</si>
  <si>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</si>
  <si>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</si>
  <si>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</si>
  <si>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</si>
  <si>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</si>
  <si>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</si>
  <si>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</si>
  <si>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</si>
  <si>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</si>
  <si>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</si>
  <si>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</si>
  <si>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</si>
  <si>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</si>
  <si>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</si>
  <si>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</si>
  <si>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</si>
  <si>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</si>
  <si>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</si>
  <si>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</si>
  <si>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</si>
  <si>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</si>
  <si>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</si>
  <si>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</si>
  <si>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</si>
  <si>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</si>
  <si>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</si>
  <si>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</si>
  <si>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</si>
  <si>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</si>
  <si>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</si>
  <si>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</si>
  <si>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</si>
  <si>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</si>
  <si>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</si>
  <si>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</si>
  <si>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</si>
  <si>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</si>
  <si>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</si>
  <si>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</si>
  <si>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</si>
  <si>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</si>
  <si>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</si>
  <si>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</si>
  <si>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</si>
  <si>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</si>
  <si>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</si>
  <si>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</si>
  <si>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</si>
  <si>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</si>
  <si>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</si>
  <si>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</si>
  <si>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</si>
  <si>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</si>
  <si>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</si>
  <si>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</si>
  <si>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</si>
  <si>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</si>
  <si>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</si>
  <si>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</si>
  <si>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</si>
  <si>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</si>
  <si>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</si>
  <si>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</si>
  <si>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</si>
  <si>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</si>
  <si>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</si>
  <si>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</si>
  <si>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</si>
  <si>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</si>
  <si>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</si>
  <si>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</si>
  <si>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</si>
  <si>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</si>
  <si>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</si>
  <si>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</si>
  <si>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</si>
  <si>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</si>
  <si>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</si>
  <si>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</si>
  <si>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</si>
  <si>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</si>
  <si>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</si>
  <si>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</si>
  <si>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</si>
  <si>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</si>
  <si>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</si>
  <si>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</si>
  <si>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</si>
  <si>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</si>
  <si>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</si>
  <si>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</si>
  <si>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</si>
  <si>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</si>
  <si>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</si>
  <si>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</si>
  <si>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</si>
  <si>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</si>
  <si>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</si>
  <si>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</si>
  <si>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</si>
  <si>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</si>
  <si>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</si>
  <si>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</si>
  <si>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</si>
  <si>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</si>
  <si>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</si>
  <si>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</si>
  <si>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</si>
  <si>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</si>
  <si>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</si>
  <si>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</si>
  <si>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</si>
  <si>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</si>
  <si>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</si>
  <si>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</si>
  <si>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</si>
  <si>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</si>
  <si>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</si>
  <si>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</si>
  <si>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</si>
  <si>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</si>
  <si>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</si>
  <si>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</si>
  <si>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</si>
  <si>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</si>
  <si>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</si>
  <si>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</si>
  <si>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</si>
  <si>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</si>
  <si>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</si>
  <si>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</si>
  <si>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</si>
  <si>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</si>
  <si>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</si>
  <si>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</si>
  <si>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</si>
  <si>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</si>
  <si>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</si>
  <si>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</si>
  <si>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</si>
  <si>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</si>
  <si>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</si>
  <si>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</si>
  <si>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</si>
  <si>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</si>
  <si>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</si>
  <si>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</si>
  <si>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</si>
  <si>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</si>
  <si>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</si>
  <si>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</si>
  <si>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</si>
  <si>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</si>
  <si>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</si>
  <si>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</si>
  <si>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</si>
  <si>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</si>
  <si>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</si>
  <si>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</si>
  <si>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</si>
  <si>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</si>
  <si>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</si>
  <si>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</si>
  <si>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</si>
  <si>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</si>
  <si>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</si>
  <si>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</si>
  <si>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</si>
  <si>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</si>
  <si>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</si>
  <si>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</si>
  <si>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</si>
  <si>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</si>
  <si>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</si>
  <si>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</si>
  <si>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</si>
  <si>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</si>
  <si>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</si>
  <si>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</si>
  <si>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</si>
  <si>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</si>
  <si>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</si>
  <si>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</si>
  <si>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</si>
  <si>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</si>
  <si>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</si>
  <si>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</si>
  <si>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</si>
  <si>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</si>
  <si>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</si>
  <si>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</si>
  <si>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</si>
  <si>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</si>
  <si>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</si>
  <si>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</si>
  <si>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</si>
  <si>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</si>
  <si>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</si>
  <si>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</si>
  <si>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</si>
  <si>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</si>
  <si>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</si>
  <si>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</si>
  <si>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</si>
  <si>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</si>
  <si>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</si>
  <si>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</si>
  <si>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</si>
  <si>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</si>
  <si>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</si>
  <si>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</si>
  <si>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</si>
  <si>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</si>
  <si>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</si>
  <si>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</si>
  <si>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</si>
  <si>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</si>
  <si>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</si>
  <si>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</si>
  <si>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</si>
  <si>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</si>
  <si>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</si>
  <si>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</si>
  <si>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</si>
  <si>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</si>
  <si>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</si>
  <si>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</si>
  <si>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</si>
  <si>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</si>
  <si>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</si>
  <si>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</si>
  <si>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</si>
  <si>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</si>
  <si>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</si>
  <si>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</si>
  <si>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</si>
  <si>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</si>
  <si>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</si>
  <si>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</si>
  <si>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</si>
  <si>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</si>
  <si>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</si>
  <si>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</si>
  <si>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</si>
  <si>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</si>
  <si>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</si>
  <si>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</si>
  <si>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</si>
  <si>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</si>
  <si>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</si>
  <si>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</si>
  <si>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</si>
  <si>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</si>
  <si>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</si>
  <si>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</si>
  <si>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</si>
  <si>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</si>
  <si>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</si>
  <si>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</si>
  <si>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</si>
  <si>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</si>
  <si>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</si>
  <si>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</si>
  <si>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</si>
  <si>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</si>
  <si>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</si>
  <si>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</si>
  <si>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</si>
  <si>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</si>
  <si>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</si>
  <si>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</si>
  <si>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</si>
  <si>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</si>
  <si>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</si>
  <si>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</si>
  <si>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</si>
  <si>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</si>
  <si>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</si>
  <si>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</si>
  <si>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</si>
  <si>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</si>
  <si>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</si>
  <si>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</si>
  <si>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</si>
  <si>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</si>
  <si>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</si>
  <si>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</si>
  <si>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</si>
  <si>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</si>
  <si>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</si>
  <si>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</si>
  <si>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</si>
  <si>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</si>
  <si>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</si>
  <si>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</si>
  <si>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</si>
  <si>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</si>
  <si>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</si>
  <si>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</si>
  <si>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</si>
  <si>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</si>
  <si>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</si>
  <si>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</si>
  <si>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</si>
  <si>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</si>
  <si>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</si>
  <si>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</si>
  <si>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</si>
  <si>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</si>
  <si>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</si>
  <si>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</si>
  <si>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</si>
  <si>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</si>
  <si>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</si>
  <si>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</si>
  <si>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</si>
  <si>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</si>
  <si>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</si>
  <si>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</si>
  <si>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</si>
  <si>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</si>
  <si>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</si>
  <si>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</si>
  <si>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</si>
  <si>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</si>
  <si>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</si>
  <si>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</si>
  <si>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</si>
  <si>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</si>
  <si>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</si>
  <si>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</si>
  <si>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</si>
  <si>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</si>
  <si>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</si>
  <si>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</si>
  <si>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</si>
  <si>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</si>
  <si>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</si>
  <si>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</si>
  <si>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</si>
  <si>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</si>
  <si>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</si>
  <si>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</si>
  <si>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</si>
  <si>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</si>
  <si>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</si>
  <si>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</si>
  <si>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</si>
  <si>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</si>
  <si>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</si>
  <si>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</si>
  <si>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</si>
  <si>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</si>
  <si>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</si>
  <si>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</si>
  <si>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</si>
  <si>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</si>
  <si>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</si>
  <si>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</si>
  <si>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</si>
  <si>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</si>
  <si>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</si>
  <si>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</si>
  <si>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</si>
  <si>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</si>
  <si>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</si>
  <si>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</si>
  <si>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</si>
  <si>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</si>
  <si>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</si>
  <si>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</si>
  <si>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</si>
  <si>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</si>
  <si>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</si>
  <si>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</si>
  <si>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</si>
  <si>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</si>
  <si>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</si>
  <si>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</si>
  <si>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</si>
  <si>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</si>
  <si>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</si>
  <si>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</si>
  <si>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</si>
  <si>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</si>
  <si>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</si>
  <si>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</si>
  <si>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</si>
  <si>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</si>
  <si>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</si>
  <si>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</si>
  <si>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</si>
  <si>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</si>
  <si>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</si>
  <si>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</si>
  <si>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</si>
  <si>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</si>
  <si>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</si>
  <si>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</si>
  <si>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</si>
  <si>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</si>
  <si>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</si>
  <si>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</si>
  <si>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</si>
  <si>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</si>
  <si>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</si>
  <si>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</si>
  <si>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</si>
  <si>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</si>
  <si>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</si>
  <si>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</si>
  <si>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</si>
  <si>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</si>
  <si>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</si>
  <si>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</si>
  <si>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</si>
  <si>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</si>
  <si>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</si>
  <si>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</si>
  <si>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</si>
  <si>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</si>
  <si>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</si>
  <si>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</si>
  <si>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</si>
  <si>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</si>
  <si>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</si>
  <si>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</si>
  <si>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</si>
  <si>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</si>
  <si>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</si>
  <si>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</si>
  <si>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</si>
  <si>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</si>
  <si>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</si>
  <si>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</si>
  <si>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</si>
  <si>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</si>
  <si>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</si>
  <si>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</si>
  <si>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</si>
  <si>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</si>
  <si>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</si>
  <si>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</si>
  <si>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</si>
  <si>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</si>
  <si>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</si>
  <si>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</si>
  <si>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</si>
  <si>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</si>
  <si>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</si>
  <si>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</si>
  <si>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</si>
  <si>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</si>
  <si>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</si>
  <si>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</si>
  <si>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</si>
  <si>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</si>
  <si>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</si>
  <si>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</si>
  <si>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</si>
  <si>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</si>
  <si>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</si>
  <si>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</si>
  <si>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</si>
  <si>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</si>
  <si>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</si>
  <si>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</si>
  <si>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</si>
  <si>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</si>
  <si>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</si>
  <si>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</si>
  <si>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</si>
  <si>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</si>
  <si>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</si>
  <si>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</si>
  <si>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</si>
  <si>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</si>
  <si>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</si>
  <si>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</si>
  <si>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</si>
  <si>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</si>
  <si>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</si>
  <si>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</si>
  <si>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</si>
  <si>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</si>
  <si>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</si>
  <si>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</si>
  <si>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</si>
  <si>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</si>
  <si>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</si>
  <si>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</si>
  <si>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</si>
  <si>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</si>
  <si>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</si>
  <si>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</si>
  <si>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</si>
  <si>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</si>
  <si>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</si>
  <si>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</si>
  <si>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</si>
  <si>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</si>
  <si>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</si>
  <si>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</si>
  <si>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</si>
  <si>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</si>
  <si>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</si>
  <si>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</si>
  <si>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</si>
  <si>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</si>
  <si>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</si>
  <si>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</si>
  <si>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</si>
  <si>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</si>
  <si>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</si>
  <si>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</si>
  <si>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</si>
  <si>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</si>
  <si>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</si>
  <si>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</si>
  <si>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</si>
  <si>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</si>
  <si>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</si>
  <si>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</si>
  <si>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</si>
  <si>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</si>
  <si>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</si>
  <si>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</si>
  <si>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</si>
  <si>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</si>
  <si>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</si>
  <si>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</si>
  <si>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</si>
  <si>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</si>
  <si>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</si>
  <si>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</si>
  <si>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</si>
  <si>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</si>
  <si>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</si>
  <si>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</si>
  <si>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</si>
  <si>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</si>
  <si>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</si>
  <si>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</si>
  <si>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</si>
  <si>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</si>
  <si>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</si>
  <si>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</si>
  <si>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</si>
  <si>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</si>
  <si>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</si>
  <si>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</si>
  <si>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</si>
  <si>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</si>
  <si>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</si>
  <si>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</si>
  <si>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</si>
  <si>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</si>
  <si>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</si>
  <si>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</si>
  <si>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</si>
  <si>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</si>
  <si>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</si>
  <si>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</si>
  <si>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</si>
  <si>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</si>
  <si>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</si>
  <si>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</si>
  <si>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</si>
  <si>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</si>
  <si>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</si>
  <si>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</si>
  <si>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</si>
  <si>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</si>
  <si>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</si>
  <si>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</si>
  <si>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</si>
  <si>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</si>
  <si>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</si>
  <si>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</si>
  <si>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</si>
  <si>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</si>
  <si>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</si>
  <si>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</si>
  <si>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</si>
  <si>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</si>
  <si>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</si>
  <si>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</si>
  <si>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</si>
  <si>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</si>
  <si>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</si>
  <si>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</si>
  <si>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</si>
  <si>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</si>
  <si>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</si>
  <si>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</si>
  <si>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</si>
  <si>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</si>
  <si>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</si>
  <si>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</si>
  <si>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</si>
  <si>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</si>
  <si>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</si>
  <si>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</si>
  <si>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</si>
  <si>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</si>
  <si>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</si>
  <si>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</si>
  <si>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</si>
  <si>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</si>
  <si>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</si>
  <si>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</si>
  <si>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</si>
  <si>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</si>
  <si>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</si>
  <si>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</si>
  <si>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</si>
  <si>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</si>
  <si>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</si>
  <si>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</si>
  <si>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</si>
  <si>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</si>
  <si>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</si>
  <si>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</si>
  <si>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</si>
  <si>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</si>
  <si>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</si>
  <si>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</si>
  <si>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</si>
  <si>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</si>
  <si>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</si>
  <si>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</si>
  <si>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</si>
  <si>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</si>
  <si>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</si>
  <si>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</si>
  <si>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</si>
  <si>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</si>
  <si>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</si>
  <si>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</si>
  <si>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</si>
  <si>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</si>
  <si>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</si>
  <si>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</si>
  <si>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</si>
  <si>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</si>
  <si>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</si>
  <si>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</si>
  <si>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</si>
  <si>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</si>
  <si>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</si>
  <si>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</si>
  <si>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</si>
  <si>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</si>
  <si>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</si>
  <si>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</si>
  <si>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</si>
  <si>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</si>
  <si>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</si>
  <si>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</si>
  <si>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</si>
  <si>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</si>
  <si>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</si>
  <si>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</si>
  <si>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</si>
  <si>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</si>
  <si>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</si>
  <si>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</si>
  <si>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</si>
  <si>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</si>
  <si>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</si>
  <si>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</si>
  <si>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</si>
  <si>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</si>
  <si>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</si>
  <si>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</si>
  <si>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</si>
  <si>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</si>
  <si>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</si>
  <si>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</si>
  <si>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</si>
  <si>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</si>
  <si>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</si>
  <si>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</si>
  <si>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</si>
  <si>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</si>
  <si>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</si>
  <si>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</si>
  <si>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</si>
  <si>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</si>
  <si>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</si>
  <si>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</si>
  <si>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</si>
  <si>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</si>
  <si>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</si>
  <si>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</si>
  <si>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</si>
  <si>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</si>
  <si>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</si>
  <si>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</si>
  <si>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</si>
  <si>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</si>
  <si>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</si>
  <si>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</si>
  <si>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</si>
  <si>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</si>
  <si>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</si>
  <si>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</si>
  <si>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</si>
  <si>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</si>
  <si>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</si>
  <si>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</si>
  <si>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</si>
  <si>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</si>
  <si>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</si>
  <si>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</si>
  <si>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</si>
  <si>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</si>
  <si>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</si>
  <si>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</si>
  <si>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</si>
  <si>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</si>
  <si>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</si>
  <si>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</si>
  <si>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</si>
  <si>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</si>
  <si>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</si>
  <si>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</si>
  <si>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</si>
  <si>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</si>
  <si>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</si>
  <si>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</si>
  <si>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</si>
  <si>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</si>
  <si>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</si>
  <si>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</si>
  <si>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</si>
  <si>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</si>
  <si>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</si>
  <si>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</si>
  <si>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</si>
  <si>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</si>
  <si>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</si>
  <si>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</si>
  <si>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</si>
  <si>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</si>
  <si>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</si>
  <si>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</si>
  <si>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</si>
  <si>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</si>
  <si>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</si>
  <si>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</si>
  <si>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</si>
  <si>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</si>
  <si>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</si>
  <si>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</si>
  <si>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</si>
  <si>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</si>
  <si>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</si>
  <si>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</si>
  <si>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</si>
  <si>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</si>
  <si>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</si>
  <si>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</si>
  <si>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</si>
  <si>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</si>
  <si>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</si>
  <si>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</si>
  <si>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</si>
  <si>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</si>
  <si>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</si>
  <si>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</si>
  <si>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</si>
  <si>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</si>
  <si>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</si>
  <si>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</si>
  <si>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</si>
  <si>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</si>
  <si>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</si>
  <si>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</si>
  <si>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</si>
  <si>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</si>
  <si>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</si>
  <si>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</si>
  <si>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</si>
  <si>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</si>
  <si>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</si>
  <si>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</si>
  <si>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</si>
  <si>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</si>
  <si>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</si>
  <si>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</si>
  <si>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</si>
  <si>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</si>
  <si>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</si>
  <si>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</si>
  <si>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</si>
  <si>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</si>
  <si>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</si>
  <si>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</si>
  <si>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</si>
  <si>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</si>
  <si>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</si>
  <si>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</si>
  <si>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</si>
  <si>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</si>
  <si>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</si>
  <si>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</si>
  <si>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</si>
  <si>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</si>
  <si>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</si>
  <si>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</si>
  <si>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</si>
  <si>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</si>
  <si>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</si>
  <si>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</si>
  <si>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</si>
  <si>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</si>
  <si>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</si>
  <si>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</si>
  <si>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</si>
  <si>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</si>
  <si>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</si>
  <si>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</si>
  <si>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</si>
  <si>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</si>
  <si>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</si>
  <si>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</si>
  <si>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</si>
  <si>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</si>
  <si>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</si>
  <si>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</si>
  <si>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</si>
  <si>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</si>
  <si>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</si>
  <si>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</si>
  <si>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</si>
  <si>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</si>
  <si>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</si>
  <si>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</si>
  <si>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</si>
  <si>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</si>
  <si>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</si>
  <si>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</si>
  <si>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</si>
  <si>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</si>
  <si>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</si>
  <si>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</si>
  <si>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</si>
  <si>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</si>
  <si>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</si>
  <si>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</si>
  <si>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</si>
  <si>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</si>
  <si>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</si>
  <si>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</si>
  <si>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</si>
  <si>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</si>
  <si>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</si>
  <si>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</si>
  <si>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</si>
  <si>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</si>
  <si>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</si>
  <si>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</si>
  <si>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</si>
  <si>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</si>
  <si>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</si>
  <si>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</si>
  <si>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</si>
  <si>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</si>
  <si>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</si>
  <si>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</si>
  <si>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</si>
  <si>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</si>
  <si>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</si>
  <si>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</si>
  <si>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</si>
  <si>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</si>
  <si>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</si>
  <si>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</si>
  <si>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</si>
  <si>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</si>
  <si>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</si>
  <si>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</si>
  <si>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</si>
  <si>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</si>
  <si>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</si>
  <si>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</si>
  <si>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</si>
  <si>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</si>
  <si>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</si>
  <si>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</si>
  <si>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</si>
  <si>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</si>
  <si>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</si>
  <si>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</si>
  <si>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</si>
  <si>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</si>
  <si>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</si>
  <si>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</si>
  <si>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</si>
  <si>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</si>
  <si>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</si>
  <si>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</si>
  <si>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</si>
  <si>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</si>
  <si>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</si>
  <si>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</si>
  <si>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</si>
  <si>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</si>
  <si>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</si>
  <si>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</si>
  <si>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</si>
  <si>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</si>
  <si>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</si>
  <si>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</si>
  <si>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</si>
  <si>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</si>
  <si>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</si>
  <si>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</si>
  <si>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</si>
  <si>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</si>
  <si>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</si>
  <si>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</si>
  <si>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</si>
  <si>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</si>
  <si>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</si>
  <si>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</si>
  <si>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</si>
  <si>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</si>
  <si>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</si>
  <si>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</si>
  <si>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</si>
  <si>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</si>
  <si>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</si>
  <si>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</si>
  <si>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</si>
  <si>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</si>
  <si>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</si>
  <si>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</si>
  <si>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</si>
  <si>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</si>
  <si>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</si>
  <si>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</si>
  <si>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</si>
  <si>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</si>
  <si>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</si>
  <si>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</si>
  <si>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</si>
  <si>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</si>
  <si>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</si>
  <si>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</si>
  <si>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</si>
  <si>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</si>
  <si>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</si>
  <si>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</si>
  <si>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</si>
  <si>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</si>
  <si>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</si>
  <si>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</si>
  <si>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</si>
  <si>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</si>
  <si>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</si>
  <si>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</si>
  <si>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</si>
  <si>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</si>
  <si>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</si>
  <si>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</si>
  <si>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</si>
  <si>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</si>
  <si>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</si>
  <si>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</si>
  <si>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</si>
  <si>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</si>
  <si>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</si>
  <si>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</si>
  <si>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</si>
  <si>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</si>
  <si>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</si>
  <si>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</si>
  <si>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</si>
  <si>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</si>
  <si>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</si>
  <si>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</si>
  <si>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</si>
  <si>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</si>
  <si>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</si>
  <si>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</si>
  <si>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</si>
  <si>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</si>
  <si>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</si>
  <si>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</si>
  <si>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</si>
  <si>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</si>
  <si>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</si>
  <si>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</si>
  <si>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</si>
  <si>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</si>
  <si>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</si>
  <si>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</si>
  <si>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</si>
  <si>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</si>
  <si>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</si>
  <si>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</si>
  <si>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</si>
  <si>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</si>
  <si>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</si>
  <si>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</si>
  <si>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</si>
  <si>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</si>
  <si>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</si>
  <si>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</si>
  <si>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</si>
  <si>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</si>
  <si>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</si>
  <si>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</si>
  <si>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</si>
  <si>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</si>
  <si>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</si>
  <si>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</si>
  <si>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</si>
  <si>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</si>
  <si>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</si>
  <si>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</si>
  <si>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</si>
  <si>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</si>
  <si>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</si>
  <si>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</si>
  <si>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</si>
  <si>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</si>
  <si>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</si>
  <si>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</si>
  <si>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</si>
  <si>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</si>
  <si>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</si>
  <si>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</si>
  <si>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</si>
  <si>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</si>
  <si>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</si>
  <si>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</si>
  <si>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</si>
  <si>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</si>
  <si>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</si>
  <si>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</si>
  <si>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</si>
  <si>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</si>
  <si>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</si>
  <si>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</si>
  <si>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</si>
  <si>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</si>
  <si>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</si>
  <si>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</si>
  <si>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</si>
  <si>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</si>
  <si>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</si>
  <si>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</si>
  <si>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</si>
  <si>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</si>
  <si>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</si>
  <si>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</si>
  <si>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</si>
  <si>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</si>
  <si>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</si>
  <si>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</si>
  <si>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</si>
  <si>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</si>
  <si>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</si>
  <si>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</si>
  <si>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</si>
  <si>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</si>
  <si>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</si>
  <si>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</si>
  <si>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</si>
  <si>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</si>
  <si>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</si>
  <si>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</si>
  <si>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</si>
  <si>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</si>
  <si>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</si>
  <si>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</si>
  <si>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</si>
  <si>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</si>
  <si>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</si>
  <si>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</si>
  <si>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</si>
  <si>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</si>
  <si>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</si>
  <si>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</si>
  <si>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</si>
  <si>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</si>
  <si>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</si>
  <si>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</si>
  <si>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</si>
  <si>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</si>
  <si>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</si>
  <si>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</si>
  <si>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</si>
  <si>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</si>
  <si>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</si>
  <si>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</si>
  <si>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</si>
  <si>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</si>
  <si>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</si>
  <si>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</si>
  <si>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</si>
  <si>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</si>
  <si>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</si>
  <si>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</si>
  <si>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</si>
  <si>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</si>
  <si>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</si>
  <si>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</si>
  <si>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</si>
  <si>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</si>
  <si>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</si>
  <si>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</si>
  <si>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</si>
  <si>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</si>
  <si>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</si>
  <si>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</si>
  <si>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</si>
  <si>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</si>
  <si>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</si>
  <si>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</si>
  <si>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</si>
  <si>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</si>
  <si>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</si>
  <si>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</si>
  <si>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</si>
  <si>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</si>
  <si>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</si>
  <si>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</si>
  <si>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</si>
  <si>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</si>
  <si>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</si>
  <si>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</si>
  <si>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</si>
  <si>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</si>
  <si>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</si>
  <si>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</si>
  <si>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</si>
  <si>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</si>
  <si>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</si>
  <si>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</si>
  <si>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</si>
  <si>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</si>
  <si>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</si>
  <si>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</si>
  <si>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</si>
  <si>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</si>
  <si>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</si>
  <si>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</si>
  <si>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</si>
  <si>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</si>
  <si>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</si>
  <si>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</si>
  <si>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</si>
  <si>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</si>
  <si>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</si>
  <si>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</si>
  <si>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</si>
  <si>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</si>
  <si>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</si>
  <si>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</si>
  <si>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</si>
  <si>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</si>
  <si>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</si>
  <si>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</si>
  <si>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</si>
  <si>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</si>
  <si>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</si>
  <si>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</si>
  <si>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</si>
  <si>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</si>
  <si>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</si>
  <si>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</si>
  <si>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</si>
  <si>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</si>
  <si>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</si>
  <si>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</si>
  <si>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</si>
  <si>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</si>
  <si>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</si>
  <si>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</si>
  <si>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</si>
  <si>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</si>
  <si>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</si>
  <si>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</si>
  <si>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</si>
  <si>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</si>
  <si>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</si>
  <si>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</si>
  <si>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</si>
  <si>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</si>
  <si>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</si>
  <si>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</si>
  <si>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</si>
  <si>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</si>
  <si>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</si>
  <si>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</si>
  <si>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</si>
  <si>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</si>
  <si>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</si>
  <si>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</si>
  <si>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</si>
  <si>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</si>
  <si>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</si>
  <si>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</si>
  <si>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</si>
  <si>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</si>
  <si>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</si>
  <si>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</si>
  <si>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</si>
  <si>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</si>
  <si>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</si>
  <si>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</si>
  <si>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</si>
  <si>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</si>
  <si>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</si>
  <si>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</si>
  <si>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</si>
  <si>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</si>
  <si>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</si>
  <si>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</si>
  <si>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</si>
  <si>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</si>
  <si>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</si>
  <si>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</si>
  <si>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</si>
  <si>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</si>
  <si>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</si>
  <si>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</si>
  <si>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</si>
  <si>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</si>
  <si>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</si>
  <si>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</si>
  <si>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</si>
  <si>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</si>
  <si>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</si>
  <si>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</si>
  <si>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</si>
  <si>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</si>
  <si>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</si>
  <si>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</si>
  <si>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</si>
  <si>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</si>
  <si>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</si>
  <si>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</si>
  <si>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</si>
  <si>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</si>
  <si>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</si>
  <si>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</si>
  <si>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</si>
  <si>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</si>
  <si>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</si>
  <si>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</si>
  <si>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</si>
  <si>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</si>
  <si>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</si>
  <si>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</si>
  <si>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</si>
  <si>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</si>
  <si>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</si>
  <si>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</si>
  <si>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</si>
  <si>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</si>
  <si>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</si>
  <si>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</si>
  <si>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</si>
  <si>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</si>
  <si>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</si>
  <si>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</si>
  <si>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</si>
  <si>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</si>
  <si>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</si>
  <si>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</si>
  <si>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</si>
  <si>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</si>
  <si>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</si>
  <si>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</si>
  <si>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</si>
  <si>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</si>
  <si>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</si>
  <si>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</si>
  <si>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</si>
  <si>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</si>
  <si>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</si>
  <si>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</si>
  <si>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</si>
  <si>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</si>
  <si>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</si>
  <si>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</si>
  <si>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</si>
  <si>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</si>
  <si>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</si>
  <si>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</si>
  <si>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</si>
  <si>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</si>
  <si>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</si>
  <si>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</si>
  <si>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</si>
  <si>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</si>
  <si>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</si>
  <si>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</si>
  <si>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</si>
  <si>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</si>
  <si>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</si>
  <si>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</si>
  <si>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</si>
  <si>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</si>
  <si>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</si>
  <si>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</si>
  <si>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</si>
  <si>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</si>
  <si>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</si>
  <si>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</si>
  <si>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</si>
  <si>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</si>
  <si>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</si>
  <si>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</si>
  <si>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</si>
  <si>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</si>
  <si>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</si>
  <si>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</si>
  <si>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</si>
  <si>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</si>
  <si>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</si>
  <si>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</si>
  <si>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</si>
  <si>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</si>
  <si>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</si>
  <si>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</si>
  <si>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</si>
  <si>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</si>
  <si>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</si>
  <si>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</si>
  <si>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</si>
  <si>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</si>
  <si>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</si>
  <si>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</si>
  <si>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</si>
  <si>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</si>
  <si>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</si>
  <si>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</si>
  <si>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</si>
  <si>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</si>
  <si>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</si>
  <si>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</si>
  <si>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</si>
  <si>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</si>
  <si>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</si>
  <si>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</si>
  <si>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</si>
  <si>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</si>
  <si>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</si>
  <si>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</si>
  <si>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</si>
  <si>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</si>
  <si>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</si>
  <si>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</si>
  <si>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</si>
  <si>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</si>
  <si>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</si>
  <si>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</si>
  <si>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</si>
  <si>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</si>
  <si>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</si>
  <si>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</si>
  <si>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</si>
  <si>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</si>
  <si>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</si>
  <si>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</si>
  <si>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</si>
  <si>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</si>
  <si>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</si>
  <si>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</si>
  <si>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</si>
  <si>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</si>
  <si>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</si>
  <si>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</si>
  <si>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</si>
  <si>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</si>
  <si>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</si>
  <si>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</si>
  <si>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</si>
  <si>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</si>
  <si>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</si>
  <si>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</si>
  <si>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</si>
  <si>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</si>
  <si>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</si>
  <si>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</si>
  <si>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</si>
  <si>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</si>
  <si>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</si>
  <si>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</si>
  <si>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</si>
  <si>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</si>
  <si>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</si>
  <si>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</si>
  <si>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</si>
  <si>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</si>
  <si>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</si>
  <si>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</si>
  <si>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</si>
  <si>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</si>
  <si>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</si>
  <si>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</si>
  <si>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</si>
  <si>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</si>
  <si>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</si>
  <si>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</si>
  <si>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</si>
  <si>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</si>
  <si>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</si>
  <si>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</si>
  <si>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</si>
  <si>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</si>
  <si>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</si>
  <si>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</si>
  <si>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</si>
  <si>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</si>
  <si>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</si>
  <si>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</si>
  <si>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</si>
  <si>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</si>
  <si>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</si>
  <si>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</si>
  <si>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</si>
  <si>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</si>
  <si>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</si>
  <si>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</si>
  <si>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</si>
  <si>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</si>
  <si>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</si>
  <si>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</si>
  <si>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</si>
  <si>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</si>
  <si>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</si>
  <si>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</si>
  <si>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</si>
  <si>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</si>
  <si>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</si>
  <si>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</si>
  <si>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</si>
  <si>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</si>
  <si>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</si>
  <si>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</si>
  <si>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</si>
  <si>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</si>
  <si>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</si>
  <si>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</si>
  <si>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</si>
  <si>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</si>
  <si>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</si>
  <si>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</si>
  <si>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</si>
  <si>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</si>
  <si>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</si>
  <si>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</si>
  <si>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</si>
  <si>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</si>
  <si>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</si>
  <si>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</si>
  <si>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</si>
  <si>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</si>
  <si>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</si>
  <si>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</si>
  <si>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</si>
  <si>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</si>
  <si>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</si>
  <si>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</si>
  <si>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</si>
  <si>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</si>
  <si>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</si>
  <si>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</si>
  <si>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</si>
  <si>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</si>
  <si>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</si>
  <si>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</si>
  <si>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</si>
  <si>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</si>
  <si>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</si>
  <si>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</si>
  <si>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</si>
  <si>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</si>
  <si>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</si>
  <si>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</si>
  <si>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</si>
  <si>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</si>
  <si>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</si>
  <si>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</si>
  <si>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</si>
  <si>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</si>
  <si>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</si>
  <si>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</si>
  <si>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</si>
  <si>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</si>
  <si>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</si>
  <si>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</si>
  <si>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</si>
  <si>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</si>
  <si>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</si>
  <si>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</si>
  <si>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</si>
  <si>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</si>
  <si>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</si>
  <si>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</si>
  <si>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</si>
  <si>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</si>
  <si>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</si>
  <si>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</si>
  <si>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</si>
  <si>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</si>
  <si>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</si>
  <si>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</si>
  <si>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</si>
  <si>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</si>
  <si>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</si>
  <si>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</si>
  <si>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</si>
  <si>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</si>
  <si>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</si>
  <si>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</si>
  <si>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</si>
  <si>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</si>
  <si>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</si>
  <si>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</si>
  <si>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</si>
  <si>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</si>
  <si>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</si>
  <si>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</si>
  <si>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</si>
  <si>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</si>
  <si>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</si>
  <si>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</si>
  <si>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</si>
  <si>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</si>
  <si>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</si>
  <si>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</si>
  <si>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</si>
  <si>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</si>
  <si>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</si>
  <si>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</si>
  <si>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</si>
  <si>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</si>
  <si>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</si>
  <si>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</si>
  <si>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</si>
  <si>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</si>
  <si>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</si>
  <si>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</si>
  <si>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</si>
  <si>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</si>
  <si>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</si>
  <si>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</si>
  <si>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</si>
  <si>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</si>
  <si>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</si>
  <si>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</si>
  <si>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</si>
  <si>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</si>
  <si>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</si>
  <si>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</si>
  <si>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</si>
  <si>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</si>
  <si>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</si>
  <si>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</si>
  <si>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</si>
  <si>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</si>
  <si>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</si>
  <si>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</si>
  <si>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</si>
  <si>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</si>
  <si>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</si>
  <si>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</si>
  <si>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</si>
  <si>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</si>
  <si>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</si>
  <si>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</si>
  <si>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</si>
  <si>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</si>
  <si>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</si>
  <si>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</si>
  <si>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</si>
  <si>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</si>
  <si>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</si>
  <si>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</si>
  <si>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</si>
  <si>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</si>
  <si>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</si>
  <si>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</si>
  <si>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</si>
  <si>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</si>
  <si>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</si>
  <si>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</si>
  <si>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</si>
  <si>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</si>
  <si>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</si>
  <si>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</si>
  <si>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</si>
  <si>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</si>
  <si>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</si>
  <si>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</si>
  <si>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</si>
  <si>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</si>
  <si>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</si>
  <si>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</si>
  <si>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2006</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</si>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</sst>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22700.402000000002</v>
      </c>
      <c r="F22" s="3384" t="str">
        <f t="shared" si="0"/>
        <v>NA</v>
      </c>
      <c r="G22" s="3360">
        <v>349.7925580909091</v>
      </c>
      <c r="H22" s="3339">
        <f t="shared" si="1"/>
        <v>1282.572713</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35427.300000000003</v>
      </c>
      <c r="F24" s="3384" t="str">
        <f t="shared" si="0"/>
        <v>NA</v>
      </c>
      <c r="G24" s="3360">
        <v>779.72266636363634</v>
      </c>
      <c r="H24" s="3339">
        <f t="shared" si="1"/>
        <v>2858.9831099999997</v>
      </c>
      <c r="I24" s="2599" t="s">
        <v>205</v>
      </c>
      <c r="J24" s="2600"/>
      <c r="M24" s="125"/>
    </row>
    <row r="25" spans="2:13" ht="18" customHeight="1" x14ac:dyDescent="0.2">
      <c r="B25" s="165"/>
      <c r="C25" s="1566"/>
      <c r="D25" s="1451" t="s">
        <v>458</v>
      </c>
      <c r="E25" s="3379">
        <v>17501.8</v>
      </c>
      <c r="F25" s="3384" t="str">
        <f t="shared" si="0"/>
        <v>NA</v>
      </c>
      <c r="G25" s="3360">
        <v>332.38304809090914</v>
      </c>
      <c r="H25" s="3339">
        <f t="shared" si="1"/>
        <v>1218.7378430000001</v>
      </c>
      <c r="I25" s="2599" t="s">
        <v>205</v>
      </c>
      <c r="J25" s="2600"/>
      <c r="M25" s="125"/>
    </row>
    <row r="26" spans="2:13" ht="18" customHeight="1" x14ac:dyDescent="0.2">
      <c r="B26" s="165"/>
      <c r="C26" s="1566"/>
      <c r="D26" s="1451" t="s">
        <v>459</v>
      </c>
      <c r="E26" s="3383">
        <v>15959.34570757499</v>
      </c>
      <c r="F26" s="3384">
        <f t="shared" si="0"/>
        <v>25.261363636363637</v>
      </c>
      <c r="G26" s="3360">
        <v>403.15483531749089</v>
      </c>
      <c r="H26" s="3339">
        <f t="shared" si="1"/>
        <v>1478.2343961641334</v>
      </c>
      <c r="I26" s="3360">
        <v>1478.2343961641334</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28704.492676271184</v>
      </c>
      <c r="F28" s="3384">
        <f>IF(I28="NA","NA",I28/(44/12)*1000/E28)</f>
        <v>1.2432549544429474</v>
      </c>
      <c r="G28" s="3360">
        <v>495.97485593454547</v>
      </c>
      <c r="H28" s="3339">
        <f>IF(G28="NA","NA",IF(G28="NO","NO",G28*44/12))</f>
        <v>1818.5744717600001</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120293.34038384618</v>
      </c>
      <c r="F31" s="3324">
        <f t="shared" ref="F31" si="3">IF(I31="NA","NA",I31/(44/12)*1000/E31)</f>
        <v>3.6480975310164978</v>
      </c>
      <c r="G31" s="3388">
        <f>SUM(G11:G29)</f>
        <v>2361.0279637974909</v>
      </c>
      <c r="H31" s="3336">
        <f t="shared" ref="H31" si="4">IF(G31="NA","NA",IF(G31="NO","NO",G31*44/12))</f>
        <v>8657.1025339241332</v>
      </c>
      <c r="I31" s="3388">
        <f>SUM(I11:I29)</f>
        <v>1609.0867395241335</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31935.453426655611</v>
      </c>
      <c r="F35" s="3384">
        <f>IF(I35="NA","NA",I35/(44/12)*1000/E35)</f>
        <v>24.563249689691503</v>
      </c>
      <c r="G35" s="3364">
        <v>784.43851647245594</v>
      </c>
      <c r="H35" s="3361">
        <f t="shared" si="5"/>
        <v>2876.2745603990047</v>
      </c>
      <c r="I35" s="3360">
        <v>2876.2745603990052</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69219.16949680887</v>
      </c>
      <c r="F41" s="3384">
        <f t="shared" ref="F41" si="8">IF(I41="NA","NA",I41/(44/12)*1000/E41)</f>
        <v>29.293725816237426</v>
      </c>
      <c r="G41" s="3360">
        <v>2053.8844095675745</v>
      </c>
      <c r="H41" s="3361">
        <f t="shared" si="5"/>
        <v>7530.909501747773</v>
      </c>
      <c r="I41" s="3360">
        <v>7434.8536990463417</v>
      </c>
      <c r="J41" s="3381" t="s">
        <v>460</v>
      </c>
      <c r="M41" s="125"/>
    </row>
    <row r="42" spans="2:13" ht="18" customHeight="1" x14ac:dyDescent="0.2">
      <c r="B42" s="1433"/>
      <c r="C42" s="1567"/>
      <c r="D42" s="1451" t="s">
        <v>467</v>
      </c>
      <c r="E42" s="3379">
        <v>8882.0603270341853</v>
      </c>
      <c r="F42" s="3384">
        <f>IF(I42="NA","NA",I42/(44/12)*1000/E42)</f>
        <v>13.837872730119708</v>
      </c>
      <c r="G42" s="3360">
        <v>187.11276402310813</v>
      </c>
      <c r="H42" s="3361">
        <f t="shared" si="5"/>
        <v>686.08013475139649</v>
      </c>
      <c r="I42" s="3360">
        <v>450.66567475139641</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110036.68325049867</v>
      </c>
      <c r="F45" s="3308">
        <f>IF(I45="NA","NA",I45/(44/12)*1000/E45)</f>
        <v>26.673238620295145</v>
      </c>
      <c r="G45" s="3388">
        <f>SUM(G33:G43)</f>
        <v>3025.4356900631383</v>
      </c>
      <c r="H45" s="3336">
        <f t="shared" ref="H45" si="9">IF(G45="NA","NA",IF(G45="NO","NO",G45*44/12))</f>
        <v>11093.264196898175</v>
      </c>
      <c r="I45" s="3388">
        <f>SUM(I33:I43)</f>
        <v>10761.793934196745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42543.329412913081</v>
      </c>
      <c r="F47" s="3384">
        <f t="shared" ref="F47" si="10">IF(I47="NA","NA",I47/(44/12)*1000/E47)</f>
        <v>14.021432274344994</v>
      </c>
      <c r="G47" s="3360">
        <v>596.51841208831001</v>
      </c>
      <c r="H47" s="3339">
        <f t="shared" ref="H47" si="11">IF(G47="NA","NA",IF(G47="NO","NO",G47*44/12))</f>
        <v>2187.234177657137</v>
      </c>
      <c r="I47" s="3360">
        <v>2187.234177657137</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42543.329412913081</v>
      </c>
      <c r="F50" s="3308">
        <f>IF(I50="NA","NA",I50/(44/12)*1000/E50)</f>
        <v>14.021432274344994</v>
      </c>
      <c r="G50" s="3388">
        <f>SUM(G47:G48)</f>
        <v>596.51841208831001</v>
      </c>
      <c r="H50" s="3362">
        <f t="shared" ref="H50" si="13">IF(G50="NA","NA",IF(G50="NO","NO",G50*44/12))</f>
        <v>2187.234177657137</v>
      </c>
      <c r="I50" s="3388">
        <f>SUM(I47:I48)</f>
        <v>2187.234177657137</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272873.35304725793</v>
      </c>
      <c r="F55" s="3319">
        <f t="shared" si="14"/>
        <v>14.550321294212681</v>
      </c>
      <c r="G55" s="3388">
        <f>SUM(G31,G45,G50,G54)</f>
        <v>5982.9820659489396</v>
      </c>
      <c r="H55" s="3363">
        <f t="shared" si="15"/>
        <v>21937.600908479446</v>
      </c>
      <c r="I55" s="3388">
        <f>SUM(I31,I45,I50,I54)</f>
        <v>14558.114851378015</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466.23138999999998</v>
      </c>
      <c r="D10" s="3105"/>
      <c r="E10" s="3105"/>
      <c r="F10" s="3057">
        <f>SUM(F11,F18)</f>
        <v>1100.0892930957061</v>
      </c>
      <c r="G10" s="3057">
        <f>SUM(G11,G18)</f>
        <v>1212.9142005812867</v>
      </c>
      <c r="H10" s="3057">
        <f>H11</f>
        <v>-120.22935741893104</v>
      </c>
      <c r="I10" s="3106" t="s">
        <v>199</v>
      </c>
      <c r="L10" s="3676"/>
    </row>
    <row r="11" spans="2:12" ht="18" customHeight="1" x14ac:dyDescent="0.2">
      <c r="B11" s="1251" t="s">
        <v>486</v>
      </c>
      <c r="C11" s="3014">
        <v>86.520449999999997</v>
      </c>
      <c r="D11" s="3057">
        <f>IFERROR(SUM(F11,-H11)/$C$11,"NA")</f>
        <v>10.792159789128339</v>
      </c>
      <c r="E11" s="3057">
        <f>IFERROR(SUM(G11)/$C$11,"NA")</f>
        <v>12.633121307062128</v>
      </c>
      <c r="F11" s="3057">
        <f>SUM(F12:F16)</f>
        <v>813.51316400835788</v>
      </c>
      <c r="G11" s="3057">
        <f>SUM(G12:G16)</f>
        <v>1093.0233403916034</v>
      </c>
      <c r="H11" s="3057">
        <f>H12</f>
        <v>-120.22935741893104</v>
      </c>
      <c r="I11" s="3106" t="s">
        <v>199</v>
      </c>
    </row>
    <row r="12" spans="2:12" ht="18" customHeight="1" x14ac:dyDescent="0.2">
      <c r="B12" s="160" t="s">
        <v>487</v>
      </c>
      <c r="C12" s="3027"/>
      <c r="D12" s="3057">
        <f>IFERROR(SUM(F12,-H12)/$C$11,"NA")</f>
        <v>9.7689121689451071</v>
      </c>
      <c r="E12" s="3057">
        <f>IFERROR(SUM(G12)/$C$11,"NA")</f>
        <v>11.857866917068446</v>
      </c>
      <c r="F12" s="3104">
        <v>724.98131944867566</v>
      </c>
      <c r="G12" s="3104">
        <v>1025.9479817048746</v>
      </c>
      <c r="H12" s="3104">
        <v>-120.22935741893104</v>
      </c>
      <c r="I12" s="3015" t="s">
        <v>199</v>
      </c>
    </row>
    <row r="13" spans="2:12" ht="18" customHeight="1" x14ac:dyDescent="0.2">
      <c r="B13" s="160" t="s">
        <v>488</v>
      </c>
      <c r="C13" s="3027"/>
      <c r="D13" s="3057">
        <f>IFERROR(SUM(F13)/$C$11,"NA")</f>
        <v>0.36782321377318322</v>
      </c>
      <c r="E13" s="3057" t="s">
        <v>205</v>
      </c>
      <c r="F13" s="3104">
        <v>31.824229976102007</v>
      </c>
      <c r="G13" s="3104" t="s">
        <v>221</v>
      </c>
      <c r="H13" s="3104" t="s">
        <v>199</v>
      </c>
      <c r="I13" s="3015" t="s">
        <v>199</v>
      </c>
    </row>
    <row r="14" spans="2:12" ht="18" customHeight="1" x14ac:dyDescent="0.2">
      <c r="B14" s="160" t="s">
        <v>489</v>
      </c>
      <c r="C14" s="3442">
        <v>115</v>
      </c>
      <c r="D14" s="3057">
        <f>IFERROR(SUM(F14)/$C$11,"NA")</f>
        <v>0.65296041958913731</v>
      </c>
      <c r="E14" s="3057" t="s">
        <v>205</v>
      </c>
      <c r="F14" s="3104">
        <v>56.494429335040977</v>
      </c>
      <c r="G14" s="3104" t="s">
        <v>205</v>
      </c>
      <c r="H14" s="3104" t="s">
        <v>199</v>
      </c>
      <c r="I14" s="3015" t="s">
        <v>199</v>
      </c>
    </row>
    <row r="15" spans="2:12" ht="18" customHeight="1" x14ac:dyDescent="0.2">
      <c r="B15" s="160" t="s">
        <v>490</v>
      </c>
      <c r="C15" s="3014">
        <v>2.3749517794255898E-2</v>
      </c>
      <c r="D15" s="3057">
        <f>IFERROR(SUM(F15)/$C15,"NA")</f>
        <v>8.9764032426282423</v>
      </c>
      <c r="E15" s="3057">
        <f>IFERROR(SUM(G15)/$C15,"NA")</f>
        <v>2824.2829714610807</v>
      </c>
      <c r="F15" s="3104">
        <v>0.21318524853921578</v>
      </c>
      <c r="G15" s="3104">
        <v>67.075358686728862</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379.71093999999999</v>
      </c>
      <c r="D18" s="3057">
        <f>IFERROR(SUM(F18)/$C$18,"NA")</f>
        <v>0.75472181309115893</v>
      </c>
      <c r="E18" s="3057">
        <f>IFERROR(SUM(G18)/$C$18,"NA")</f>
        <v>0.31574244394876633</v>
      </c>
      <c r="F18" s="3057">
        <f>SUM(F19:F21)</f>
        <v>286.57612908734825</v>
      </c>
      <c r="G18" s="3109">
        <f t="shared" ref="G18" si="1">SUM(G19:G21)</f>
        <v>119.89086018968338</v>
      </c>
      <c r="H18" s="3057" t="s">
        <v>199</v>
      </c>
      <c r="I18" s="3106" t="s">
        <v>199</v>
      </c>
    </row>
    <row r="19" spans="2:9" ht="18" customHeight="1" x14ac:dyDescent="0.2">
      <c r="B19" s="160" t="s">
        <v>493</v>
      </c>
      <c r="C19" s="3027"/>
      <c r="D19" s="3057">
        <f>IFERROR(SUM(F19)/$C$18,"NA")</f>
        <v>0.75472181309115893</v>
      </c>
      <c r="E19" s="3057">
        <f>IFERROR(SUM(G19)/$C$18,"NA")</f>
        <v>0.31574244394876633</v>
      </c>
      <c r="F19" s="3104">
        <v>286.57612908734825</v>
      </c>
      <c r="G19" s="3104">
        <v>119.89086018968338</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7"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398.12117440353597</v>
      </c>
      <c r="J10" s="3123">
        <f>IF(SUM(J11:J16)=0,"NO",SUM(J11:J16))</f>
        <v>3.0057938012096277</v>
      </c>
      <c r="K10" s="4433">
        <f>IF(SUM(K11:K16)=0,"NO",SUM(K11:K16))</f>
        <v>1.1986443012435894E-2</v>
      </c>
      <c r="L10" s="3124" t="s">
        <v>199</v>
      </c>
    </row>
    <row r="11" spans="2:12" ht="18" customHeight="1" x14ac:dyDescent="0.2">
      <c r="B11" s="1251" t="s">
        <v>520</v>
      </c>
      <c r="C11" s="2190" t="s">
        <v>521</v>
      </c>
      <c r="D11" s="2190" t="s">
        <v>522</v>
      </c>
      <c r="E11" s="699">
        <v>61</v>
      </c>
      <c r="F11" s="1938">
        <f>I11*1000000/$E11</f>
        <v>8356.3599851066447</v>
      </c>
      <c r="G11" s="1938">
        <f>J11*1000000/$E11</f>
        <v>0.87045416511527529</v>
      </c>
      <c r="H11" s="1938">
        <f>K11*1000000/$E11</f>
        <v>0.58966249894905753</v>
      </c>
      <c r="I11" s="3119">
        <v>0.50973795909150532</v>
      </c>
      <c r="J11" s="4434">
        <v>5.3097704072031793E-5</v>
      </c>
      <c r="K11" s="4440">
        <v>3.5969412435892507E-5</v>
      </c>
      <c r="L11" s="3072" t="s">
        <v>199</v>
      </c>
    </row>
    <row r="12" spans="2:12" ht="18" customHeight="1" x14ac:dyDescent="0.2">
      <c r="B12" s="1251" t="s">
        <v>523</v>
      </c>
      <c r="C12" s="2190" t="s">
        <v>524</v>
      </c>
      <c r="D12" s="2190" t="s">
        <v>525</v>
      </c>
      <c r="E12" s="699">
        <v>899.7</v>
      </c>
      <c r="F12" s="1938" t="s">
        <v>205</v>
      </c>
      <c r="G12" s="1938">
        <f>J12*1000000/$E12</f>
        <v>550.1833944648215</v>
      </c>
      <c r="H12" s="3075"/>
      <c r="I12" s="3125" t="s">
        <v>205</v>
      </c>
      <c r="J12" s="699">
        <v>0.49499999999999994</v>
      </c>
      <c r="K12" s="3027"/>
      <c r="L12" s="3072" t="s">
        <v>199</v>
      </c>
    </row>
    <row r="13" spans="2:12" ht="18" customHeight="1" x14ac:dyDescent="0.2">
      <c r="B13" s="1251" t="s">
        <v>526</v>
      </c>
      <c r="C13" s="2190" t="s">
        <v>527</v>
      </c>
      <c r="D13" s="2190" t="s">
        <v>525</v>
      </c>
      <c r="E13" s="699">
        <v>734.79100000000005</v>
      </c>
      <c r="F13" s="1938" t="s">
        <v>205</v>
      </c>
      <c r="G13" s="1938">
        <f>J13*1000000/$E13</f>
        <v>278.81165528701365</v>
      </c>
      <c r="H13" s="3075"/>
      <c r="I13" s="3125" t="s">
        <v>205</v>
      </c>
      <c r="J13" s="699">
        <v>0.20486829500000003</v>
      </c>
      <c r="K13" s="3027"/>
      <c r="L13" s="3072" t="s">
        <v>199</v>
      </c>
    </row>
    <row r="14" spans="2:12" ht="18" customHeight="1" x14ac:dyDescent="0.2">
      <c r="B14" s="1251" t="s">
        <v>528</v>
      </c>
      <c r="C14" s="2190" t="s">
        <v>529</v>
      </c>
      <c r="D14" s="2190" t="s">
        <v>525</v>
      </c>
      <c r="E14" s="699">
        <v>1407.3789999999999</v>
      </c>
      <c r="F14" s="1938">
        <f>I14*1000000/$E14</f>
        <v>282519.09147745173</v>
      </c>
      <c r="G14" s="1938">
        <f>J14*1000000/$E14</f>
        <v>1593.6497102454678</v>
      </c>
      <c r="H14" s="1938">
        <f>K14*1000000/$E14</f>
        <v>8.4912973690811082</v>
      </c>
      <c r="I14" s="3125">
        <v>397.61143644444445</v>
      </c>
      <c r="J14" s="699">
        <v>2.2428691355555559</v>
      </c>
      <c r="K14" s="4439">
        <v>1.1950473600000001E-2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6.3003272949999994E-2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2453</v>
      </c>
      <c r="F18" s="1938" t="s">
        <v>205</v>
      </c>
      <c r="G18" s="1938">
        <f>J18*1000000/$E18</f>
        <v>25.68417160619649</v>
      </c>
      <c r="H18" s="3126"/>
      <c r="I18" s="3128" t="s">
        <v>205</v>
      </c>
      <c r="J18" s="2215">
        <v>6.3003272949999994E-2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27.60351769932694</v>
      </c>
      <c r="J21" s="4437">
        <f>IF(SUM(J22:J27)=0,"NO",SUM(J22:J27))</f>
        <v>144.56459190298517</v>
      </c>
      <c r="K21" s="4438">
        <f>IF(SUM(K22:K27)=0,"NO",SUM(K22:K27))</f>
        <v>5.4769184249978706E-4</v>
      </c>
      <c r="L21" s="3047" t="str">
        <f>IF(SUM(L22:L27)=0,"NO",SUM(L22:L27))</f>
        <v>NO</v>
      </c>
    </row>
    <row r="22" spans="2:12" ht="18" customHeight="1" x14ac:dyDescent="0.2">
      <c r="B22" s="1468" t="s">
        <v>535</v>
      </c>
      <c r="C22" s="2190" t="s">
        <v>521</v>
      </c>
      <c r="D22" s="2190" t="s">
        <v>522</v>
      </c>
      <c r="E22" s="699">
        <v>382.07533815590074</v>
      </c>
      <c r="F22" s="1938">
        <f>I22*1000000/$E22</f>
        <v>48710.656578827984</v>
      </c>
      <c r="G22" s="1938">
        <f>J22*1000000/$E22</f>
        <v>2017.724756631425</v>
      </c>
      <c r="H22" s="1938">
        <f>K22*1000000/$E22</f>
        <v>1.4334655702805628</v>
      </c>
      <c r="I22" s="3119">
        <v>18.611140584151652</v>
      </c>
      <c r="J22" s="700">
        <v>0.77092286869548421</v>
      </c>
      <c r="K22" s="4129">
        <v>5.4769184249978706E-4</v>
      </c>
      <c r="L22" s="3133" t="s">
        <v>199</v>
      </c>
    </row>
    <row r="23" spans="2:12" ht="18" customHeight="1" x14ac:dyDescent="0.2">
      <c r="B23" s="1251" t="s">
        <v>536</v>
      </c>
      <c r="C23" s="2190" t="s">
        <v>537</v>
      </c>
      <c r="D23" s="2190" t="s">
        <v>525</v>
      </c>
      <c r="E23" s="699">
        <v>2916.5339410881279</v>
      </c>
      <c r="F23" s="1938">
        <f>I23*1000000/$E23</f>
        <v>174.44610688082048</v>
      </c>
      <c r="G23" s="1938">
        <f>J23*1000000/$E23</f>
        <v>4006.175910561923</v>
      </c>
      <c r="H23" s="3075"/>
      <c r="I23" s="3125">
        <v>0.50877799160860016</v>
      </c>
      <c r="J23" s="699">
        <v>11.684148017123485</v>
      </c>
      <c r="K23" s="3027"/>
      <c r="L23" s="3133" t="s">
        <v>199</v>
      </c>
    </row>
    <row r="24" spans="2:12" ht="18" customHeight="1" x14ac:dyDescent="0.2">
      <c r="B24" s="1251" t="s">
        <v>538</v>
      </c>
      <c r="C24" s="2190" t="s">
        <v>537</v>
      </c>
      <c r="D24" s="2190" t="s">
        <v>525</v>
      </c>
      <c r="E24" s="699">
        <v>2916.5339410881279</v>
      </c>
      <c r="F24" s="1938">
        <f t="shared" ref="F24:F26" si="0">I24*1000000/$E24</f>
        <v>892.38187714236324</v>
      </c>
      <c r="G24" s="1938">
        <f t="shared" ref="G24:G26" si="1">J24*1000000/$E24</f>
        <v>5455.6150532763677</v>
      </c>
      <c r="H24" s="1885"/>
      <c r="I24" s="699">
        <v>2.6026620330976384</v>
      </c>
      <c r="J24" s="699">
        <v>15.911486472391841</v>
      </c>
      <c r="K24" s="1939"/>
      <c r="L24" s="3072" t="str">
        <f>IF(Table1.C!E21="NO","NO",-Table1.C!E21)</f>
        <v>NO</v>
      </c>
    </row>
    <row r="25" spans="2:12" ht="18" customHeight="1" x14ac:dyDescent="0.2">
      <c r="B25" s="1251" t="s">
        <v>539</v>
      </c>
      <c r="C25" s="2190" t="s">
        <v>540</v>
      </c>
      <c r="D25" s="2190" t="s">
        <v>541</v>
      </c>
      <c r="E25" s="699">
        <v>24301</v>
      </c>
      <c r="F25" s="1938">
        <f t="shared" si="0"/>
        <v>20</v>
      </c>
      <c r="G25" s="1938">
        <f t="shared" si="1"/>
        <v>710.61096839048355</v>
      </c>
      <c r="H25" s="3075"/>
      <c r="I25" s="3125">
        <v>0.48602000000000001</v>
      </c>
      <c r="J25" s="699">
        <v>17.268557142857141</v>
      </c>
      <c r="K25" s="3027"/>
      <c r="L25" s="3072" t="s">
        <v>199</v>
      </c>
    </row>
    <row r="26" spans="2:12" ht="18" customHeight="1" x14ac:dyDescent="0.2">
      <c r="B26" s="1251" t="s">
        <v>542</v>
      </c>
      <c r="C26" s="2190" t="s">
        <v>543</v>
      </c>
      <c r="D26" s="2190" t="s">
        <v>525</v>
      </c>
      <c r="E26" s="699">
        <v>383.25788930023515</v>
      </c>
      <c r="F26" s="1938">
        <f t="shared" si="0"/>
        <v>12789.235601757777</v>
      </c>
      <c r="G26" s="1938">
        <f t="shared" si="1"/>
        <v>230344.73121374458</v>
      </c>
      <c r="H26" s="3075"/>
      <c r="I26" s="3125">
        <v>4.9015754424931082</v>
      </c>
      <c r="J26" s="699">
        <v>88.281435496409742</v>
      </c>
      <c r="K26" s="3027"/>
      <c r="L26" s="3072" t="s">
        <v>199</v>
      </c>
    </row>
    <row r="27" spans="2:12" ht="18" customHeight="1" x14ac:dyDescent="0.2">
      <c r="B27" s="2436" t="s">
        <v>544</v>
      </c>
      <c r="C27" s="607"/>
      <c r="D27" s="607"/>
      <c r="E27" s="615"/>
      <c r="F27" s="615"/>
      <c r="G27" s="615"/>
      <c r="H27" s="3126"/>
      <c r="I27" s="1938">
        <f>IF(SUM(I29:I30)=0,"NO",SUM(I29:I30))</f>
        <v>0.49334164797594182</v>
      </c>
      <c r="J27" s="1938">
        <f>IF(SUM(J29:J30)=0,"NO",SUM(J29:J30))</f>
        <v>10.648041905507485</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0.49334164797594182</v>
      </c>
      <c r="J29" s="3128">
        <v>10.457277240657485</v>
      </c>
      <c r="K29" s="3110"/>
      <c r="L29" s="3080" t="s">
        <v>199</v>
      </c>
    </row>
    <row r="30" spans="2:12" ht="18" customHeight="1" thickBot="1" x14ac:dyDescent="0.25">
      <c r="B30" s="2437" t="s">
        <v>547</v>
      </c>
      <c r="C30" s="2190" t="s">
        <v>533</v>
      </c>
      <c r="D30" s="2190" t="s">
        <v>522</v>
      </c>
      <c r="E30" s="699">
        <v>8272</v>
      </c>
      <c r="F30" s="1938" t="s">
        <v>205</v>
      </c>
      <c r="G30" s="1938">
        <f t="shared" ref="G30" si="2">J30*1000000/$E30</f>
        <v>23.061492365812381</v>
      </c>
      <c r="H30" s="3126"/>
      <c r="I30" s="3128" t="s">
        <v>205</v>
      </c>
      <c r="J30" s="3128">
        <v>0.19076466485000002</v>
      </c>
      <c r="K30" s="3110"/>
      <c r="L30" s="3080" t="s">
        <v>199</v>
      </c>
    </row>
    <row r="31" spans="2:12" ht="18" customHeight="1" x14ac:dyDescent="0.2">
      <c r="B31" s="1254" t="s">
        <v>548</v>
      </c>
      <c r="C31" s="2192"/>
      <c r="D31" s="2192"/>
      <c r="E31" s="3183"/>
      <c r="F31" s="3183"/>
      <c r="G31" s="3183"/>
      <c r="H31" s="3183"/>
      <c r="I31" s="4437">
        <f>IF(SUM(I32,I36)=0,"NO",SUM(I32,I36))</f>
        <v>5407.7509020406178</v>
      </c>
      <c r="J31" s="3046">
        <f>IF(SUM(J32,J36)=0,"NO",SUM(J32,J36))</f>
        <v>58.595831788934227</v>
      </c>
      <c r="K31" s="3046">
        <f>IF(SUM(K32,K36)=0,"NO",SUM(K32,K36))</f>
        <v>6.8507161030767094E-2</v>
      </c>
      <c r="L31" s="3047" t="str">
        <f>IF(SUM(L32,L36)=0,"NO",SUM(L32,L36))</f>
        <v>NO</v>
      </c>
    </row>
    <row r="32" spans="2:12" ht="18" customHeight="1" x14ac:dyDescent="0.2">
      <c r="B32" s="1467" t="s">
        <v>549</v>
      </c>
      <c r="C32" s="2195"/>
      <c r="D32" s="2195"/>
      <c r="E32" s="3007"/>
      <c r="F32" s="3007"/>
      <c r="G32" s="3007"/>
      <c r="H32" s="3007"/>
      <c r="I32" s="3134">
        <f>IF(SUM(I33:I35)=0,"NO",SUM(I33:I35))</f>
        <v>3292.8114325962129</v>
      </c>
      <c r="J32" s="1938">
        <f>IF(SUM(J33:J35)=0,"NO",SUM(J33:J35))</f>
        <v>45.360466432287538</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3816.2339410881277</v>
      </c>
      <c r="F35" s="1938">
        <f t="shared" ref="F35" si="3">SUM(I35,L35)*1000000/$E35</f>
        <v>862843.18085000035</v>
      </c>
      <c r="G35" s="1938">
        <f t="shared" ref="G35" si="4">J35*1000000/$E35</f>
        <v>11886.185997117842</v>
      </c>
      <c r="H35" s="1938" t="s">
        <v>205</v>
      </c>
      <c r="I35" s="699">
        <v>3292.8114325962129</v>
      </c>
      <c r="J35" s="699">
        <v>45.360466432287538</v>
      </c>
      <c r="K35" s="699" t="s">
        <v>199</v>
      </c>
      <c r="L35" s="3072" t="s">
        <v>199</v>
      </c>
    </row>
    <row r="36" spans="2:12" ht="18" customHeight="1" x14ac:dyDescent="0.2">
      <c r="B36" s="1467" t="s">
        <v>554</v>
      </c>
      <c r="C36" s="2195"/>
      <c r="D36" s="2195"/>
      <c r="E36" s="3007"/>
      <c r="F36" s="3007"/>
      <c r="G36" s="3007"/>
      <c r="H36" s="3007"/>
      <c r="I36" s="3134">
        <f>IF(SUM(I37:I39)=0,"NO",SUM(I37:I39))</f>
        <v>2114.9394694444045</v>
      </c>
      <c r="J36" s="3134">
        <f>IF(SUM(J37:J39)=0,"NO",SUM(J37:J39))</f>
        <v>13.235365356646691</v>
      </c>
      <c r="K36" s="1938">
        <f>IF(SUM(K37:K39)=0,"NO",SUM(K37:K39))</f>
        <v>6.8507161030767094E-2</v>
      </c>
      <c r="L36" s="3044" t="str">
        <f>IF(SUM(L37:L39)=0,"NO",SUM(L37:L39))</f>
        <v>NO</v>
      </c>
    </row>
    <row r="37" spans="2:12" ht="18" customHeight="1" x14ac:dyDescent="0.2">
      <c r="B37" s="1469" t="s">
        <v>555</v>
      </c>
      <c r="C37" s="277" t="s">
        <v>556</v>
      </c>
      <c r="D37" s="277" t="s">
        <v>525</v>
      </c>
      <c r="E37" s="699">
        <v>10.143707651146677</v>
      </c>
      <c r="F37" s="1938">
        <f t="shared" ref="F37:F38" si="5">SUM(I37,L37)*1000000/$E37</f>
        <v>90930420.477603152</v>
      </c>
      <c r="G37" s="1938">
        <f t="shared" ref="G37:H38" si="6">J37*1000000/$E37</f>
        <v>1097436.1092124523</v>
      </c>
      <c r="H37" s="1938">
        <f t="shared" si="6"/>
        <v>2539.7807098916746</v>
      </c>
      <c r="I37" s="700">
        <v>922.37160192064766</v>
      </c>
      <c r="J37" s="700">
        <v>11.132071057662992</v>
      </c>
      <c r="K37" s="700">
        <v>2.576279301916292E-2</v>
      </c>
      <c r="L37" s="3133" t="s">
        <v>199</v>
      </c>
    </row>
    <row r="38" spans="2:12" ht="18" customHeight="1" x14ac:dyDescent="0.2">
      <c r="B38" s="1469" t="s">
        <v>557</v>
      </c>
      <c r="C38" s="277" t="s">
        <v>556</v>
      </c>
      <c r="D38" s="277" t="s">
        <v>525</v>
      </c>
      <c r="E38" s="699">
        <v>25.979097608402309</v>
      </c>
      <c r="F38" s="1938">
        <f t="shared" si="5"/>
        <v>45904899.604289934</v>
      </c>
      <c r="G38" s="1938">
        <f t="shared" si="6"/>
        <v>80961.022229788243</v>
      </c>
      <c r="H38" s="1938">
        <f t="shared" si="6"/>
        <v>1645.3369033795673</v>
      </c>
      <c r="I38" s="699">
        <v>1192.5678675237568</v>
      </c>
      <c r="J38" s="699">
        <v>2.1032942989836978</v>
      </c>
      <c r="K38" s="699">
        <v>4.2744368011604181E-2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3" workbookViewId="0">
      <selection activeCell="F14" sqref="F14"/>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40.221592943871848</v>
      </c>
      <c r="M9" s="3323">
        <f>100*C10/SUM(C10,'Table1.A(a)s3'!C16)</f>
        <v>59.778407056128152</v>
      </c>
    </row>
    <row r="10" spans="1:13" ht="18" customHeight="1" thickTop="1" thickBot="1" x14ac:dyDescent="0.25">
      <c r="B10" s="223" t="s">
        <v>603</v>
      </c>
      <c r="C10" s="3303">
        <f>IF(SUM(C11:C13)=0,"NO",SUM(C11:C13))</f>
        <v>120422.5904</v>
      </c>
      <c r="D10" s="3304"/>
      <c r="E10" s="3305"/>
      <c r="F10" s="3305"/>
      <c r="G10" s="3303">
        <f>IF(SUM(G11:G13)=0,"NO",SUM(G11:G13))</f>
        <v>8381.4122918399989</v>
      </c>
      <c r="H10" s="3303">
        <f>IF(SUM(H11:H13)=0,"NO",SUM(H11:H13))</f>
        <v>1.5065205000000002E-2</v>
      </c>
      <c r="I10" s="1154">
        <f>IF(SUM(I11:I13)=0,"NO",SUM(I11:I13))</f>
        <v>4.4078064144736841E-2</v>
      </c>
      <c r="J10" s="4"/>
      <c r="K10" s="68" t="s">
        <v>604</v>
      </c>
      <c r="L10" s="3324">
        <f>100-M10</f>
        <v>39.392444466364438</v>
      </c>
      <c r="M10" s="3325">
        <f>100*C14/SUM(C14,'Table1.A(a)s3'!C88)</f>
        <v>60.607555533635562</v>
      </c>
    </row>
    <row r="11" spans="1:13" ht="18" customHeight="1" x14ac:dyDescent="0.2">
      <c r="B11" s="1257" t="s">
        <v>293</v>
      </c>
      <c r="C11" s="3306">
        <v>120422.5904</v>
      </c>
      <c r="D11" s="116">
        <f>IF(G11="NO","NA",G11*1000/$C11)</f>
        <v>69.599999999999994</v>
      </c>
      <c r="E11" s="116">
        <f t="shared" ref="E11:F13" si="0">IF(H11="NO","NA",H11*1000000/$C11)</f>
        <v>0.12510281459615571</v>
      </c>
      <c r="F11" s="116">
        <f t="shared" si="0"/>
        <v>0.36602820117326457</v>
      </c>
      <c r="G11" s="3041">
        <v>8381.4122918399989</v>
      </c>
      <c r="H11" s="3041">
        <v>1.5065205000000002E-2</v>
      </c>
      <c r="I11" s="3042">
        <v>4.4078064144736841E-2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41148.710322000006</v>
      </c>
      <c r="D14" s="3313"/>
      <c r="E14" s="3314"/>
      <c r="F14" s="3315"/>
      <c r="G14" s="3387">
        <f>IF(SUM(G15:G18,G20:G22)=0,"NO",SUM(G15:G18,G20:G22))</f>
        <v>2995.6714986682</v>
      </c>
      <c r="H14" s="3387">
        <f>IF(SUM(H15:H18,H20:H22)=0,"NO",SUM(H15:H18,H20:H22))</f>
        <v>0.28804097225400005</v>
      </c>
      <c r="I14" s="4428">
        <f>IF(SUM(I15:I18,I20:I22)=0,"NO",SUM(I15:I18,I20:I22))</f>
        <v>8.2297420644000002E-2</v>
      </c>
      <c r="J14" s="4"/>
      <c r="K14" s="1045"/>
      <c r="L14" s="1045"/>
      <c r="M14" s="1045"/>
    </row>
    <row r="15" spans="1:13" ht="18" customHeight="1" x14ac:dyDescent="0.2">
      <c r="B15" s="1259" t="s">
        <v>306</v>
      </c>
      <c r="C15" s="143">
        <v>32263.958692000004</v>
      </c>
      <c r="D15" s="116">
        <f>IF(G15="NO","NA",G15*1000/$C15)</f>
        <v>73.599999999999994</v>
      </c>
      <c r="E15" s="116">
        <f t="shared" ref="E15:F17" si="1">IF(H15="NO","NA",H15*1000000/$C15)</f>
        <v>7.0000000000000009</v>
      </c>
      <c r="F15" s="116">
        <f t="shared" si="1"/>
        <v>1.9999999999999998</v>
      </c>
      <c r="G15" s="3043">
        <v>2374.6273597312002</v>
      </c>
      <c r="H15" s="3043">
        <v>0.22584771084400004</v>
      </c>
      <c r="I15" s="135">
        <v>6.4527917384000003E-2</v>
      </c>
      <c r="J15" s="4"/>
      <c r="K15" s="1045"/>
      <c r="L15" s="1045"/>
      <c r="M15" s="1045"/>
    </row>
    <row r="16" spans="1:13" ht="18" customHeight="1" x14ac:dyDescent="0.2">
      <c r="B16" s="1259" t="s">
        <v>307</v>
      </c>
      <c r="C16" s="3316">
        <v>8884.7516300000007</v>
      </c>
      <c r="D16" s="116">
        <f>IF(G16="NO","NA",G16*1000/$C16)</f>
        <v>69.900000000000006</v>
      </c>
      <c r="E16" s="116">
        <f t="shared" si="1"/>
        <v>7</v>
      </c>
      <c r="F16" s="116">
        <f t="shared" si="1"/>
        <v>2</v>
      </c>
      <c r="G16" s="3043">
        <v>621.04413893700007</v>
      </c>
      <c r="H16" s="3043">
        <v>6.2193261410000006E-2</v>
      </c>
      <c r="I16" s="135">
        <v>1.776950326E-2</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23245.05679168686</v>
      </c>
      <c r="D10" s="2923">
        <f t="shared" ref="D10:N10" si="0">IF(SUM(D11,D16,D27,D35,D39,D45,D52,D57)=0,"NO",SUM(D11,D16,D27,D35,D39,D45,D52,D57))</f>
        <v>3.5465822636148943</v>
      </c>
      <c r="E10" s="2923">
        <f t="shared" si="0"/>
        <v>8.8797618051027403</v>
      </c>
      <c r="F10" s="2923">
        <f t="shared" si="0"/>
        <v>4108.7147366727786</v>
      </c>
      <c r="G10" s="2923">
        <f t="shared" si="0"/>
        <v>617.93925336459722</v>
      </c>
      <c r="H10" s="2923" t="str">
        <f t="shared" si="0"/>
        <v>NO</v>
      </c>
      <c r="I10" s="2923">
        <f t="shared" si="0"/>
        <v>8.1609069599868894E-3</v>
      </c>
      <c r="J10" s="2923" t="str">
        <f t="shared" si="0"/>
        <v>NO</v>
      </c>
      <c r="K10" s="2923">
        <f t="shared" si="0"/>
        <v>38.506250117455551</v>
      </c>
      <c r="L10" s="2924">
        <f t="shared" si="0"/>
        <v>10.314809980880623</v>
      </c>
      <c r="M10" s="2925">
        <f t="shared" si="0"/>
        <v>239.36323775397858</v>
      </c>
      <c r="N10" s="2926">
        <f t="shared" si="0"/>
        <v>1695.8069667956652</v>
      </c>
      <c r="O10" s="3002">
        <f t="shared" ref="O10:O58" si="1">IF(SUM(C10:J10)=0,"NO",SUM(C10,F10:H10)+28*SUM(D10)+265*SUM(E10)+23500*SUM(I10)+16100*SUM(J10))</f>
        <v>30615.933277017375</v>
      </c>
    </row>
    <row r="11" spans="1:15" ht="18" customHeight="1" x14ac:dyDescent="0.2">
      <c r="B11" s="1262" t="s">
        <v>621</v>
      </c>
      <c r="C11" s="2163">
        <f>IF(SUM(C12:C15)=0,"NO",SUM(C12:C15))</f>
        <v>6668.9977667490357</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6668.9977667490357</v>
      </c>
    </row>
    <row r="12" spans="1:15" ht="18" customHeight="1" x14ac:dyDescent="0.2">
      <c r="B12" s="1263" t="s">
        <v>622</v>
      </c>
      <c r="C12" s="2930">
        <f>'Table2(I).A-H'!H11</f>
        <v>3888.0615680000001</v>
      </c>
      <c r="D12" s="2162"/>
      <c r="E12" s="2162"/>
      <c r="F12" s="615"/>
      <c r="G12" s="615"/>
      <c r="H12" s="2161"/>
      <c r="I12" s="615"/>
      <c r="J12" s="2161"/>
      <c r="K12" s="2161"/>
      <c r="L12" s="2161"/>
      <c r="M12" s="2161"/>
      <c r="N12" s="2929" t="s">
        <v>199</v>
      </c>
      <c r="O12" s="2943">
        <f t="shared" si="1"/>
        <v>3888.0615680000001</v>
      </c>
    </row>
    <row r="13" spans="1:15" ht="18" customHeight="1" x14ac:dyDescent="0.2">
      <c r="B13" s="1263" t="s">
        <v>623</v>
      </c>
      <c r="C13" s="1884">
        <f>'Table2(I).A-H'!H12</f>
        <v>1101.812078394084</v>
      </c>
      <c r="D13" s="2135"/>
      <c r="E13" s="2135"/>
      <c r="F13" s="615"/>
      <c r="G13" s="615"/>
      <c r="H13" s="2161"/>
      <c r="I13" s="615"/>
      <c r="J13" s="2161"/>
      <c r="K13" s="615"/>
      <c r="L13" s="615"/>
      <c r="M13" s="615"/>
      <c r="N13" s="1842"/>
      <c r="O13" s="1887">
        <f t="shared" si="1"/>
        <v>1101.812078394084</v>
      </c>
    </row>
    <row r="14" spans="1:15" ht="18" customHeight="1" x14ac:dyDescent="0.2">
      <c r="B14" s="1263" t="s">
        <v>624</v>
      </c>
      <c r="C14" s="1884">
        <f>'Table2(I).A-H'!H13</f>
        <v>105.02986829605214</v>
      </c>
      <c r="D14" s="2135"/>
      <c r="E14" s="2135"/>
      <c r="F14" s="615"/>
      <c r="G14" s="615"/>
      <c r="H14" s="2161"/>
      <c r="I14" s="615"/>
      <c r="J14" s="2161"/>
      <c r="K14" s="615"/>
      <c r="L14" s="615"/>
      <c r="M14" s="615"/>
      <c r="N14" s="1842"/>
      <c r="O14" s="1887">
        <f t="shared" si="1"/>
        <v>105.02986829605214</v>
      </c>
    </row>
    <row r="15" spans="1:15" ht="18" customHeight="1" thickBot="1" x14ac:dyDescent="0.25">
      <c r="B15" s="1263" t="s">
        <v>625</v>
      </c>
      <c r="C15" s="1884">
        <f>'Table2(I).A-H'!H14</f>
        <v>1574.0942520588994</v>
      </c>
      <c r="D15" s="1885"/>
      <c r="E15" s="1885"/>
      <c r="F15" s="3003"/>
      <c r="G15" s="3003"/>
      <c r="H15" s="3003"/>
      <c r="I15" s="3003"/>
      <c r="J15" s="3003"/>
      <c r="K15" s="2622" t="s">
        <v>199</v>
      </c>
      <c r="L15" s="2622" t="s">
        <v>199</v>
      </c>
      <c r="M15" s="2622" t="s">
        <v>199</v>
      </c>
      <c r="N15" s="2623" t="s">
        <v>199</v>
      </c>
      <c r="O15" s="1887">
        <f t="shared" si="1"/>
        <v>1574.0942520588994</v>
      </c>
    </row>
    <row r="16" spans="1:15" ht="18" customHeight="1" x14ac:dyDescent="0.2">
      <c r="B16" s="1264" t="s">
        <v>626</v>
      </c>
      <c r="C16" s="2163">
        <f>IF(SUM(C17:C26)=0,"NO",SUM(C17:C26))</f>
        <v>3442.2998770693698</v>
      </c>
      <c r="D16" s="2163">
        <f t="shared" ref="D16:N16" si="3">IF(SUM(D17:D26)=0,"NO",SUM(D17:D26))</f>
        <v>0.5693838</v>
      </c>
      <c r="E16" s="2163">
        <f t="shared" si="3"/>
        <v>8.8043569476129075</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2.8051172450999995</v>
      </c>
      <c r="N16" s="2928" t="str">
        <f t="shared" si="3"/>
        <v>NO</v>
      </c>
      <c r="O16" s="2950">
        <f t="shared" si="1"/>
        <v>5791.3972145867901</v>
      </c>
    </row>
    <row r="17" spans="2:15" ht="18" customHeight="1" x14ac:dyDescent="0.2">
      <c r="B17" s="1265" t="s">
        <v>627</v>
      </c>
      <c r="C17" s="2930">
        <f>'Table2(I).A-H'!H23</f>
        <v>1935.2314714803197</v>
      </c>
      <c r="D17" s="2165" t="str">
        <f>'Table2(I).A-H'!I23</f>
        <v>NO</v>
      </c>
      <c r="E17" s="2165" t="str">
        <f>'Table2(I).A-H'!J23</f>
        <v>NO</v>
      </c>
      <c r="F17" s="2161"/>
      <c r="G17" s="2161"/>
      <c r="H17" s="2161"/>
      <c r="I17" s="2161"/>
      <c r="J17" s="2161"/>
      <c r="K17" s="700" t="s">
        <v>199</v>
      </c>
      <c r="L17" s="700" t="s">
        <v>199</v>
      </c>
      <c r="M17" s="700" t="s">
        <v>199</v>
      </c>
      <c r="N17" s="700" t="s">
        <v>199</v>
      </c>
      <c r="O17" s="2943">
        <f t="shared" si="1"/>
        <v>1935.2314714803197</v>
      </c>
    </row>
    <row r="18" spans="2:15" ht="18" customHeight="1" x14ac:dyDescent="0.2">
      <c r="B18" s="1263" t="s">
        <v>628</v>
      </c>
      <c r="C18" s="1935"/>
      <c r="D18" s="2162"/>
      <c r="E18" s="2165">
        <f>'Table2(I).A-H'!J24</f>
        <v>8.8043569476129075</v>
      </c>
      <c r="F18" s="615"/>
      <c r="G18" s="615"/>
      <c r="H18" s="2161"/>
      <c r="I18" s="615"/>
      <c r="J18" s="2161"/>
      <c r="K18" s="700" t="s">
        <v>199</v>
      </c>
      <c r="L18" s="615"/>
      <c r="M18" s="615"/>
      <c r="N18" s="1842"/>
      <c r="O18" s="2943">
        <f t="shared" si="1"/>
        <v>2333.1545911174203</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1330.9299818626614</v>
      </c>
      <c r="D22" s="1939"/>
      <c r="E22" s="615"/>
      <c r="F22" s="615"/>
      <c r="G22" s="615"/>
      <c r="H22" s="2161"/>
      <c r="I22" s="615"/>
      <c r="J22" s="2161"/>
      <c r="K22" s="1939"/>
      <c r="L22" s="1939"/>
      <c r="M22" s="1939"/>
      <c r="N22" s="2931"/>
      <c r="O22" s="1887">
        <f t="shared" si="1"/>
        <v>1330.9299818626614</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46.86107299999999</v>
      </c>
      <c r="D24" s="1884">
        <f>'Table2(I).A-H'!I35</f>
        <v>0.5693838</v>
      </c>
      <c r="E24" s="615"/>
      <c r="F24" s="615"/>
      <c r="G24" s="615"/>
      <c r="H24" s="2161"/>
      <c r="I24" s="615"/>
      <c r="J24" s="2161"/>
      <c r="K24" s="700" t="s">
        <v>199</v>
      </c>
      <c r="L24" s="700" t="s">
        <v>199</v>
      </c>
      <c r="M24" s="699">
        <v>2.8051172450999995</v>
      </c>
      <c r="N24" s="700" t="s">
        <v>199</v>
      </c>
      <c r="O24" s="1887">
        <f t="shared" si="1"/>
        <v>62.803819399999995</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129.27735072638853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129.27735072638853</v>
      </c>
    </row>
    <row r="27" spans="2:15" ht="18" customHeight="1" x14ac:dyDescent="0.2">
      <c r="B27" s="1262" t="s">
        <v>637</v>
      </c>
      <c r="C27" s="2163">
        <f>IF(SUM(C28:C34)=0,"NO",SUM(C28:C34))</f>
        <v>12730.761169823347</v>
      </c>
      <c r="D27" s="2163">
        <f t="shared" ref="D27:N27" si="4">IF(SUM(D28:D34)=0,"NO",SUM(D28:D34))</f>
        <v>2.9771984636148945</v>
      </c>
      <c r="E27" s="2163">
        <f t="shared" si="4"/>
        <v>7.5404857489833013E-2</v>
      </c>
      <c r="F27" s="2164" t="str">
        <f t="shared" si="4"/>
        <v>NO</v>
      </c>
      <c r="G27" s="2164">
        <f t="shared" si="4"/>
        <v>617.93925336459722</v>
      </c>
      <c r="H27" s="2164" t="str">
        <f t="shared" si="4"/>
        <v>NO</v>
      </c>
      <c r="I27" s="2164" t="str">
        <f t="shared" si="4"/>
        <v>NO</v>
      </c>
      <c r="J27" s="2164" t="str">
        <f t="shared" si="4"/>
        <v>NO</v>
      </c>
      <c r="K27" s="2163">
        <f t="shared" si="4"/>
        <v>38.506250117455551</v>
      </c>
      <c r="L27" s="2163">
        <f t="shared" si="4"/>
        <v>10.314809980880623</v>
      </c>
      <c r="M27" s="2927">
        <f t="shared" si="4"/>
        <v>9.3871641778285775E-2</v>
      </c>
      <c r="N27" s="2928">
        <f t="shared" si="4"/>
        <v>1695.8069667956652</v>
      </c>
      <c r="O27" s="2950">
        <f t="shared" si="1"/>
        <v>13452.044267403966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3087.9193322580832</v>
      </c>
      <c r="D30" s="1885"/>
      <c r="E30" s="615"/>
      <c r="F30" s="615"/>
      <c r="G30" s="2166">
        <f>SUM('Table2(II)'!X41:Y41)</f>
        <v>617.93925336459722</v>
      </c>
      <c r="H30" s="2162"/>
      <c r="I30" s="2168" t="s">
        <v>199</v>
      </c>
      <c r="J30" s="2161"/>
      <c r="K30" s="699" t="s">
        <v>205</v>
      </c>
      <c r="L30" s="699" t="s">
        <v>205</v>
      </c>
      <c r="M30" s="699" t="s">
        <v>205</v>
      </c>
      <c r="N30" s="2921">
        <v>48.832479999999997</v>
      </c>
      <c r="O30" s="1887">
        <f t="shared" si="1"/>
        <v>3705.8585856226805</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9642.8418375652636</v>
      </c>
      <c r="D34" s="1888">
        <f>'Table2(I).A-H'!I67</f>
        <v>2.9771984636148945</v>
      </c>
      <c r="E34" s="1888">
        <f>'Table2(I).A-H'!J67</f>
        <v>7.5404857489833013E-2</v>
      </c>
      <c r="F34" s="2172" t="s">
        <v>199</v>
      </c>
      <c r="G34" s="2172" t="s">
        <v>199</v>
      </c>
      <c r="H34" s="2172" t="s">
        <v>199</v>
      </c>
      <c r="I34" s="2172" t="s">
        <v>199</v>
      </c>
      <c r="J34" s="2172" t="s">
        <v>199</v>
      </c>
      <c r="K34" s="2622">
        <v>38.506250117455551</v>
      </c>
      <c r="L34" s="2622">
        <v>10.314809980880623</v>
      </c>
      <c r="M34" s="2622">
        <v>9.3871641778285775E-2</v>
      </c>
      <c r="N34" s="2623">
        <v>1646.9744867956651</v>
      </c>
      <c r="O34" s="1890">
        <f t="shared" si="1"/>
        <v>9746.1856817812859</v>
      </c>
    </row>
    <row r="35" spans="2:15" ht="18" customHeight="1" x14ac:dyDescent="0.2">
      <c r="B35" s="2489" t="s">
        <v>645</v>
      </c>
      <c r="C35" s="2930">
        <f>IF(SUM(C36:C38)=0,"NO",SUM(C36:C38))</f>
        <v>242.50388750000002</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181.13082477855505</v>
      </c>
      <c r="N35" s="2077" t="str">
        <f t="shared" ref="N35" si="7">IF(SUM(N36:N38)=0,"NO",SUM(N36:N38))</f>
        <v>NO</v>
      </c>
      <c r="O35" s="2943">
        <f t="shared" si="1"/>
        <v>242.50388750000002</v>
      </c>
    </row>
    <row r="36" spans="2:15" ht="18" customHeight="1" x14ac:dyDescent="0.2">
      <c r="B36" s="1269" t="s">
        <v>646</v>
      </c>
      <c r="C36" s="1884">
        <f>'Table2(I).A-H'!H73</f>
        <v>242.50388750000002</v>
      </c>
      <c r="D36" s="2166" t="str">
        <f>'Table2(I).A-H'!I73</f>
        <v>NO</v>
      </c>
      <c r="E36" s="2166" t="str">
        <f>'Table2(I).A-H'!J73</f>
        <v>NO</v>
      </c>
      <c r="F36" s="615"/>
      <c r="G36" s="615"/>
      <c r="H36" s="2161"/>
      <c r="I36" s="615"/>
      <c r="J36" s="2161"/>
      <c r="K36" s="2173" t="s">
        <v>205</v>
      </c>
      <c r="L36" s="2173" t="s">
        <v>205</v>
      </c>
      <c r="M36" s="699" t="s">
        <v>205</v>
      </c>
      <c r="N36" s="2167" t="s">
        <v>205</v>
      </c>
      <c r="O36" s="1887">
        <f t="shared" si="1"/>
        <v>242.50388750000002</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181.13082477855505</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4108.7147366727786</v>
      </c>
      <c r="G45" s="2163" t="str">
        <f t="shared" ref="G45:J45" si="9">IF(SUM(G46:G51)=0,"NO",SUM(G46:G51))</f>
        <v>NO</v>
      </c>
      <c r="H45" s="2930" t="str">
        <f t="shared" si="9"/>
        <v>NO</v>
      </c>
      <c r="I45" s="2930" t="str">
        <f t="shared" si="9"/>
        <v>NO</v>
      </c>
      <c r="J45" s="2165" t="str">
        <f t="shared" si="9"/>
        <v>NO</v>
      </c>
      <c r="K45" s="1955"/>
      <c r="L45" s="1955"/>
      <c r="M45" s="1955"/>
      <c r="N45" s="2178"/>
      <c r="O45" s="2950">
        <f t="shared" si="1"/>
        <v>4108.7147366727786</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3839.1442070342932</v>
      </c>
      <c r="G46" s="1884" t="s">
        <v>199</v>
      </c>
      <c r="H46" s="1884" t="s">
        <v>199</v>
      </c>
      <c r="I46" s="1884" t="s">
        <v>199</v>
      </c>
      <c r="J46" s="2165" t="str">
        <f t="shared" ref="J46" si="10">IF(SUM(J47:J52)=0,"NO",SUM(J47:J52))</f>
        <v>NO</v>
      </c>
      <c r="K46" s="615"/>
      <c r="L46" s="615"/>
      <c r="M46" s="615"/>
      <c r="N46" s="1842"/>
      <c r="O46" s="1887">
        <f t="shared" si="1"/>
        <v>3839.1442070342932</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34.87276172323552</v>
      </c>
      <c r="G47" s="1884" t="s">
        <v>199</v>
      </c>
      <c r="H47" s="1884" t="s">
        <v>199</v>
      </c>
      <c r="I47" s="1884" t="s">
        <v>199</v>
      </c>
      <c r="J47" s="2165" t="str">
        <f t="shared" ref="J47" si="11">IF(SUM(J48:J53)=0,"NO",SUM(J48:J53))</f>
        <v>NO</v>
      </c>
      <c r="K47" s="615"/>
      <c r="L47" s="615"/>
      <c r="M47" s="615"/>
      <c r="N47" s="1842"/>
      <c r="O47" s="1887">
        <f t="shared" si="1"/>
        <v>34.87276172323552</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22.883216263158623</v>
      </c>
      <c r="G48" s="1884" t="s">
        <v>199</v>
      </c>
      <c r="H48" s="1884" t="s">
        <v>199</v>
      </c>
      <c r="I48" s="1884" t="s">
        <v>199</v>
      </c>
      <c r="J48" s="2165" t="str">
        <f t="shared" ref="J48" si="12">IF(SUM(J49:J54)=0,"NO",SUM(J49:J54))</f>
        <v>NO</v>
      </c>
      <c r="K48" s="615"/>
      <c r="L48" s="615"/>
      <c r="M48" s="615"/>
      <c r="N48" s="1842"/>
      <c r="O48" s="1887">
        <f t="shared" si="1"/>
        <v>22.883216263158623</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122.67046162805215</v>
      </c>
      <c r="G49" s="1884" t="s">
        <v>199</v>
      </c>
      <c r="H49" s="1884" t="s">
        <v>199</v>
      </c>
      <c r="I49" s="1884" t="s">
        <v>199</v>
      </c>
      <c r="J49" s="2165" t="str">
        <f t="shared" ref="J49" si="13">IF(SUM(J50:J55)=0,"NO",SUM(J50:J55))</f>
        <v>NO</v>
      </c>
      <c r="K49" s="615"/>
      <c r="L49" s="615"/>
      <c r="M49" s="615"/>
      <c r="N49" s="1842"/>
      <c r="O49" s="1887">
        <f t="shared" si="1"/>
        <v>122.67046162805215</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89.14409002403869</v>
      </c>
      <c r="G50" s="1884" t="s">
        <v>199</v>
      </c>
      <c r="H50" s="1884" t="s">
        <v>199</v>
      </c>
      <c r="I50" s="1884" t="s">
        <v>199</v>
      </c>
      <c r="J50" s="2165" t="str">
        <f t="shared" ref="J50" si="14">IF(SUM(J51:J56)=0,"NO",SUM(J51:J56))</f>
        <v>NO</v>
      </c>
      <c r="K50" s="615"/>
      <c r="L50" s="615"/>
      <c r="M50" s="615"/>
      <c r="N50" s="1842"/>
      <c r="O50" s="1887">
        <f t="shared" si="1"/>
        <v>89.14409002403869</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8.1609069599868894E-3</v>
      </c>
      <c r="J52" s="2165" t="str">
        <f t="shared" si="16"/>
        <v>NO</v>
      </c>
      <c r="K52" s="2165" t="str">
        <f t="shared" si="16"/>
        <v>NO</v>
      </c>
      <c r="L52" s="2165" t="str">
        <f t="shared" si="16"/>
        <v>NO</v>
      </c>
      <c r="M52" s="2165" t="str">
        <f t="shared" si="16"/>
        <v>NO</v>
      </c>
      <c r="N52" s="2077" t="str">
        <f t="shared" si="16"/>
        <v>NO</v>
      </c>
      <c r="O52" s="2943">
        <f t="shared" si="1"/>
        <v>191.78131355969191</v>
      </c>
    </row>
    <row r="53" spans="2:15" ht="18" customHeight="1" x14ac:dyDescent="0.2">
      <c r="B53" s="1269" t="s">
        <v>663</v>
      </c>
      <c r="C53" s="2161"/>
      <c r="D53" s="2161"/>
      <c r="E53" s="2161"/>
      <c r="F53" s="2930" t="s">
        <v>199</v>
      </c>
      <c r="G53" s="2930" t="s">
        <v>199</v>
      </c>
      <c r="H53" s="2930" t="s">
        <v>199</v>
      </c>
      <c r="I53" s="2930">
        <f>SUM('Table2(II).B-Hs2'!J163:M163)/1000</f>
        <v>7.4505089372968215E-3</v>
      </c>
      <c r="J53" s="2930" t="s">
        <v>199</v>
      </c>
      <c r="K53" s="2161"/>
      <c r="L53" s="2161"/>
      <c r="M53" s="2161"/>
      <c r="N53" s="2174"/>
      <c r="O53" s="2943">
        <f t="shared" si="1"/>
        <v>175.08696002647531</v>
      </c>
    </row>
    <row r="54" spans="2:15" ht="18" customHeight="1" x14ac:dyDescent="0.2">
      <c r="B54" s="1269" t="s">
        <v>664</v>
      </c>
      <c r="C54" s="2161"/>
      <c r="D54" s="2161"/>
      <c r="E54" s="2161"/>
      <c r="F54" s="2161"/>
      <c r="G54" s="2930" t="s">
        <v>199</v>
      </c>
      <c r="H54" s="3007"/>
      <c r="I54" s="2930">
        <f>SUM('Table2(II).B-Hs2'!J165:M165)/1000</f>
        <v>7.1039802269006727E-4</v>
      </c>
      <c r="J54" s="2161"/>
      <c r="K54" s="2161"/>
      <c r="L54" s="2161"/>
      <c r="M54" s="2161"/>
      <c r="N54" s="2174"/>
      <c r="O54" s="2943">
        <f t="shared" si="1"/>
        <v>16.694353533216582</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160.49409054511213</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55.333424088545243</v>
      </c>
      <c r="N57" s="2100" t="str">
        <f>N58</f>
        <v>NA</v>
      </c>
      <c r="O57" s="2950">
        <f t="shared" si="1"/>
        <v>160.49409054511213</v>
      </c>
    </row>
    <row r="58" spans="2:15" ht="18" customHeight="1" thickBot="1" x14ac:dyDescent="0.25">
      <c r="B58" s="2613" t="s">
        <v>668</v>
      </c>
      <c r="C58" s="2517">
        <f>'Table2(I).A-H'!H98</f>
        <v>160.49409054511213</v>
      </c>
      <c r="D58" s="2517" t="str">
        <f>'Table2(I).A-H'!I98</f>
        <v>NO</v>
      </c>
      <c r="E58" s="2517" t="str">
        <f>'Table2(I).A-H'!J98</f>
        <v>NO</v>
      </c>
      <c r="F58" s="2517" t="s">
        <v>199</v>
      </c>
      <c r="G58" s="2517" t="s">
        <v>199</v>
      </c>
      <c r="H58" s="2517" t="s">
        <v>199</v>
      </c>
      <c r="I58" s="2517" t="s">
        <v>199</v>
      </c>
      <c r="J58" s="2517" t="s">
        <v>199</v>
      </c>
      <c r="K58" s="2922" t="s">
        <v>205</v>
      </c>
      <c r="L58" s="2922" t="s">
        <v>205</v>
      </c>
      <c r="M58" s="2922">
        <v>55.333424088545243</v>
      </c>
      <c r="N58" s="2932" t="s">
        <v>205</v>
      </c>
      <c r="O58" s="2935">
        <f t="shared" si="1"/>
        <v>160.49409054511213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0"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t="str">
        <f>IF(SUM(C11,C16,C20,C26,C33,C37)=0,"NO",SUM(C11,C16,C20,C26,C33,C37))</f>
        <v>NO</v>
      </c>
      <c r="D10" s="4431">
        <f t="shared" ref="D10:X10" si="0">IF(SUM(D11,D16,D20,D26,D33,D37)=0,"NO",SUM(D11,D16,D20,D26,D33,D37))</f>
        <v>41.192270309697847</v>
      </c>
      <c r="E10" s="4431" t="str">
        <f t="shared" si="0"/>
        <v>NO</v>
      </c>
      <c r="F10" s="4431" t="str">
        <f t="shared" si="0"/>
        <v>NO</v>
      </c>
      <c r="G10" s="4431">
        <f t="shared" si="0"/>
        <v>285.54630948615034</v>
      </c>
      <c r="H10" s="4431">
        <f t="shared" si="0"/>
        <v>0.60977241968668894</v>
      </c>
      <c r="I10" s="4431">
        <f t="shared" si="0"/>
        <v>1220.0751237903798</v>
      </c>
      <c r="J10" s="4431" t="str">
        <f t="shared" si="0"/>
        <v>NO</v>
      </c>
      <c r="K10" s="4431">
        <f t="shared" si="0"/>
        <v>305.96118541042767</v>
      </c>
      <c r="L10" s="2073" t="str">
        <f t="shared" si="0"/>
        <v>NO</v>
      </c>
      <c r="M10" s="2073">
        <f t="shared" si="0"/>
        <v>26.489729023507675</v>
      </c>
      <c r="N10" s="2073" t="str">
        <f t="shared" si="0"/>
        <v>NO</v>
      </c>
      <c r="O10" s="4431">
        <f t="shared" si="0"/>
        <v>11.130420191158677</v>
      </c>
      <c r="P10" s="2073" t="str">
        <f t="shared" si="0"/>
        <v>NO</v>
      </c>
      <c r="Q10" s="2073" t="str">
        <f t="shared" si="0"/>
        <v>NO</v>
      </c>
      <c r="R10" s="2073">
        <f t="shared" si="0"/>
        <v>4.7036792760824992</v>
      </c>
      <c r="S10" s="2073" t="str">
        <f t="shared" si="0"/>
        <v>NO</v>
      </c>
      <c r="T10" s="2073">
        <f t="shared" si="0"/>
        <v>29.057411130618473</v>
      </c>
      <c r="U10" s="2073">
        <f t="shared" si="0"/>
        <v>20.480184867537037</v>
      </c>
      <c r="V10" s="2074" t="str">
        <f t="shared" si="0"/>
        <v>NO</v>
      </c>
      <c r="W10" s="2075"/>
      <c r="X10" s="2073">
        <f t="shared" si="0"/>
        <v>76.557613729959996</v>
      </c>
      <c r="Y10" s="4431">
        <f t="shared" ref="Y10" si="1">IF(SUM(Y11,Y16,Y20,Y26,Y33,Y37)=0,"NO",SUM(Y11,Y16,Y20,Y26,Y33,Y37))</f>
        <v>9.9425472373840016</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8.1609069599868889</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76.557613729959996</v>
      </c>
      <c r="Y16" s="4432">
        <f t="shared" ref="Y16" si="35">IF(SUM(Y17:Y19)=0,"NO",SUM(Y17:Y19))</f>
        <v>9.9425472373840016</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76.557613729959996</v>
      </c>
      <c r="Y17" s="4432">
        <f>'Table2(II).B-Hs1'!G26</f>
        <v>9.9425472373840016</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t="str">
        <f>IF(SUM(C27:C32)=0,"NO",SUM(C27:C32))</f>
        <v>NO</v>
      </c>
      <c r="D26" s="4430">
        <f t="shared" ref="D26:AK26" si="58">IF(SUM(D27:D32)=0,"NO",SUM(D27:D32))</f>
        <v>41.192270309697847</v>
      </c>
      <c r="E26" s="2097" t="str">
        <f t="shared" si="58"/>
        <v>NO</v>
      </c>
      <c r="F26" s="2097" t="str">
        <f t="shared" si="58"/>
        <v>NO</v>
      </c>
      <c r="G26" s="4430">
        <f t="shared" si="58"/>
        <v>285.54630948615034</v>
      </c>
      <c r="H26" s="4430">
        <f t="shared" si="58"/>
        <v>0.60977241968668894</v>
      </c>
      <c r="I26" s="4430">
        <f t="shared" si="58"/>
        <v>1220.0751237903798</v>
      </c>
      <c r="J26" s="4430" t="str">
        <f t="shared" si="58"/>
        <v>NO</v>
      </c>
      <c r="K26" s="4430">
        <f t="shared" si="58"/>
        <v>305.96118541042767</v>
      </c>
      <c r="L26" s="2097" t="str">
        <f t="shared" si="58"/>
        <v>NO</v>
      </c>
      <c r="M26" s="2097">
        <f t="shared" si="58"/>
        <v>26.489729023507675</v>
      </c>
      <c r="N26" s="2097" t="str">
        <f t="shared" si="58"/>
        <v>NO</v>
      </c>
      <c r="O26" s="4430">
        <f t="shared" si="58"/>
        <v>11.130420191158677</v>
      </c>
      <c r="P26" s="2097" t="str">
        <f t="shared" si="58"/>
        <v>NO</v>
      </c>
      <c r="Q26" s="2097" t="str">
        <f t="shared" si="58"/>
        <v>NO</v>
      </c>
      <c r="R26" s="2097">
        <f t="shared" si="58"/>
        <v>4.7036792760824992</v>
      </c>
      <c r="S26" s="2097" t="str">
        <f t="shared" si="58"/>
        <v>NO</v>
      </c>
      <c r="T26" s="2097">
        <f t="shared" si="58"/>
        <v>29.057411130618473</v>
      </c>
      <c r="U26" s="2097">
        <f t="shared" si="58"/>
        <v>20.480184867537037</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t="str">
        <f>IF(SUM('Table2(II).B-Hs2'!J13:M13,'Table2(II).B-Hs2'!J26:M26,'Table2(II).B-Hs2'!J39:M39,'Table2(II).B-Hs2'!J52:M52,'Table2(II).B-Hs2'!J65:M65,'Table2(II).B-Hs2'!J78:M78)=0,"NO",SUM('Table2(II).B-Hs2'!J13:M13,'Table2(II).B-Hs2'!J26:M26,'Table2(II).B-Hs2'!J39:M39,'Table2(II).B-Hs2'!J52:M52,'Table2(II).B-Hs2'!J65:M65,'Table2(II).B-Hs2'!J78:M78))</f>
        <v>NO</v>
      </c>
      <c r="D27" s="4431">
        <f>IF(SUM('Table2(II).B-Hs2'!J14:M14,'Table2(II).B-Hs2'!J27:M27,'Table2(II).B-Hs2'!J40:M40,'Table2(II).B-Hs2'!J53:M53,'Table2(II).B-Hs2'!J66:M66,'Table2(II).B-Hs2'!J79:M79)=0,"NO",SUM('Table2(II).B-Hs2'!J14:M14,'Table2(II).B-Hs2'!J27:M27,'Table2(II).B-Hs2'!J40:M40,'Table2(II).B-Hs2'!J53:M53,'Table2(II).B-Hs2'!J66:M66,'Table2(II).B-Hs2'!J79:M79))</f>
        <v>38.489667954444272</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266.81177208995467</v>
      </c>
      <c r="H27" s="4431">
        <f>IF(SUM('Table2(II).B-Hs2'!J17:M17,'Table2(II).B-Hs2'!J30:M30,'Table2(II).B-Hs2'!J43:M43,'Table2(II).B-Hs2'!J56:M56,'Table2(II).B-Hs2'!J69:M69,'Table2(II).B-Hs2'!J82:M82)=0,"NO",SUM('Table2(II).B-Hs2'!J17:M17,'Table2(II).B-Hs2'!J30:M30,'Table2(II).B-Hs2'!J43:M43,'Table2(II).B-Hs2'!J56:M56,'Table2(II).B-Hs2'!J69:M69,'Table2(II).B-Hs2'!J82:M82))</f>
        <v>0.56976558429684798</v>
      </c>
      <c r="I27" s="4431">
        <f>IF(SUM('Table2(II).B-Hs2'!J18:M18,'Table2(II).B-Hs2'!J31:M31,'Table2(II).B-Hs2'!J44:M44,'Table2(II).B-Hs2'!J57:M57,'Table2(II).B-Hs2'!J70:M70,'Table2(II).B-Hs2'!J83:M83)=0,"NO",SUM('Table2(II).B-Hs2'!J18:M18,'Table2(II).B-Hs2'!J31:M31,'Table2(II).B-Hs2'!J44:M44,'Table2(II).B-Hs2'!J57:M57,'Table2(II).B-Hs2'!J70:M70,'Table2(II).B-Hs2'!J83:M83))</f>
        <v>1140.0266613397471</v>
      </c>
      <c r="J27" s="4431" t="s">
        <v>199</v>
      </c>
      <c r="K27" s="4431">
        <f>IF(SUM('Table2(II).B-Hs2'!J19:M19,'Table2(II).B-Hs2'!J32:M32,'Table2(II).B-Hs2'!J45:M45,'Table2(II).B-Hs2'!J58:M58,'Table2(II).B-Hs2'!J71:M71,'Table2(II).B-Hs2'!J84:M84)=0,"NO",SUM('Table2(II).B-Hs2'!J19:M19,'Table2(II).B-Hs2'!J32:M32,'Table2(II).B-Hs2'!J45:M45,'Table2(II).B-Hs2'!J58:M58,'Table2(II).B-Hs2'!J71:M71,'Table2(II).B-Hs2'!J84:M84))</f>
        <v>285.88723915571688</v>
      </c>
      <c r="L27" s="2073" t="s">
        <v>199</v>
      </c>
      <c r="M27" s="2073">
        <f>IF(SUM('Table2(II).B-Hs2'!J20:M20,'Table2(II).B-Hs2'!J33:M33,'Table2(II).B-Hs2'!J46:M46,'Table2(II).B-Hs2'!J59:M59,'Table2(II).B-Hs2'!J72:M72,'Table2(II).B-Hs2'!J85:M85)=0,"NO",SUM('Table2(II).B-Hs2'!J20:M20,'Table2(II).B-Hs2'!J33:M33,'Table2(II).B-Hs2'!J46:M46,'Table2(II).B-Hs2'!J59:M59,'Table2(II).B-Hs2'!J72:M72,'Table2(II).B-Hs2'!J85:M85))</f>
        <v>24.751752371317522</v>
      </c>
      <c r="N27" s="2073" t="s">
        <v>199</v>
      </c>
      <c r="O27" s="4431">
        <f>IF(SUM('Table2(II).B-Hs2'!J21:M21,'Table2(II).B-Hs2'!J34:M34,'Table2(II).B-Hs2'!J47:M47,'Table2(II).B-Hs2'!J60:M60,'Table2(II).B-Hs2'!J73:M73,'Table2(II).B-Hs2'!J86:M86)=0,"NO",SUM('Table2(II).B-Hs2'!J21:M21,'Table2(II).B-Hs2'!J34:M34,'Table2(II).B-Hs2'!J47:M47,'Table2(II).B-Hs2'!J60:M60,'Table2(II).B-Hs2'!J73:M73,'Table2(II).B-Hs2'!J86:M86))</f>
        <v>10.400159402000249</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4.3950734479908844</v>
      </c>
      <c r="S27" s="2073" t="s">
        <v>199</v>
      </c>
      <c r="T27" s="2073">
        <f>IF(SUM('Table2(II).B-Hs2'!J23:M23,'Table2(II).B-Hs2'!J36:M36,'Table2(II).B-Hs2'!J49:M49,'Table2(II).B-Hs2'!J62:M62,'Table2(II).B-Hs2'!J75:M75,'Table2(II).B-Hs2'!J88:M88)=0,"NO",SUM('Table2(II).B-Hs2'!J23:M23,'Table2(II).B-Hs2'!J36:M36,'Table2(II).B-Hs2'!J49:M49,'Table2(II).B-Hs2'!J62:M62,'Table2(II).B-Hs2'!J75:M75,'Table2(II).B-Hs2'!J88:M88))</f>
        <v>27.150970257882882</v>
      </c>
      <c r="U27" s="2073">
        <f>IF(SUM('Table2(II).B-Hs2'!J24:M24,'Table2(II).B-Hs2'!J37:M37,'Table2(II).B-Hs2'!J50:M50,'Table2(II).B-Hs2'!J63:M63,'Table2(II).B-Hs2'!J76:M76,'Table2(II).B-Hs2'!J89:M89)=0,"NO",SUM('Table2(II).B-Hs2'!J24:M24,'Table2(II).B-Hs2'!J37:M37,'Table2(II).B-Hs2'!J50:M50,'Table2(II).B-Hs2'!J63:M63,'Table2(II).B-Hs2'!J76:M76,'Table2(II).B-Hs2'!J89:M89))</f>
        <v>19.136491124927201</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f>IF(SUM('Table2(II).B-Hs2'!J93:M93,'Table2(II).B-Hs2'!J106:M106)=0,"NO",SUM('Table2(II).B-Hs2'!J93:M93,'Table2(II).B-Hs2'!J106:M106))</f>
        <v>0.34961984937227941</v>
      </c>
      <c r="E28" s="2073" t="s">
        <v>199</v>
      </c>
      <c r="F28" s="2073" t="str">
        <f>IF(SUM('Table2(II).B-Hs2'!J94:M94,'Table2(II).B-Hs2'!J107:M107)=0,"NO",SUM('Table2(II).B-Hs2'!J94:M94,'Table2(II).B-Hs2'!J107:M107))</f>
        <v>NO</v>
      </c>
      <c r="G28" s="4431">
        <f>IF(SUM('Table2(II).B-Hs2'!J95:M95,'Table2(II).B-Hs2'!J108:M108)=0,"NO",SUM('Table2(II).B-Hs2'!J95:M95,'Table2(II).B-Hs2'!J108:M108))</f>
        <v>2.4235774566631418</v>
      </c>
      <c r="H28" s="4431">
        <f>IF(SUM('Table2(II).B-Hs2'!J96:M96,'Table2(II).B-Hs2'!J109:M109)=0,"NO",SUM('Table2(II).B-Hs2'!J96:M96,'Table2(II).B-Hs2'!J109:M109))</f>
        <v>5.1754501492489906E-3</v>
      </c>
      <c r="I28" s="4431">
        <f>IF(SUM('Table2(II).B-Hs2'!J97:M97,'Table2(II).B-Hs2'!J110:M110)=0,"NO",SUM('Table2(II).B-Hs2'!J97:M97,'Table2(II).B-Hs2'!J110:M110))</f>
        <v>10.355401093346215</v>
      </c>
      <c r="J28" s="4431" t="s">
        <v>199</v>
      </c>
      <c r="K28" s="4431">
        <f>IF(SUM('Table2(II).B-Hs2'!J98:M98,'Table2(II).B-Hs2'!J111:M111)=0,"NO",SUM('Table2(II).B-Hs2'!J98:M98,'Table2(II).B-Hs2'!J111:M111))</f>
        <v>2.5968489416271376</v>
      </c>
      <c r="L28" s="2073" t="s">
        <v>199</v>
      </c>
      <c r="M28" s="2073">
        <f>IF(SUM('Table2(II).B-Hs2'!J99:M99,'Table2(II).B-Hs2'!J112:M112)=0,"NO",SUM('Table2(II).B-Hs2'!J99:M99,'Table2(II).B-Hs2'!J112:M112))</f>
        <v>0.22483186776259981</v>
      </c>
      <c r="N28" s="2073" t="s">
        <v>199</v>
      </c>
      <c r="O28" s="4431">
        <f>IF(SUM('Table2(II).B-Hs2'!J100:M100,'Table2(II).B-Hs2'!J113:M113)=0,"NO",SUM('Table2(II).B-Hs2'!J100:M100,'Table2(II).B-Hs2'!J113:M113))</f>
        <v>9.4469564348506493E-2</v>
      </c>
      <c r="P28" s="2073" t="s">
        <v>199</v>
      </c>
      <c r="Q28" s="2073" t="s">
        <v>199</v>
      </c>
      <c r="R28" s="2073">
        <f>IF(SUM('Table2(II).B-Hs2'!J101:M101,'Table2(II).B-Hs2'!J114:M114)=0,"NO",SUM('Table2(II).B-Hs2'!J101:M101,'Table2(II).B-Hs2'!J114:M114))</f>
        <v>3.992252982502674E-2</v>
      </c>
      <c r="S28" s="2073" t="s">
        <v>199</v>
      </c>
      <c r="T28" s="2073">
        <f>IF(SUM('Table2(II).B-Hs2'!J102:M102,'Table2(II).B-Hs2'!J115:M115)=0,"NO",SUM('Table2(II).B-Hs2'!J102:M102,'Table2(II).B-Hs2'!J115:M115))</f>
        <v>0.24662509801610755</v>
      </c>
      <c r="U28" s="2073">
        <f>IF(SUM('Table2(II).B-Hs2'!J103:M103,'Table2(II).B-Hs2'!J116:M116)=0,"NO",SUM('Table2(II).B-Hs2'!J103:M103,'Table2(II).B-Hs2'!J116:M116))</f>
        <v>0.17382579534148673</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f>IF(SUM('Table2(II).B-Hs2'!J119:M119)=0,"NO",SUM('Table2(II).B-Hs2'!J119:M119))</f>
        <v>0.22941763794257153</v>
      </c>
      <c r="E29" s="2073" t="s">
        <v>199</v>
      </c>
      <c r="F29" s="2073" t="str">
        <f>IF(SUM('Table2(II).B-Hs2'!J120:M120)=0,"NO",SUM('Table2(II).B-Hs2'!J120:M120))</f>
        <v>NO</v>
      </c>
      <c r="G29" s="4431">
        <f>IF(SUM('Table2(II).B-Hs2'!J121:M121)=0,"NO",SUM('Table2(II).B-Hs2'!J121:M121))</f>
        <v>1.5903313741391023</v>
      </c>
      <c r="H29" s="4431">
        <f>IF(SUM('Table2(II).B-Hs2'!J122:M122)=0,"NO",SUM('Table2(II).B-Hs2'!J122:M122))</f>
        <v>3.3960873521970418E-3</v>
      </c>
      <c r="I29" s="4431">
        <f>IF(SUM('Table2(II).B-Hs2'!J123:M123)=0,"NO",SUM('Table2(II).B-Hs2'!J123:M123))</f>
        <v>6.795128088547755</v>
      </c>
      <c r="J29" s="4431" t="s">
        <v>199</v>
      </c>
      <c r="K29" s="4431">
        <f>IF(SUM('Table2(II).B-Hs2'!J124:M124)=0,"NO",SUM('Table2(II).B-Hs2'!J124:M124))</f>
        <v>1.7040306817574002</v>
      </c>
      <c r="L29" s="2073" t="s">
        <v>199</v>
      </c>
      <c r="M29" s="2073">
        <f>IF(SUM('Table2(II).B-Hs2'!J125:M125)=0,"NO",SUM('Table2(II).B-Hs2'!J125:M125))</f>
        <v>0.14753280206750741</v>
      </c>
      <c r="N29" s="2073" t="s">
        <v>199</v>
      </c>
      <c r="O29" s="4431">
        <f>IF(SUM('Table2(II).B-Hs2'!J126:M126)=0,"NO",SUM('Table2(II).B-Hs2'!J126:M126))</f>
        <v>6.1990142576889194E-2</v>
      </c>
      <c r="P29" s="2073" t="s">
        <v>199</v>
      </c>
      <c r="Q29" s="2073" t="s">
        <v>199</v>
      </c>
      <c r="R29" s="2073">
        <f>IF(SUM('Table2(II).B-Hs2'!J127:M127)=0,"NO",SUM('Table2(II).B-Hs2'!J127:M127))</f>
        <v>2.6196832100905575E-2</v>
      </c>
      <c r="S29" s="2073" t="s">
        <v>199</v>
      </c>
      <c r="T29" s="2073">
        <f>IF(SUM('Table2(II).B-Hs2'!J128:M128)=0,"NO",SUM('Table2(II).B-Hs2'!J128:M128))</f>
        <v>0.16183333854126619</v>
      </c>
      <c r="U29" s="2073">
        <f>IF(SUM('Table2(II).B-Hs2'!J129:M129)=0,"NO",SUM('Table2(II).B-Hs2'!J129:M129))</f>
        <v>0.11406304147871596</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f>IF(SUM('Table2(II).B-Hs2'!J133:M133)=0,"NO",SUM('Table2(II).B-Hs2'!J133:M133))</f>
        <v>1.2298431841218795</v>
      </c>
      <c r="E30" s="2073" t="s">
        <v>199</v>
      </c>
      <c r="F30" s="2073" t="str">
        <f>IF(SUM('Table2(II).B-Hs2'!J134:M134)=0,"NO",SUM('Table2(II).B-Hs2'!J134:M134))</f>
        <v>NO</v>
      </c>
      <c r="G30" s="4431">
        <f>IF(SUM('Table2(II).B-Hs2'!J135:M135)=0,"NO",SUM('Table2(II).B-Hs2'!J135:M135))</f>
        <v>8.5253174887527763</v>
      </c>
      <c r="H30" s="4431">
        <f>IF(SUM('Table2(II).B-Hs2'!J136:M136)=0,"NO",SUM('Table2(II).B-Hs2'!J136:M136))</f>
        <v>1.8205465456965279E-2</v>
      </c>
      <c r="I30" s="4431">
        <f>IF(SUM('Table2(II).B-Hs2'!J137:M137)=0,"NO",SUM('Table2(II).B-Hs2'!J137:M137))</f>
        <v>36.426763172531338</v>
      </c>
      <c r="J30" s="4431" t="s">
        <v>199</v>
      </c>
      <c r="K30" s="4431">
        <f>IF(SUM('Table2(II).B-Hs2'!J138:M138)=0,"NO",SUM('Table2(II).B-Hs2'!J138:M138))</f>
        <v>9.1348273754718772</v>
      </c>
      <c r="L30" s="2073" t="s">
        <v>199</v>
      </c>
      <c r="M30" s="2073">
        <f>IF(SUM('Table2(II).B-Hs2'!J139:M139)=0,"NO",SUM('Table2(II).B-Hs2'!J139:M139))</f>
        <v>0.79088169804339725</v>
      </c>
      <c r="N30" s="2073" t="s">
        <v>199</v>
      </c>
      <c r="O30" s="4431">
        <f>IF(SUM('Table2(II).B-Hs2'!J140:M140)=0,"NO",SUM('Table2(II).B-Hs2'!J140:M140))</f>
        <v>0.33231165229769671</v>
      </c>
      <c r="P30" s="2073" t="s">
        <v>199</v>
      </c>
      <c r="Q30" s="2073" t="s">
        <v>199</v>
      </c>
      <c r="R30" s="2073">
        <f>IF(SUM('Table2(II).B-Hs2'!J141:M141)=0,"NO",SUM('Table2(II).B-Hs2'!J141:M141))</f>
        <v>0.14043382058073878</v>
      </c>
      <c r="S30" s="2073" t="s">
        <v>199</v>
      </c>
      <c r="T30" s="2073">
        <f>IF(SUM('Table2(II).B-Hs2'!J142:M142)=0,"NO",SUM('Table2(II).B-Hs2'!J142:M142))</f>
        <v>0.86754283652108088</v>
      </c>
      <c r="U30" s="2073">
        <f>IF(SUM('Table2(II).B-Hs2'!J143:M143)=0,"NO",SUM('Table2(II).B-Hs2'!J143:M143))</f>
        <v>0.61145976124959178</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f>IF(SUM('Table2(II).B-Hs2'!J148:M148)=0,"NO",SUM('Table2(II).B-Hs2'!J148:M148))</f>
        <v>0.89372168381683492</v>
      </c>
      <c r="E31" s="2073" t="s">
        <v>199</v>
      </c>
      <c r="F31" s="2073" t="str">
        <f>IF(SUM('Table2(II).B-Hs2'!J149:M149)=0,"NO",SUM('Table2(II).B-Hs2'!J149:M149))</f>
        <v>NO</v>
      </c>
      <c r="G31" s="4431">
        <f>IF(SUM('Table2(II).B-Hs2'!J150:M150)=0,"NO",SUM('Table2(II).B-Hs2'!J150:M150))</f>
        <v>6.1953110766406141</v>
      </c>
      <c r="H31" s="4431">
        <f>IF(SUM('Table2(II).B-Hs2'!J151:M151)=0,"NO",SUM('Table2(II).B-Hs2'!J151:M151))</f>
        <v>1.3229832431429556E-2</v>
      </c>
      <c r="I31" s="4431">
        <f>IF(SUM('Table2(II).B-Hs2'!J152:M152)=0,"NO",SUM('Table2(II).B-Hs2'!J152:M152))</f>
        <v>26.471170096207555</v>
      </c>
      <c r="J31" s="4431" t="s">
        <v>199</v>
      </c>
      <c r="K31" s="4431">
        <f>IF(SUM('Table2(II).B-Hs2'!J153:M153)=0,"NO",SUM('Table2(II).B-Hs2'!J153:M153))</f>
        <v>6.6382392558544101</v>
      </c>
      <c r="L31" s="2073" t="s">
        <v>199</v>
      </c>
      <c r="M31" s="2073">
        <f>IF(SUM('Table2(II).B-Hs2'!J154:M154)=0,"NO",SUM('Table2(II).B-Hs2'!J154:M154))</f>
        <v>0.57473028431665063</v>
      </c>
      <c r="N31" s="2073" t="s">
        <v>199</v>
      </c>
      <c r="O31" s="4431">
        <f>IF(SUM('Table2(II).B-Hs2'!J155:M155)=0,"NO",SUM('Table2(II).B-Hs2'!J155:M155))</f>
        <v>0.24148942993533676</v>
      </c>
      <c r="P31" s="2073" t="s">
        <v>199</v>
      </c>
      <c r="Q31" s="2073" t="s">
        <v>199</v>
      </c>
      <c r="R31" s="2073">
        <f>IF(SUM('Table2(II).B-Hs2'!J156:M156)=0,"NO",SUM('Table2(II).B-Hs2'!J156:M156))</f>
        <v>0.10205264558494394</v>
      </c>
      <c r="S31" s="2073" t="s">
        <v>199</v>
      </c>
      <c r="T31" s="2073">
        <f>IF(SUM('Table2(II).B-Hs2'!J157:M157)=0,"NO",SUM('Table2(II).B-Hs2'!J157:M157))</f>
        <v>0.63043959965713459</v>
      </c>
      <c r="U31" s="2073">
        <f>IF(SUM('Table2(II).B-Hs2'!J158:M158)=0,"NO",SUM('Table2(II).B-Hs2'!J158:M158))</f>
        <v>0.44434514454004431</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8.1609069599868889</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7.4505089372968216</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0.71039802269006724</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t="str">
        <f>IF(SUM(C40:C45)=0,"NO",SUM(C40:C45))</f>
        <v>NO</v>
      </c>
      <c r="D39" s="4183">
        <f t="shared" ref="D39:AK39" si="72">IF(SUM(D40:D45)=0,"NO",SUM(D40:D45))</f>
        <v>27.887166999665443</v>
      </c>
      <c r="E39" s="4183" t="str">
        <f t="shared" si="72"/>
        <v>NO</v>
      </c>
      <c r="F39" s="4183" t="str">
        <f t="shared" si="72"/>
        <v>NO</v>
      </c>
      <c r="G39" s="4183">
        <f t="shared" si="72"/>
        <v>905.18180107109652</v>
      </c>
      <c r="H39" s="4183">
        <f t="shared" si="72"/>
        <v>0.68294511004909153</v>
      </c>
      <c r="I39" s="4183">
        <f t="shared" si="72"/>
        <v>1586.0976609274937</v>
      </c>
      <c r="J39" s="4183" t="str">
        <f t="shared" si="72"/>
        <v>NO</v>
      </c>
      <c r="K39" s="4183">
        <f t="shared" si="72"/>
        <v>1468.6136899700527</v>
      </c>
      <c r="L39" s="4183" t="str">
        <f t="shared" si="72"/>
        <v>NO</v>
      </c>
      <c r="M39" s="4183">
        <f t="shared" si="72"/>
        <v>3.6555826052440588</v>
      </c>
      <c r="N39" s="4183" t="str">
        <f t="shared" si="72"/>
        <v>NO</v>
      </c>
      <c r="O39" s="4183">
        <f t="shared" si="72"/>
        <v>37.286907640381571</v>
      </c>
      <c r="P39" s="4183" t="str">
        <f t="shared" si="72"/>
        <v>NO</v>
      </c>
      <c r="Q39" s="4183" t="str">
        <f t="shared" si="72"/>
        <v>NO</v>
      </c>
      <c r="R39" s="4183">
        <f t="shared" si="72"/>
        <v>37.911654965224947</v>
      </c>
      <c r="S39" s="4183" t="str">
        <f t="shared" si="72"/>
        <v>NO</v>
      </c>
      <c r="T39" s="4183">
        <f t="shared" si="72"/>
        <v>24.931258750070651</v>
      </c>
      <c r="U39" s="4183">
        <f t="shared" si="72"/>
        <v>16.466068633499777</v>
      </c>
      <c r="V39" s="4183" t="str">
        <f t="shared" si="72"/>
        <v>NO</v>
      </c>
      <c r="W39" s="4183">
        <f t="shared" si="72"/>
        <v>4108.7147366727786</v>
      </c>
      <c r="X39" s="4183">
        <f t="shared" si="72"/>
        <v>507.5769790296348</v>
      </c>
      <c r="Y39" s="4183">
        <f t="shared" si="72"/>
        <v>110.36227433496242</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617.93925336459722</v>
      </c>
      <c r="AI39" s="4184" t="str">
        <f t="shared" si="72"/>
        <v>NO</v>
      </c>
      <c r="AJ39" s="4184">
        <f t="shared" si="72"/>
        <v>191.78131355969188</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507.5769790296348</v>
      </c>
      <c r="Y41" s="4186">
        <f>IF(SUM(Y16)=0,"NO",Y16*11100/1000)</f>
        <v>110.36227433496242</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617.93925336459722</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t="str">
        <f>IF(SUM(C26)=0,"NO",C26*12400/1000)</f>
        <v>NO</v>
      </c>
      <c r="D43" s="4186">
        <f>IF(SUM(D26)=0,"NO",D26*677/1000)</f>
        <v>27.887166999665443</v>
      </c>
      <c r="E43" s="4186" t="str">
        <f>IF(SUM(E26)=0,"NO",E26*116/1000)</f>
        <v>NO</v>
      </c>
      <c r="F43" s="4186" t="str">
        <f>IF(SUM(F26)=0,"NO",F26*1650/1000)</f>
        <v>NO</v>
      </c>
      <c r="G43" s="4186">
        <f>IF(SUM(G26)=0,"NO",G26*3170/1000)</f>
        <v>905.18180107109652</v>
      </c>
      <c r="H43" s="4186">
        <f>IF(SUM(H26)=0,"NO",H26*1120/1000)</f>
        <v>0.68294511004909153</v>
      </c>
      <c r="I43" s="4186">
        <f>IF(SUM(I26)=0,"NO",I26*1300/1000)</f>
        <v>1586.0976609274937</v>
      </c>
      <c r="J43" s="4186" t="str">
        <f>IF(SUM(J26)=0,"NO",J26*328/1000)</f>
        <v>NO</v>
      </c>
      <c r="K43" s="4186">
        <f>IF(SUM(K26)=0,"NO",K26*4800/1000)</f>
        <v>1468.6136899700527</v>
      </c>
      <c r="L43" s="4186" t="str">
        <f>IF(SUM(L26)=0,"NO",L26*16/1000)</f>
        <v>NO</v>
      </c>
      <c r="M43" s="4186">
        <f>IF(SUM(M26)=0,"NO",M26*138/1000)</f>
        <v>3.6555826052440588</v>
      </c>
      <c r="N43" s="4186" t="str">
        <f>IF(SUM(N26)=0,"NO",N26*4/1000)</f>
        <v>NO</v>
      </c>
      <c r="O43" s="4186">
        <f>IF(SUM(O26)=0,"NO",O26*3350/1000)</f>
        <v>37.286907640381571</v>
      </c>
      <c r="P43" s="4186" t="str">
        <f>IF(SUM(P26)=0,"NO",P26*1210/1000)</f>
        <v>NO</v>
      </c>
      <c r="Q43" s="4186" t="str">
        <f>IF(SUM(Q26)=0,"NO",Q26*1330/1000)</f>
        <v>NO</v>
      </c>
      <c r="R43" s="4186">
        <f>IF(SUM(R26)=0,"NO",R26*8060/1000)</f>
        <v>37.911654965224947</v>
      </c>
      <c r="S43" s="4186" t="str">
        <f>IF(SUM(S26)=0,"NO",S26*716/1000)</f>
        <v>NO</v>
      </c>
      <c r="T43" s="4186">
        <f>IF(SUM(T26)=0,"NO",T26*858/1000)</f>
        <v>24.931258750070651</v>
      </c>
      <c r="U43" s="4186">
        <f>IF(SUM(U26)=0,"NO",U26*804/1000)</f>
        <v>16.466068633499777</v>
      </c>
      <c r="V43" s="4186" t="str">
        <f>IF(SUM(V26)=0,"NO",V26*1/1000)</f>
        <v>NO</v>
      </c>
      <c r="W43" s="4186">
        <f t="shared" si="73"/>
        <v>4108.7147366727786</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191.78131355969188</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6668.9977667490357</v>
      </c>
      <c r="I10" s="615"/>
      <c r="J10" s="615"/>
      <c r="K10" s="3161" t="str">
        <f>IF(SUM(K11:K14)=0,"NO",SUM(K11:K14))</f>
        <v>NO</v>
      </c>
      <c r="L10" s="3161" t="str">
        <f>IF(SUM(L11:L14)=0,"NO",SUM(L11:L14))</f>
        <v>NO</v>
      </c>
      <c r="M10" s="615"/>
      <c r="N10" s="1842"/>
    </row>
    <row r="11" spans="2:14" ht="18" customHeight="1" x14ac:dyDescent="0.2">
      <c r="B11" s="286" t="s">
        <v>748</v>
      </c>
      <c r="C11" s="2126" t="s">
        <v>749</v>
      </c>
      <c r="D11" s="699">
        <v>7075.5650000000005</v>
      </c>
      <c r="E11" s="1938">
        <f>IF(SUM($D11)=0,"NA",H11/$D11)</f>
        <v>0.54950545546539387</v>
      </c>
      <c r="F11" s="615"/>
      <c r="G11" s="615"/>
      <c r="H11" s="3149">
        <v>3888.0615680000001</v>
      </c>
      <c r="I11" s="615"/>
      <c r="J11" s="615"/>
      <c r="K11" s="3149" t="s">
        <v>199</v>
      </c>
      <c r="L11" s="699" t="s">
        <v>199</v>
      </c>
      <c r="M11" s="615"/>
      <c r="N11" s="1842"/>
    </row>
    <row r="12" spans="2:14" ht="18" customHeight="1" x14ac:dyDescent="0.2">
      <c r="B12" s="286" t="s">
        <v>750</v>
      </c>
      <c r="C12" s="2127" t="s">
        <v>751</v>
      </c>
      <c r="D12" s="699">
        <v>1467</v>
      </c>
      <c r="E12" s="1938">
        <f>IF(SUM($D12)=0,"NA",H12/$D12)</f>
        <v>0.75106481144791004</v>
      </c>
      <c r="F12" s="615"/>
      <c r="G12" s="615"/>
      <c r="H12" s="3149">
        <v>1101.812078394084</v>
      </c>
      <c r="I12" s="615"/>
      <c r="J12" s="615"/>
      <c r="K12" s="3149" t="s">
        <v>199</v>
      </c>
      <c r="L12" s="699" t="s">
        <v>199</v>
      </c>
      <c r="M12" s="615"/>
      <c r="N12" s="1842"/>
    </row>
    <row r="13" spans="2:14" ht="18" customHeight="1" x14ac:dyDescent="0.2">
      <c r="B13" s="286" t="s">
        <v>752</v>
      </c>
      <c r="C13" s="2127" t="s">
        <v>753</v>
      </c>
      <c r="D13" s="699">
        <v>265.40186409742824</v>
      </c>
      <c r="E13" s="1938">
        <f>IF(SUM($D13)=0,"NA",H13/$D13)</f>
        <v>0.39573899999999995</v>
      </c>
      <c r="F13" s="615"/>
      <c r="G13" s="615"/>
      <c r="H13" s="3149">
        <v>105.02986829605214</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1574.0942520588994</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34.06444757369335</v>
      </c>
      <c r="I15" s="615"/>
      <c r="J15" s="615"/>
      <c r="K15" s="3149" t="s">
        <v>199</v>
      </c>
      <c r="L15" s="699" t="s">
        <v>199</v>
      </c>
      <c r="M15" s="615"/>
      <c r="N15" s="1842"/>
    </row>
    <row r="16" spans="2:14" ht="18" customHeight="1" x14ac:dyDescent="0.2">
      <c r="B16" s="160" t="s">
        <v>756</v>
      </c>
      <c r="C16" s="474" t="s">
        <v>757</v>
      </c>
      <c r="D16" s="2917">
        <v>405.54173799999995</v>
      </c>
      <c r="E16" s="1938">
        <f>IF(SUM($D16)=0,"NA",H16/$D16)</f>
        <v>0.41491999999999996</v>
      </c>
      <c r="F16" s="615"/>
      <c r="G16" s="615"/>
      <c r="H16" s="3149">
        <v>168.26737793095995</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1371.7624265542461</v>
      </c>
      <c r="I18" s="615"/>
      <c r="J18" s="615"/>
      <c r="K18" s="3150" t="str">
        <f>K19</f>
        <v>NO</v>
      </c>
      <c r="L18" s="3162" t="str">
        <f>L19</f>
        <v>NO</v>
      </c>
      <c r="M18" s="615"/>
      <c r="N18" s="1842"/>
    </row>
    <row r="19" spans="2:14" ht="18" customHeight="1" x14ac:dyDescent="0.2">
      <c r="B19" s="3151" t="s">
        <v>761</v>
      </c>
      <c r="C19" s="474" t="s">
        <v>753</v>
      </c>
      <c r="D19" s="2917">
        <v>2063.8331359025719</v>
      </c>
      <c r="E19" s="1938">
        <f>IF(SUM($D19)=0,"NA",H19/$D19)</f>
        <v>0.41356593723584872</v>
      </c>
      <c r="F19" s="615"/>
      <c r="G19" s="615"/>
      <c r="H19" s="3149">
        <v>853.53108514794792</v>
      </c>
      <c r="I19" s="615"/>
      <c r="J19" s="615"/>
      <c r="K19" s="3149" t="s">
        <v>199</v>
      </c>
      <c r="L19" s="3149" t="s">
        <v>199</v>
      </c>
      <c r="M19" s="615"/>
      <c r="N19" s="1842"/>
    </row>
    <row r="20" spans="2:14" ht="18" customHeight="1" x14ac:dyDescent="0.2">
      <c r="B20" s="3152" t="s">
        <v>762</v>
      </c>
      <c r="C20" s="474" t="s">
        <v>753</v>
      </c>
      <c r="D20" s="2917">
        <v>504.88315378676054</v>
      </c>
      <c r="E20" s="1938">
        <f>IF(SUM($D20)=0,"NA",H20/$D20)</f>
        <v>0.51321598216327635</v>
      </c>
      <c r="F20" s="615"/>
      <c r="G20" s="615"/>
      <c r="H20" s="3149">
        <v>259.11410364836479</v>
      </c>
      <c r="I20" s="615"/>
      <c r="J20" s="615"/>
      <c r="K20" s="3149" t="s">
        <v>199</v>
      </c>
      <c r="L20" s="3149" t="s">
        <v>199</v>
      </c>
      <c r="M20" s="2161"/>
      <c r="N20" s="2174"/>
    </row>
    <row r="21" spans="2:14" ht="18" customHeight="1" thickBot="1" x14ac:dyDescent="0.25">
      <c r="B21" s="3152" t="s">
        <v>763</v>
      </c>
      <c r="C21" s="474" t="s">
        <v>753</v>
      </c>
      <c r="D21" s="2917">
        <v>614.1061514999999</v>
      </c>
      <c r="E21" s="1938">
        <f>IF(SUM($D21)=0,"NA",H21/$D21)</f>
        <v>0.42194209767321234</v>
      </c>
      <c r="F21" s="615"/>
      <c r="G21" s="615"/>
      <c r="H21" s="3149">
        <v>259.11723775793348</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3442.2998770693698</v>
      </c>
      <c r="I22" s="3046">
        <f>IF(SUM(I23:I26,I30,I33:I35,I47)=0,"IE",SUM(I23:I26,I30,I33:I35,I47))</f>
        <v>0.5693838</v>
      </c>
      <c r="J22" s="3046">
        <f>IF(SUM(J23:J26,J30,J33:J35,J47)=0,"IE",SUM(J23:J26,J30,J33:J35,J47))</f>
        <v>8.8043569476129075</v>
      </c>
      <c r="K22" s="3046">
        <f>IF(SUM(K23:K26,K30,K33:K35,K47)=0,"NO",SUM(K23:K26,K30,K33:K35,K47))</f>
        <v>-257.76400000000001</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1432.4164599092448</v>
      </c>
      <c r="E23" s="1938">
        <f>IF(SUM($D23)=0,"NA",(H23-K23)/$D23)</f>
        <v>1.5309761740794738</v>
      </c>
      <c r="F23" s="1938" t="str">
        <f>IFERROR(IF(SUM($D23)=0,"NA",I23/$D23),"NA")</f>
        <v>NA</v>
      </c>
      <c r="G23" s="1938" t="str">
        <f>IFERROR(IF(SUM($D23)=0,"NA",J23/$D23),"NA")</f>
        <v>NA</v>
      </c>
      <c r="H23" s="699">
        <v>1935.2314714803197</v>
      </c>
      <c r="I23" s="699" t="s">
        <v>199</v>
      </c>
      <c r="J23" s="699" t="s">
        <v>199</v>
      </c>
      <c r="K23" s="3149">
        <v>-257.76400000000001</v>
      </c>
      <c r="L23" s="699" t="s">
        <v>199</v>
      </c>
      <c r="M23" s="699" t="s">
        <v>199</v>
      </c>
      <c r="N23" s="2921" t="s">
        <v>199</v>
      </c>
    </row>
    <row r="24" spans="2:14" ht="18" customHeight="1" x14ac:dyDescent="0.2">
      <c r="B24" s="286" t="s">
        <v>766</v>
      </c>
      <c r="C24" s="474" t="s">
        <v>349</v>
      </c>
      <c r="D24" s="699">
        <v>915.32</v>
      </c>
      <c r="E24" s="2135"/>
      <c r="F24" s="2135"/>
      <c r="G24" s="1938">
        <f>IF(SUM($D24)=0,"NA",J24/$D24)</f>
        <v>9.6188840488713317E-3</v>
      </c>
      <c r="H24" s="2135"/>
      <c r="I24" s="2135"/>
      <c r="J24" s="699">
        <v>8.8043569476129075</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1330.9299818626614</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46.86107299999999</v>
      </c>
      <c r="I35" s="3165">
        <f>I46</f>
        <v>0.5693838</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46.86107299999999</v>
      </c>
      <c r="I42" s="3167">
        <f>IF(SUM(I44:I45)=0,"NO",SUM(I44:I45))</f>
        <v>0.5693838</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46.86107299999999</v>
      </c>
      <c r="I45" s="3167">
        <f>I46</f>
        <v>0.5693838</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46.86107299999999</v>
      </c>
      <c r="I46" s="699">
        <v>0.5693838</v>
      </c>
      <c r="J46" s="615"/>
      <c r="K46" s="699" t="s">
        <v>199</v>
      </c>
      <c r="L46" s="699" t="s">
        <v>199</v>
      </c>
      <c r="M46" s="699" t="s">
        <v>199</v>
      </c>
      <c r="N46" s="1842"/>
    </row>
    <row r="47" spans="2:16" ht="18" customHeight="1" x14ac:dyDescent="0.2">
      <c r="B47" s="286" t="s">
        <v>787</v>
      </c>
      <c r="C47" s="2131"/>
      <c r="D47" s="615"/>
      <c r="E47" s="615"/>
      <c r="F47" s="615"/>
      <c r="G47" s="615"/>
      <c r="H47" s="3167">
        <f>H50</f>
        <v>129.27735072638853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129.27735072638853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129.27735072638853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12730.761169823347</v>
      </c>
      <c r="I52" s="3161">
        <f>IF(SUM(I53,I62:I67)=0,"IE",SUM(I53,I62:I67))</f>
        <v>2.9771984636148945</v>
      </c>
      <c r="J52" s="1934">
        <f>J67</f>
        <v>7.5404857489833013E-2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1912</v>
      </c>
      <c r="E63" s="4121">
        <f>IF(SUM($D63)=0,"NA",H63/$D63)</f>
        <v>1.6150205712646879</v>
      </c>
      <c r="F63" s="1917"/>
      <c r="G63" s="2134"/>
      <c r="H63" s="699">
        <v>3087.9193322580832</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9642.8418375652636</v>
      </c>
      <c r="I67" s="3168">
        <f t="shared" ref="I67:N67" si="8">IF(SUM(I69:I70)=0,I70,SUM(I69:I70))</f>
        <v>2.9771984636148945</v>
      </c>
      <c r="J67" s="3168">
        <f t="shared" si="8"/>
        <v>7.5404857489833013E-2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9642.8418375652636</v>
      </c>
      <c r="I70" s="3074">
        <f t="shared" si="9"/>
        <v>2.9771984636148945</v>
      </c>
      <c r="J70" s="3074">
        <f t="shared" si="9"/>
        <v>7.5404857489833013E-2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9642.8418375652636</v>
      </c>
      <c r="I71" s="3101">
        <v>2.9771984636148945</v>
      </c>
      <c r="J71" s="3101">
        <v>7.5404857489833013E-2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242.50388750000002</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451.03092783505156</v>
      </c>
      <c r="E73" s="4121">
        <f t="shared" ref="E73:G74" si="11">IF(SUM($D73)=0,"NA",H73/$D73)</f>
        <v>0.53766576200000005</v>
      </c>
      <c r="F73" s="276" t="s">
        <v>205</v>
      </c>
      <c r="G73" s="276" t="s">
        <v>205</v>
      </c>
      <c r="H73" s="3100">
        <v>242.50388750000002</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348.04636363636399</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160.49409054511213</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160.49409054511213</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86.500160967344002</v>
      </c>
      <c r="H22" s="2628" t="str">
        <f>H23</f>
        <v>NO</v>
      </c>
    </row>
    <row r="23" spans="2:8" ht="18" customHeight="1" x14ac:dyDescent="0.2">
      <c r="B23" s="169" t="s">
        <v>857</v>
      </c>
      <c r="C23" s="2523"/>
      <c r="D23" s="76"/>
      <c r="E23" s="76"/>
      <c r="F23" s="1829"/>
      <c r="G23" s="3157">
        <f>IF(SUM(G24,G27)=0,"NO",SUM(G24,G27))</f>
        <v>86.500160967344002</v>
      </c>
      <c r="H23" s="2628" t="str">
        <f>H24</f>
        <v>NO</v>
      </c>
    </row>
    <row r="24" spans="2:8" ht="18" customHeight="1" x14ac:dyDescent="0.2">
      <c r="B24" s="171" t="s">
        <v>858</v>
      </c>
      <c r="C24" s="2523"/>
      <c r="D24" s="76"/>
      <c r="E24" s="76"/>
      <c r="F24" s="1829"/>
      <c r="G24" s="3157">
        <f>IF(SUM(G25:G26)=0,"NO",SUM(G25:G26))</f>
        <v>86.500160967344002</v>
      </c>
      <c r="H24" s="2628" t="str">
        <f>H25</f>
        <v>NO</v>
      </c>
    </row>
    <row r="25" spans="2:8" ht="18" customHeight="1" x14ac:dyDescent="0.25">
      <c r="B25" s="2626" t="s">
        <v>859</v>
      </c>
      <c r="C25" s="2638" t="s">
        <v>859</v>
      </c>
      <c r="D25" s="73" t="s">
        <v>860</v>
      </c>
      <c r="E25" s="699">
        <v>1912000</v>
      </c>
      <c r="F25" s="4135">
        <f>IF(SUM(E25)=0,"NA",G25*1000/E25)</f>
        <v>4.0040592954999996E-2</v>
      </c>
      <c r="G25" s="699">
        <v>76.557613729959996</v>
      </c>
      <c r="H25" s="2627" t="s">
        <v>199</v>
      </c>
    </row>
    <row r="26" spans="2:8" ht="18" customHeight="1" x14ac:dyDescent="0.25">
      <c r="B26" s="2626" t="s">
        <v>861</v>
      </c>
      <c r="C26" s="2638" t="s">
        <v>861</v>
      </c>
      <c r="D26" s="73" t="s">
        <v>860</v>
      </c>
      <c r="E26" s="699">
        <v>1912000</v>
      </c>
      <c r="F26" s="4135">
        <f>IF(SUM(E26)=0,"NA",G26*1000/E26)</f>
        <v>5.2000770070000013E-3</v>
      </c>
      <c r="G26" s="699">
        <v>9.9425472373840016</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32.86620688304037</v>
      </c>
      <c r="K10" s="3191">
        <f>IF(SUM(K11,K90,K117,K130,K146,K159)=0,"NO",SUM(K11,K90,K117,K130,K146,K159))</f>
        <v>1693.3099801556589</v>
      </c>
      <c r="L10" s="3192">
        <f>IF(SUM(L11,L90,L117,L130,L146,L159)=0,"NO",SUM(L11,L90,L117,L130,L146,L159))</f>
        <v>387.26136740491467</v>
      </c>
      <c r="M10" s="3462">
        <f>IF(SUM(M11,M90,M117,M130,M146,M159)=0,"NO",SUM(M11,M90,M117,M130,M146,M159))</f>
        <v>-168.19146853836685</v>
      </c>
    </row>
    <row r="11" spans="1:13" ht="18" customHeight="1" x14ac:dyDescent="0.2">
      <c r="B11" s="147" t="s">
        <v>888</v>
      </c>
      <c r="C11" s="2524"/>
      <c r="D11" s="150"/>
      <c r="E11" s="150"/>
      <c r="F11" s="150"/>
      <c r="G11" s="150"/>
      <c r="H11" s="150"/>
      <c r="I11" s="150"/>
      <c r="J11" s="3081">
        <f>IF(SUM(J12,J25,J38,J51,J64,J77)=0,"NO",SUM(J12,J25,J38,J51,J64,J77))</f>
        <v>19.148942868210241</v>
      </c>
      <c r="K11" s="3081">
        <f t="shared" ref="K11:M11" si="0">IF(SUM(K12,K25,K38,K51,K64,K77)=0,"NO",SUM(K12,K25,K38,K51,K64,K77))</f>
        <v>1594.0128128526314</v>
      </c>
      <c r="L11" s="3081">
        <f t="shared" si="0"/>
        <v>366.9454490879935</v>
      </c>
      <c r="M11" s="3193">
        <f t="shared" si="0"/>
        <v>-162.48765208055664</v>
      </c>
    </row>
    <row r="12" spans="1:13" ht="18" customHeight="1" x14ac:dyDescent="0.2">
      <c r="B12" s="104" t="s">
        <v>889</v>
      </c>
      <c r="C12" s="2524"/>
      <c r="D12" s="150"/>
      <c r="E12" s="150"/>
      <c r="F12" s="150"/>
      <c r="G12" s="150"/>
      <c r="H12" s="150"/>
      <c r="I12" s="150"/>
      <c r="J12" s="3081">
        <f>IF(SUM(J13:J24)=0,"NO",SUM(J13:J24))</f>
        <v>11.439111317636812</v>
      </c>
      <c r="K12" s="3081">
        <f>IF(SUM(K13:K24)=0,"NO",SUM(K13:K24))</f>
        <v>873.45016861013119</v>
      </c>
      <c r="L12" s="3081">
        <f>IF(SUM(L13:L24)=0,"NO",SUM(L13:L24))</f>
        <v>98.69049212422965</v>
      </c>
      <c r="M12" s="3193">
        <f>IF(SUM(M13:M24)=0,"NO",SUM(M13:M24))</f>
        <v>-37.73658229109526</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v>13.841890719065162</v>
      </c>
      <c r="E14" s="3160">
        <v>134.26559919074663</v>
      </c>
      <c r="F14" s="3160">
        <v>2.8954063806842845</v>
      </c>
      <c r="G14" s="3668">
        <f t="shared" ref="G14:G24" si="1">IF(SUM(D14)=0,"NA",J14/D14)</f>
        <v>1.7500000000000005E-2</v>
      </c>
      <c r="H14" s="3081">
        <f t="shared" ref="H14:H24" si="2">IF(SUM(E14)=0,"NA",K14/E14)</f>
        <v>0.13775727941990157</v>
      </c>
      <c r="I14" s="3081">
        <f t="shared" ref="I14:I24" si="3">IF(SUM(F14)=0,"NA",L14/F14)</f>
        <v>0.72289648716489507</v>
      </c>
      <c r="J14" s="3194">
        <v>0.2422330875836404</v>
      </c>
      <c r="K14" s="3194">
        <v>18.496063664200193</v>
      </c>
      <c r="L14" s="3194">
        <v>2.093079101511492</v>
      </c>
      <c r="M14" s="3460">
        <v>-0.80232727917279123</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95.952487722171526</v>
      </c>
      <c r="E16" s="3160">
        <v>930.73399576226404</v>
      </c>
      <c r="F16" s="3160">
        <v>20.071061882510591</v>
      </c>
      <c r="G16" s="3668">
        <f t="shared" si="1"/>
        <v>1.7499999999999998E-2</v>
      </c>
      <c r="H16" s="3081">
        <f t="shared" si="2"/>
        <v>0.13775727941990157</v>
      </c>
      <c r="I16" s="3081">
        <f t="shared" si="3"/>
        <v>0.72289648716489474</v>
      </c>
      <c r="J16" s="3194">
        <v>1.6791685351380017</v>
      </c>
      <c r="K16" s="3194">
        <v>128.21538311982368</v>
      </c>
      <c r="L16" s="3194">
        <v>14.509300128536125</v>
      </c>
      <c r="M16" s="3460">
        <v>-5.5617617539744506</v>
      </c>
    </row>
    <row r="17" spans="2:13" ht="18" customHeight="1" x14ac:dyDescent="0.2">
      <c r="B17" s="2634" t="s">
        <v>676</v>
      </c>
      <c r="C17" s="2636" t="s">
        <v>676</v>
      </c>
      <c r="D17" s="3160">
        <v>0.20490259782588319</v>
      </c>
      <c r="E17" s="3160">
        <v>1.9875442330244613</v>
      </c>
      <c r="F17" s="3160">
        <v>4.2860928554124281E-2</v>
      </c>
      <c r="G17" s="3668">
        <f t="shared" si="1"/>
        <v>1.7500000000000002E-2</v>
      </c>
      <c r="H17" s="3081">
        <f t="shared" si="2"/>
        <v>0.13775727941990157</v>
      </c>
      <c r="I17" s="3081">
        <f t="shared" si="3"/>
        <v>0.72289648716489552</v>
      </c>
      <c r="J17" s="3194">
        <v>3.5857954619529561E-3</v>
      </c>
      <c r="K17" s="3194">
        <v>0.27379868626816467</v>
      </c>
      <c r="L17" s="3194">
        <v>3.0984014688402006E-2</v>
      </c>
      <c r="M17" s="3460">
        <v>-1.1876913865722278E-2</v>
      </c>
    </row>
    <row r="18" spans="2:13" ht="18" customHeight="1" x14ac:dyDescent="0.2">
      <c r="B18" s="2634" t="s">
        <v>677</v>
      </c>
      <c r="C18" s="2636" t="s">
        <v>677</v>
      </c>
      <c r="D18" s="3160">
        <v>409.98338779546191</v>
      </c>
      <c r="E18" s="3160">
        <v>3976.8169203063617</v>
      </c>
      <c r="F18" s="3160">
        <v>85.759130821812363</v>
      </c>
      <c r="G18" s="3668">
        <f t="shared" si="1"/>
        <v>1.7500000000000002E-2</v>
      </c>
      <c r="H18" s="3081">
        <f t="shared" si="2"/>
        <v>0.13775727941990154</v>
      </c>
      <c r="I18" s="3081">
        <f t="shared" si="3"/>
        <v>0.72289648716489485</v>
      </c>
      <c r="J18" s="3194">
        <v>7.1747092864205841</v>
      </c>
      <c r="K18" s="3194">
        <v>547.8354796924358</v>
      </c>
      <c r="L18" s="3194">
        <v>61.994974413402815</v>
      </c>
      <c r="M18" s="3460">
        <v>-23.764156408409491</v>
      </c>
    </row>
    <row r="19" spans="2:13" ht="18" customHeight="1" x14ac:dyDescent="0.2">
      <c r="B19" s="2634" t="s">
        <v>679</v>
      </c>
      <c r="C19" s="2636" t="s">
        <v>679</v>
      </c>
      <c r="D19" s="3160">
        <v>102.81252431308008</v>
      </c>
      <c r="E19" s="3160">
        <v>997.27598356167277</v>
      </c>
      <c r="F19" s="3160">
        <v>21.506024354052602</v>
      </c>
      <c r="G19" s="3668">
        <f t="shared" si="1"/>
        <v>1.7500000000000002E-2</v>
      </c>
      <c r="H19" s="3081">
        <f t="shared" si="2"/>
        <v>0.13775727941990154</v>
      </c>
      <c r="I19" s="3081">
        <f t="shared" si="3"/>
        <v>0.72289648716489496</v>
      </c>
      <c r="J19" s="3194">
        <v>1.7992191754789015</v>
      </c>
      <c r="K19" s="3194">
        <v>137.38202632626249</v>
      </c>
      <c r="L19" s="3194">
        <v>15.546629458427304</v>
      </c>
      <c r="M19" s="3460">
        <v>-5.9593948956252882</v>
      </c>
    </row>
    <row r="20" spans="2:13" ht="18" customHeight="1" x14ac:dyDescent="0.2">
      <c r="B20" s="2634" t="s">
        <v>681</v>
      </c>
      <c r="C20" s="2636" t="s">
        <v>681</v>
      </c>
      <c r="D20" s="3160">
        <v>8.9013771652862221</v>
      </c>
      <c r="E20" s="3160">
        <v>86.342882123310162</v>
      </c>
      <c r="F20" s="3160">
        <v>1.8619641466861507</v>
      </c>
      <c r="G20" s="3668">
        <f t="shared" si="1"/>
        <v>1.7500000000000002E-2</v>
      </c>
      <c r="H20" s="3081">
        <f t="shared" si="2"/>
        <v>0.13775727941990157</v>
      </c>
      <c r="I20" s="3081">
        <f t="shared" si="3"/>
        <v>0.69442012741969394</v>
      </c>
      <c r="J20" s="3194">
        <v>0.15577410039250891</v>
      </c>
      <c r="K20" s="3194">
        <v>11.894360538580461</v>
      </c>
      <c r="L20" s="3194">
        <v>1.2929853799926985</v>
      </c>
      <c r="M20" s="3460">
        <v>-0.46293484494604797</v>
      </c>
    </row>
    <row r="21" spans="2:13" ht="18" customHeight="1" x14ac:dyDescent="0.2">
      <c r="B21" s="2634" t="s">
        <v>683</v>
      </c>
      <c r="C21" s="2636" t="s">
        <v>683</v>
      </c>
      <c r="D21" s="3160">
        <v>3.7401691818628215</v>
      </c>
      <c r="E21" s="3160">
        <v>36.279440899349311</v>
      </c>
      <c r="F21" s="3160">
        <v>0.78235769475398009</v>
      </c>
      <c r="G21" s="3668">
        <f t="shared" si="1"/>
        <v>1.7500000000000005E-2</v>
      </c>
      <c r="H21" s="3081">
        <f t="shared" si="2"/>
        <v>0.13775727941990157</v>
      </c>
      <c r="I21" s="3081">
        <f t="shared" si="3"/>
        <v>0.72289648716489485</v>
      </c>
      <c r="J21" s="3194">
        <v>6.5452960682599398E-2</v>
      </c>
      <c r="K21" s="3194">
        <v>4.9977570771694682</v>
      </c>
      <c r="L21" s="3194">
        <v>0.56556362924407733</v>
      </c>
      <c r="M21" s="3460">
        <v>-0.21679406550990238</v>
      </c>
    </row>
    <row r="22" spans="2:13" ht="18" customHeight="1" x14ac:dyDescent="0.2">
      <c r="B22" s="2634" t="s">
        <v>686</v>
      </c>
      <c r="C22" s="2636" t="s">
        <v>686</v>
      </c>
      <c r="D22" s="3160">
        <v>1.5805832994288069</v>
      </c>
      <c r="E22" s="3160">
        <v>11.941369233120572</v>
      </c>
      <c r="F22" s="3160">
        <v>0.33062181050640921</v>
      </c>
      <c r="G22" s="3668">
        <f t="shared" si="1"/>
        <v>1.7500000000000002E-2</v>
      </c>
      <c r="H22" s="3081">
        <f t="shared" si="2"/>
        <v>0.17686714159110251</v>
      </c>
      <c r="I22" s="3081">
        <f t="shared" si="3"/>
        <v>0.72289648716489441</v>
      </c>
      <c r="J22" s="3194">
        <v>2.7660207740004127E-2</v>
      </c>
      <c r="K22" s="3194">
        <v>2.1120358429459714</v>
      </c>
      <c r="L22" s="3194">
        <v>0.23900534539518059</v>
      </c>
      <c r="M22" s="3460">
        <v>-9.1616465111228257E-2</v>
      </c>
    </row>
    <row r="23" spans="2:13" ht="18" customHeight="1" x14ac:dyDescent="0.2">
      <c r="B23" s="2634" t="s">
        <v>688</v>
      </c>
      <c r="C23" s="2636" t="s">
        <v>688</v>
      </c>
      <c r="D23" s="3160">
        <v>9.7641986330206478</v>
      </c>
      <c r="E23" s="3160">
        <v>94.71220418423637</v>
      </c>
      <c r="F23" s="3160">
        <v>2.0424466280012723</v>
      </c>
      <c r="G23" s="3668">
        <f t="shared" si="1"/>
        <v>1.7500000000000002E-2</v>
      </c>
      <c r="H23" s="3081">
        <f t="shared" si="2"/>
        <v>0.13775727941990154</v>
      </c>
      <c r="I23" s="3081">
        <f t="shared" si="3"/>
        <v>0.69442012741969328</v>
      </c>
      <c r="J23" s="3194">
        <v>0.17087347607786135</v>
      </c>
      <c r="K23" s="3194">
        <v>13.047295576282618</v>
      </c>
      <c r="L23" s="3194">
        <v>1.4183160476645664</v>
      </c>
      <c r="M23" s="3460">
        <v>-0.5078076904580282</v>
      </c>
    </row>
    <row r="24" spans="2:13" ht="18" customHeight="1" x14ac:dyDescent="0.2">
      <c r="B24" s="2634" t="s">
        <v>689</v>
      </c>
      <c r="C24" s="2636" t="s">
        <v>689</v>
      </c>
      <c r="D24" s="3160">
        <v>6.8819824377574879</v>
      </c>
      <c r="E24" s="3160">
        <v>66.754861339355315</v>
      </c>
      <c r="F24" s="3160">
        <v>1.4395530398600029</v>
      </c>
      <c r="G24" s="3668">
        <f t="shared" si="1"/>
        <v>1.7500000000000002E-2</v>
      </c>
      <c r="H24" s="3081">
        <f t="shared" si="2"/>
        <v>0.13775727941990157</v>
      </c>
      <c r="I24" s="3081">
        <f t="shared" si="3"/>
        <v>0.69442012741969317</v>
      </c>
      <c r="J24" s="3194">
        <v>0.12043469266075606</v>
      </c>
      <c r="K24" s="3194">
        <v>9.1959680861623543</v>
      </c>
      <c r="L24" s="3194">
        <v>0.99965460536698991</v>
      </c>
      <c r="M24" s="3460">
        <v>-0.35791197402230801</v>
      </c>
    </row>
    <row r="25" spans="2:13" ht="18" customHeight="1" x14ac:dyDescent="0.2">
      <c r="B25" s="105" t="s">
        <v>890</v>
      </c>
      <c r="C25" s="2524"/>
      <c r="D25" s="150"/>
      <c r="E25" s="150"/>
      <c r="F25" s="150"/>
      <c r="G25" s="3669"/>
      <c r="H25" s="2135"/>
      <c r="I25" s="2135"/>
      <c r="J25" s="3081">
        <f>IF(SUM(J26:J37)=0,"NO",SUM(J26:J37))</f>
        <v>0.14453520502041042</v>
      </c>
      <c r="K25" s="3081">
        <f>IF(SUM(K26:K37)=0,"NO",SUM(K26:K37))</f>
        <v>10.544926087128808</v>
      </c>
      <c r="L25" s="3081">
        <f>IF(SUM(L26:L37)=0,"NO",SUM(L26:L37))</f>
        <v>18.543620549851905</v>
      </c>
      <c r="M25" s="3193">
        <f>IF(SUM(M26:M37)=0,"NO",SUM(M26:M37))</f>
        <v>-5.8340997738493288</v>
      </c>
    </row>
    <row r="26" spans="2:13" ht="18" customHeight="1" x14ac:dyDescent="0.2">
      <c r="B26" s="2634" t="s">
        <v>671</v>
      </c>
      <c r="C26" s="2636" t="s">
        <v>671</v>
      </c>
      <c r="D26" s="3461" t="s">
        <v>199</v>
      </c>
      <c r="E26" s="3461" t="s">
        <v>199</v>
      </c>
      <c r="F26" s="3461" t="s">
        <v>199</v>
      </c>
      <c r="G26" s="3668" t="str">
        <f>IF(SUM(D26)=0,"NA",J26/D26)</f>
        <v>NA</v>
      </c>
      <c r="H26" s="3081" t="str">
        <f>IF(SUM(E26)=0,"NA",K26/E26)</f>
        <v>NA</v>
      </c>
      <c r="I26" s="3081" t="str">
        <f>IF(SUM(F26)=0,"NA",L26/F26)</f>
        <v>NA</v>
      </c>
      <c r="J26" s="3194" t="s">
        <v>199</v>
      </c>
      <c r="K26" s="3194" t="s">
        <v>199</v>
      </c>
      <c r="L26" s="3194" t="s">
        <v>199</v>
      </c>
      <c r="M26" s="3460" t="s">
        <v>199</v>
      </c>
    </row>
    <row r="27" spans="2:13" ht="18" customHeight="1" x14ac:dyDescent="0.2">
      <c r="B27" s="2634" t="s">
        <v>672</v>
      </c>
      <c r="C27" s="2636" t="s">
        <v>672</v>
      </c>
      <c r="D27" s="3461">
        <v>0.51010968720166583</v>
      </c>
      <c r="E27" s="3461">
        <v>13.082857211505479</v>
      </c>
      <c r="F27" s="3461">
        <v>0.51621933717492108</v>
      </c>
      <c r="G27" s="3668">
        <f t="shared" ref="G27:G37" si="7">IF(SUM(D27)=0,"NA",J27/D27)</f>
        <v>6.0000000000000001E-3</v>
      </c>
      <c r="H27" s="3081">
        <f t="shared" ref="H27:H37" si="8">IF(SUM(E27)=0,"NA",K27/E27)</f>
        <v>1.7067979678959757E-2</v>
      </c>
      <c r="I27" s="3081">
        <f t="shared" ref="I27:I37" si="9">IF(SUM(F27)=0,"NA",L27/F27)</f>
        <v>0.76067902591461245</v>
      </c>
      <c r="J27" s="3194">
        <v>3.0606581232099951E-3</v>
      </c>
      <c r="K27" s="3194">
        <v>0.22329794102870762</v>
      </c>
      <c r="L27" s="3194">
        <v>0.39267722256050586</v>
      </c>
      <c r="M27" s="3460">
        <v>-0.12354211461441522</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3.536098824329128</v>
      </c>
      <c r="E29" s="3461">
        <v>90.690839960820313</v>
      </c>
      <c r="F29" s="3461">
        <v>3.578451139193028</v>
      </c>
      <c r="G29" s="3668">
        <f t="shared" si="7"/>
        <v>6.0000000000000001E-3</v>
      </c>
      <c r="H29" s="3081">
        <f t="shared" si="8"/>
        <v>1.7067979678959757E-2</v>
      </c>
      <c r="I29" s="3081">
        <f t="shared" si="9"/>
        <v>0.76067902591461223</v>
      </c>
      <c r="J29" s="3194">
        <v>2.121659294597477E-2</v>
      </c>
      <c r="K29" s="3194">
        <v>1.5479094135190725</v>
      </c>
      <c r="L29" s="3194">
        <v>2.722052726844387</v>
      </c>
      <c r="M29" s="3460">
        <v>-0.85639841234864023</v>
      </c>
    </row>
    <row r="30" spans="2:13" ht="18" customHeight="1" x14ac:dyDescent="0.2">
      <c r="B30" s="2634" t="s">
        <v>676</v>
      </c>
      <c r="C30" s="2636" t="s">
        <v>676</v>
      </c>
      <c r="D30" s="3461">
        <v>7.551193850982023E-3</v>
      </c>
      <c r="E30" s="3461">
        <v>0.19366656506905361</v>
      </c>
      <c r="F30" s="3461">
        <v>7.6416354804338853E-3</v>
      </c>
      <c r="G30" s="3668">
        <f t="shared" si="7"/>
        <v>6.000000000000001E-3</v>
      </c>
      <c r="H30" s="3081">
        <f t="shared" si="8"/>
        <v>1.7067979678959757E-2</v>
      </c>
      <c r="I30" s="3081">
        <f t="shared" si="9"/>
        <v>0.76067902591461223</v>
      </c>
      <c r="J30" s="3194">
        <v>4.5307163105892147E-5</v>
      </c>
      <c r="K30" s="3194">
        <v>3.3054969970925442E-3</v>
      </c>
      <c r="L30" s="3194">
        <v>5.8128318336509877E-3</v>
      </c>
      <c r="M30" s="3460">
        <v>-1.8288036467828956E-3</v>
      </c>
    </row>
    <row r="31" spans="2:13" ht="18" customHeight="1" x14ac:dyDescent="0.2">
      <c r="B31" s="2634" t="s">
        <v>677</v>
      </c>
      <c r="C31" s="2636" t="s">
        <v>677</v>
      </c>
      <c r="D31" s="3461">
        <v>15.108954546084346</v>
      </c>
      <c r="E31" s="3461">
        <v>387.50155094271378</v>
      </c>
      <c r="F31" s="3461">
        <v>15.289916456932955</v>
      </c>
      <c r="G31" s="3668">
        <f t="shared" si="7"/>
        <v>6.0000000000000001E-3</v>
      </c>
      <c r="H31" s="3081">
        <f t="shared" si="8"/>
        <v>1.7067979678959757E-2</v>
      </c>
      <c r="I31" s="3081">
        <f t="shared" si="9"/>
        <v>0.76067902591461212</v>
      </c>
      <c r="J31" s="3194">
        <v>9.0653727276506085E-2</v>
      </c>
      <c r="K31" s="3194">
        <v>6.6138685970556281</v>
      </c>
      <c r="L31" s="3194">
        <v>11.630718756775558</v>
      </c>
      <c r="M31" s="3460">
        <v>-3.6591977001573919</v>
      </c>
    </row>
    <row r="32" spans="2:13" ht="18" customHeight="1" x14ac:dyDescent="0.2">
      <c r="B32" s="2634" t="s">
        <v>679</v>
      </c>
      <c r="C32" s="2636" t="s">
        <v>679</v>
      </c>
      <c r="D32" s="3461">
        <v>3.7889090213320906</v>
      </c>
      <c r="E32" s="3461">
        <v>97.174699789372738</v>
      </c>
      <c r="F32" s="3461">
        <v>3.8342892767587959</v>
      </c>
      <c r="G32" s="3668">
        <f t="shared" si="7"/>
        <v>6.0000000000000001E-3</v>
      </c>
      <c r="H32" s="3081">
        <f t="shared" si="8"/>
        <v>1.7067979678959757E-2</v>
      </c>
      <c r="I32" s="3081">
        <f t="shared" si="9"/>
        <v>0.76067902591461223</v>
      </c>
      <c r="J32" s="3194">
        <v>2.2733454127992544E-2</v>
      </c>
      <c r="K32" s="3194">
        <v>1.6585758013140288</v>
      </c>
      <c r="L32" s="3194">
        <v>2.9166634321197238</v>
      </c>
      <c r="M32" s="3460">
        <v>-0.91762584463907093</v>
      </c>
    </row>
    <row r="33" spans="2:13" ht="18" customHeight="1" x14ac:dyDescent="0.2">
      <c r="B33" s="2634" t="s">
        <v>681</v>
      </c>
      <c r="C33" s="2636" t="s">
        <v>681</v>
      </c>
      <c r="D33" s="3461">
        <v>0.32803890838367122</v>
      </c>
      <c r="E33" s="3461">
        <v>8.413261511940334</v>
      </c>
      <c r="F33" s="3461">
        <v>0.33196787299288599</v>
      </c>
      <c r="G33" s="3668">
        <f t="shared" si="7"/>
        <v>5.9999999999999993E-3</v>
      </c>
      <c r="H33" s="3081">
        <f t="shared" si="8"/>
        <v>1.7067979678959757E-2</v>
      </c>
      <c r="I33" s="3081">
        <f t="shared" si="9"/>
        <v>0.76067902591461234</v>
      </c>
      <c r="J33" s="3194">
        <v>1.9682334503020272E-3</v>
      </c>
      <c r="K33" s="3194">
        <v>0.14359737651957186</v>
      </c>
      <c r="L33" s="3194">
        <v>0.25252099826317426</v>
      </c>
      <c r="M33" s="3460">
        <v>-7.9446874729711695E-2</v>
      </c>
    </row>
    <row r="34" spans="2:13" ht="18" customHeight="1" x14ac:dyDescent="0.2">
      <c r="B34" s="2634" t="s">
        <v>683</v>
      </c>
      <c r="C34" s="2636" t="s">
        <v>683</v>
      </c>
      <c r="D34" s="3461">
        <v>0.1378349656245666</v>
      </c>
      <c r="E34" s="3461">
        <v>3.5350733759072241</v>
      </c>
      <c r="F34" s="3461">
        <v>0.13948583290893726</v>
      </c>
      <c r="G34" s="3668">
        <f t="shared" si="7"/>
        <v>6.0000000000000001E-3</v>
      </c>
      <c r="H34" s="3081">
        <f t="shared" si="8"/>
        <v>1.706797967895976E-2</v>
      </c>
      <c r="I34" s="3081">
        <f t="shared" si="9"/>
        <v>0.76067902591461223</v>
      </c>
      <c r="J34" s="3194">
        <v>8.2700979374739959E-4</v>
      </c>
      <c r="K34" s="3194">
        <v>6.0336560543616177E-2</v>
      </c>
      <c r="L34" s="3194">
        <v>0.10610394750605875</v>
      </c>
      <c r="M34" s="3460">
        <v>-3.3381885402878467E-2</v>
      </c>
    </row>
    <row r="35" spans="2:13" ht="18" customHeight="1" x14ac:dyDescent="0.2">
      <c r="B35" s="2634" t="s">
        <v>686</v>
      </c>
      <c r="C35" s="2636" t="s">
        <v>686</v>
      </c>
      <c r="D35" s="3461">
        <v>5.8248606988154185E-2</v>
      </c>
      <c r="E35" s="3461">
        <v>1.4939104806567822</v>
      </c>
      <c r="F35" s="3461">
        <v>5.8946258118991547E-2</v>
      </c>
      <c r="G35" s="3668">
        <f t="shared" si="7"/>
        <v>6.0000000000000001E-3</v>
      </c>
      <c r="H35" s="3081">
        <f t="shared" si="8"/>
        <v>1.7067979678959753E-2</v>
      </c>
      <c r="I35" s="3081">
        <f t="shared" si="9"/>
        <v>0.76067902591461234</v>
      </c>
      <c r="J35" s="3194">
        <v>3.4949164192892511E-4</v>
      </c>
      <c r="K35" s="3194">
        <v>2.5498033726034958E-2</v>
      </c>
      <c r="L35" s="3194">
        <v>4.48391822072658E-2</v>
      </c>
      <c r="M35" s="3460">
        <v>-1.4107075911725738E-2</v>
      </c>
    </row>
    <row r="36" spans="2:13" ht="18" customHeight="1" x14ac:dyDescent="0.2">
      <c r="B36" s="2634" t="s">
        <v>688</v>
      </c>
      <c r="C36" s="2636" t="s">
        <v>688</v>
      </c>
      <c r="D36" s="3461">
        <v>0.35983612438182017</v>
      </c>
      <c r="E36" s="3461">
        <v>9.2287693273461624</v>
      </c>
      <c r="F36" s="3461">
        <v>0.36414592837665505</v>
      </c>
      <c r="G36" s="3668">
        <f t="shared" si="7"/>
        <v>6.0000000000000019E-3</v>
      </c>
      <c r="H36" s="3081">
        <f t="shared" si="8"/>
        <v>1.7067979678959757E-2</v>
      </c>
      <c r="I36" s="3081">
        <f t="shared" si="9"/>
        <v>0.76067902591461223</v>
      </c>
      <c r="J36" s="3194">
        <v>2.1590167462909216E-3</v>
      </c>
      <c r="K36" s="3194">
        <v>0.15751644734095141</v>
      </c>
      <c r="L36" s="3194">
        <v>0.27699817008832611</v>
      </c>
      <c r="M36" s="3460">
        <v>-8.7147758288328839E-2</v>
      </c>
    </row>
    <row r="37" spans="2:13" ht="18" customHeight="1" x14ac:dyDescent="0.2">
      <c r="B37" s="2634" t="s">
        <v>689</v>
      </c>
      <c r="C37" s="2636" t="s">
        <v>689</v>
      </c>
      <c r="D37" s="3461">
        <v>0.25361895855864131</v>
      </c>
      <c r="E37" s="3461">
        <v>6.5046022535966346</v>
      </c>
      <c r="F37" s="3461">
        <v>0.25665658576363548</v>
      </c>
      <c r="G37" s="3668">
        <f t="shared" si="7"/>
        <v>6.0000000000000019E-3</v>
      </c>
      <c r="H37" s="3081">
        <f t="shared" si="8"/>
        <v>1.7067979678959757E-2</v>
      </c>
      <c r="I37" s="3081">
        <f t="shared" si="9"/>
        <v>0.76067902591461212</v>
      </c>
      <c r="J37" s="3194">
        <v>1.5217137513518482E-3</v>
      </c>
      <c r="K37" s="3194">
        <v>0.11102041908410321</v>
      </c>
      <c r="L37" s="3194">
        <v>0.19523328165325235</v>
      </c>
      <c r="M37" s="3460">
        <v>-6.1423304110383048E-2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2.7581414119648726</v>
      </c>
      <c r="K51" s="3081">
        <f>IF(SUM(K52:K63)=0,"NO",SUM(K52:K63))</f>
        <v>87.416762508860927</v>
      </c>
      <c r="L51" s="3081">
        <f>IF(SUM(L52:L63)=0,"NO",SUM(L52:L63))</f>
        <v>25.325791022004147</v>
      </c>
      <c r="M51" s="3193">
        <f>IF(SUM(M52:M63)=0,"NO",SUM(M52:M63))</f>
        <v>-9.2958504600698344</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v>1.1452163283692558</v>
      </c>
      <c r="E53" s="3461">
        <v>8.6107433338641695</v>
      </c>
      <c r="F53" s="3461">
        <v>0.73314323818899407</v>
      </c>
      <c r="G53" s="3081">
        <f t="shared" ref="G53:G63" si="39">IF(SUM(D53)=0,"NA",J53/D53)</f>
        <v>5.1000000000000011E-2</v>
      </c>
      <c r="H53" s="3081">
        <f t="shared" ref="H53:H63" si="40">IF(SUM(E53)=0,"NA",K53/E53)</f>
        <v>0.21497861112171368</v>
      </c>
      <c r="I53" s="3081">
        <f t="shared" ref="I53:I63" si="41">IF(SUM(F53)=0,"NA",L53/F53)</f>
        <v>0.73150174104590193</v>
      </c>
      <c r="J53" s="3194">
        <v>5.8406032746832058E-2</v>
      </c>
      <c r="K53" s="3194">
        <v>1.8511256426396736</v>
      </c>
      <c r="L53" s="3194">
        <v>0.53629555517127958</v>
      </c>
      <c r="M53" s="3460">
        <v>-0.19684768301771441</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7.9386810600757824</v>
      </c>
      <c r="E55" s="3461">
        <v>59.689984611955694</v>
      </c>
      <c r="F55" s="3461">
        <v>5.0821754765069791</v>
      </c>
      <c r="G55" s="3081">
        <f t="shared" si="39"/>
        <v>5.1000000000000004E-2</v>
      </c>
      <c r="H55" s="3081">
        <f t="shared" si="40"/>
        <v>0.21497861112171368</v>
      </c>
      <c r="I55" s="3081">
        <f t="shared" si="41"/>
        <v>0.73150174104590227</v>
      </c>
      <c r="J55" s="3194">
        <v>0.40487273406386493</v>
      </c>
      <c r="K55" s="3194">
        <v>12.832069989754697</v>
      </c>
      <c r="L55" s="3194">
        <v>3.7176202093656432</v>
      </c>
      <c r="M55" s="3460">
        <v>-1.3645552671413366</v>
      </c>
    </row>
    <row r="56" spans="2:13" ht="18" customHeight="1" x14ac:dyDescent="0.2">
      <c r="B56" s="2634" t="s">
        <v>676</v>
      </c>
      <c r="C56" s="2636" t="s">
        <v>676</v>
      </c>
      <c r="D56" s="3461">
        <v>1.6952727450179454E-2</v>
      </c>
      <c r="E56" s="3461">
        <v>0.12746551133296577</v>
      </c>
      <c r="F56" s="3461">
        <v>1.0852777061481578E-2</v>
      </c>
      <c r="G56" s="3081">
        <f t="shared" si="39"/>
        <v>5.1000000000000004E-2</v>
      </c>
      <c r="H56" s="3081">
        <f t="shared" si="40"/>
        <v>0.21497861112171368</v>
      </c>
      <c r="I56" s="3081">
        <f t="shared" si="41"/>
        <v>0.73150174104590238</v>
      </c>
      <c r="J56" s="3194">
        <v>8.645890999591522E-4</v>
      </c>
      <c r="K56" s="3194">
        <v>2.7402358592280036E-2</v>
      </c>
      <c r="L56" s="3194">
        <v>7.9388253156568063E-3</v>
      </c>
      <c r="M56" s="3460">
        <v>-2.913951745824774E-3</v>
      </c>
    </row>
    <row r="57" spans="2:13" ht="18" customHeight="1" x14ac:dyDescent="0.2">
      <c r="B57" s="2634" t="s">
        <v>677</v>
      </c>
      <c r="C57" s="2636" t="s">
        <v>677</v>
      </c>
      <c r="D57" s="3461">
        <v>33.920197723914512</v>
      </c>
      <c r="E57" s="3461">
        <v>255.04187217663895</v>
      </c>
      <c r="F57" s="3461">
        <v>21.714992166356232</v>
      </c>
      <c r="G57" s="3081">
        <f t="shared" si="39"/>
        <v>5.1000000000000011E-2</v>
      </c>
      <c r="H57" s="3081">
        <f t="shared" si="40"/>
        <v>0.21497861112171363</v>
      </c>
      <c r="I57" s="3081">
        <f t="shared" si="41"/>
        <v>0.73150174104590238</v>
      </c>
      <c r="J57" s="3194">
        <v>1.7299300839196405</v>
      </c>
      <c r="K57" s="3194">
        <v>54.828547458415457</v>
      </c>
      <c r="L57" s="3194">
        <v>15.884554576487716</v>
      </c>
      <c r="M57" s="3460">
        <v>-5.8304375898685228</v>
      </c>
    </row>
    <row r="58" spans="2:13" ht="18" customHeight="1" x14ac:dyDescent="0.2">
      <c r="B58" s="2634" t="s">
        <v>679</v>
      </c>
      <c r="C58" s="2636" t="s">
        <v>679</v>
      </c>
      <c r="D58" s="3461">
        <v>8.5062499042870883</v>
      </c>
      <c r="E58" s="3461">
        <v>63.957466240305052</v>
      </c>
      <c r="F58" s="3461">
        <v>5.445521029685378</v>
      </c>
      <c r="G58" s="3081">
        <f t="shared" si="39"/>
        <v>5.1000000000000018E-2</v>
      </c>
      <c r="H58" s="3081">
        <f t="shared" si="40"/>
        <v>0.21497861112171365</v>
      </c>
      <c r="I58" s="3081">
        <f t="shared" si="41"/>
        <v>0.73150174104590193</v>
      </c>
      <c r="J58" s="3194">
        <v>0.43381874511864166</v>
      </c>
      <c r="K58" s="3194">
        <v>13.749487263204669</v>
      </c>
      <c r="L58" s="3194">
        <v>3.9834081141169264</v>
      </c>
      <c r="M58" s="3460">
        <v>-1.4621129155684502</v>
      </c>
    </row>
    <row r="59" spans="2:13" ht="18" customHeight="1" x14ac:dyDescent="0.2">
      <c r="B59" s="2634" t="s">
        <v>681</v>
      </c>
      <c r="C59" s="2636" t="s">
        <v>681</v>
      </c>
      <c r="D59" s="3461">
        <v>0.73646026265893627</v>
      </c>
      <c r="E59" s="3461">
        <v>5.5373558167619752</v>
      </c>
      <c r="F59" s="3461">
        <v>0.4714662622145202</v>
      </c>
      <c r="G59" s="3081">
        <f t="shared" si="39"/>
        <v>5.1000000000000004E-2</v>
      </c>
      <c r="H59" s="3081">
        <f t="shared" si="40"/>
        <v>0.21497861112171365</v>
      </c>
      <c r="I59" s="3081">
        <f t="shared" si="41"/>
        <v>0.73150174104590227</v>
      </c>
      <c r="J59" s="3194">
        <v>3.7559473395605752E-2</v>
      </c>
      <c r="K59" s="3194">
        <v>1.1904130627742318</v>
      </c>
      <c r="L59" s="3194">
        <v>0.34487839165432543</v>
      </c>
      <c r="M59" s="3460">
        <v>-0.12658787056019488</v>
      </c>
    </row>
    <row r="60" spans="2:13" ht="18" customHeight="1" x14ac:dyDescent="0.2">
      <c r="B60" s="2634" t="s">
        <v>683</v>
      </c>
      <c r="C60" s="2636" t="s">
        <v>683</v>
      </c>
      <c r="D60" s="3461">
        <v>0.30944492373669491</v>
      </c>
      <c r="E60" s="3461">
        <v>2.3266790284575052</v>
      </c>
      <c r="F60" s="3461">
        <v>0.19810008625402448</v>
      </c>
      <c r="G60" s="3081">
        <f t="shared" si="39"/>
        <v>5.099999999999999E-2</v>
      </c>
      <c r="H60" s="3081">
        <f t="shared" si="40"/>
        <v>0.21497861112171368</v>
      </c>
      <c r="I60" s="3081">
        <f t="shared" si="41"/>
        <v>0.73150174104590249</v>
      </c>
      <c r="J60" s="3194">
        <v>1.5781691110571438E-2</v>
      </c>
      <c r="K60" s="3194">
        <v>0.50018622606381258</v>
      </c>
      <c r="L60" s="3194">
        <v>0.14491055799616237</v>
      </c>
      <c r="M60" s="3460">
        <v>-5.318952825786219E-2</v>
      </c>
    </row>
    <row r="61" spans="2:13" ht="18" customHeight="1" x14ac:dyDescent="0.2">
      <c r="B61" s="2634" t="s">
        <v>686</v>
      </c>
      <c r="C61" s="2636" t="s">
        <v>686</v>
      </c>
      <c r="D61" s="3461">
        <v>0.13077041566008485</v>
      </c>
      <c r="E61" s="3461">
        <v>0.98324697004202388</v>
      </c>
      <c r="F61" s="3461">
        <v>8.3716450439433987E-2</v>
      </c>
      <c r="G61" s="3081">
        <f t="shared" si="39"/>
        <v>5.1000000000000011E-2</v>
      </c>
      <c r="H61" s="3081">
        <f t="shared" si="40"/>
        <v>0.21497861112171368</v>
      </c>
      <c r="I61" s="3081">
        <f t="shared" si="41"/>
        <v>0.7315017410459016</v>
      </c>
      <c r="J61" s="3194">
        <v>6.6692911986643288E-3</v>
      </c>
      <c r="K61" s="3194">
        <v>0.2113770680092675</v>
      </c>
      <c r="L61" s="3194">
        <v>6.1238729250628898E-2</v>
      </c>
      <c r="M61" s="3460">
        <v>-2.2477721188805047E-2</v>
      </c>
    </row>
    <row r="62" spans="2:13" ht="18" customHeight="1" x14ac:dyDescent="0.2">
      <c r="B62" s="2634" t="s">
        <v>688</v>
      </c>
      <c r="C62" s="2636" t="s">
        <v>688</v>
      </c>
      <c r="D62" s="3461">
        <v>0.80784626428052131</v>
      </c>
      <c r="E62" s="3461">
        <v>6.0740985459453514</v>
      </c>
      <c r="F62" s="3461">
        <v>0.51716606852512215</v>
      </c>
      <c r="G62" s="3081">
        <f t="shared" si="39"/>
        <v>5.1000000000000004E-2</v>
      </c>
      <c r="H62" s="3081">
        <f t="shared" si="40"/>
        <v>0.21497861112171368</v>
      </c>
      <c r="I62" s="3081">
        <f t="shared" si="41"/>
        <v>0.73150174104590193</v>
      </c>
      <c r="J62" s="3194">
        <v>4.1200159478306589E-2</v>
      </c>
      <c r="K62" s="3194">
        <v>1.3058012692237522</v>
      </c>
      <c r="L62" s="3194">
        <v>0.3783078795359911</v>
      </c>
      <c r="M62" s="3460">
        <v>-0.13885818898913097</v>
      </c>
    </row>
    <row r="63" spans="2:13" ht="18" customHeight="1" x14ac:dyDescent="0.2">
      <c r="B63" s="2634" t="s">
        <v>689</v>
      </c>
      <c r="C63" s="2636" t="s">
        <v>689</v>
      </c>
      <c r="D63" s="3461">
        <v>0.5693845457409169</v>
      </c>
      <c r="E63" s="3461">
        <v>4.2811336689770325</v>
      </c>
      <c r="F63" s="3461">
        <v>0.36450792684180844</v>
      </c>
      <c r="G63" s="3081">
        <f t="shared" si="39"/>
        <v>5.1000000000000004E-2</v>
      </c>
      <c r="H63" s="3081">
        <f t="shared" si="40"/>
        <v>0.21497861112171365</v>
      </c>
      <c r="I63" s="3081">
        <f t="shared" si="41"/>
        <v>0.7315017410459026</v>
      </c>
      <c r="J63" s="3194">
        <v>2.9038611832786766E-2</v>
      </c>
      <c r="K63" s="3194">
        <v>0.92035217018308868</v>
      </c>
      <c r="L63" s="3194">
        <v>0.26663818310981535</v>
      </c>
      <c r="M63" s="3460">
        <v>-9.7869743731993267E-2</v>
      </c>
    </row>
    <row r="64" spans="2:13" ht="18" customHeight="1" x14ac:dyDescent="0.2">
      <c r="B64" s="104" t="s">
        <v>893</v>
      </c>
      <c r="C64" s="2524"/>
      <c r="D64" s="150"/>
      <c r="E64" s="150"/>
      <c r="F64" s="150"/>
      <c r="G64" s="2135"/>
      <c r="H64" s="2135"/>
      <c r="I64" s="2135"/>
      <c r="J64" s="3081">
        <f>IF(SUM(J65:J76)=0,"NO",SUM(J65:J76))</f>
        <v>0.99194609846405457</v>
      </c>
      <c r="K64" s="3081">
        <f>IF(SUM(K65:K76)=0,"NO",SUM(K65:K76))</f>
        <v>355.56343735805979</v>
      </c>
      <c r="L64" s="3081">
        <f>IF(SUM(L65:L76)=0,"NO",SUM(L65:L76))</f>
        <v>13.739466537370909</v>
      </c>
      <c r="M64" s="3193">
        <f>IF(SUM(M65:M76)=0,"NO",SUM(M65:M76))</f>
        <v>-5.5860256410989066</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v>6.0015193107584173</v>
      </c>
      <c r="E66" s="3461">
        <v>72.741709991824507</v>
      </c>
      <c r="F66" s="3461">
        <v>0.54626583787229499</v>
      </c>
      <c r="G66" s="3081">
        <f t="shared" ref="G66:G76" si="42">IF(SUM(D66)=0,"NA",J66/D66)</f>
        <v>3.5000000000000005E-3</v>
      </c>
      <c r="H66" s="3081">
        <f t="shared" ref="H66:H76" si="43">IF(SUM(E66)=0,"NA",K66/E66)</f>
        <v>0.10350820291138237</v>
      </c>
      <c r="I66" s="3081">
        <f t="shared" ref="I66:I76" si="44">IF(SUM(F66)=0,"NA",L66/F66)</f>
        <v>0.31606620676440095</v>
      </c>
      <c r="J66" s="3194">
        <v>2.1005317587654462E-2</v>
      </c>
      <c r="K66" s="3194">
        <v>7.5293636779547013</v>
      </c>
      <c r="L66" s="3194">
        <v>0.17265617126127353</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41.602749195726496</v>
      </c>
      <c r="E68" s="3461">
        <v>504.24816786529954</v>
      </c>
      <c r="F68" s="3461">
        <v>3.7867345701038087</v>
      </c>
      <c r="G68" s="3081">
        <f t="shared" si="42"/>
        <v>3.5000000000000005E-3</v>
      </c>
      <c r="H68" s="3081">
        <f t="shared" si="43"/>
        <v>0.10350820291138237</v>
      </c>
      <c r="I68" s="3081">
        <f t="shared" si="44"/>
        <v>0.57964633397865362</v>
      </c>
      <c r="J68" s="3194">
        <v>0.14560962218504275</v>
      </c>
      <c r="K68" s="3194">
        <v>52.19382167709422</v>
      </c>
      <c r="L68" s="3194">
        <v>2.1949668113109055</v>
      </c>
      <c r="M68" s="3460">
        <v>-0.99810797971456044</v>
      </c>
    </row>
    <row r="69" spans="2:13" ht="18" customHeight="1" x14ac:dyDescent="0.2">
      <c r="B69" s="2634" t="s">
        <v>676</v>
      </c>
      <c r="C69" s="2636" t="s">
        <v>676</v>
      </c>
      <c r="D69" s="3461">
        <v>8.8840962743827773E-2</v>
      </c>
      <c r="E69" s="3461">
        <v>1.0768012585948574</v>
      </c>
      <c r="F69" s="3461">
        <v>8.0864161952526551E-3</v>
      </c>
      <c r="G69" s="3081">
        <f t="shared" si="42"/>
        <v>3.5000000000000001E-3</v>
      </c>
      <c r="H69" s="3081">
        <f t="shared" si="43"/>
        <v>0.10350820291138237</v>
      </c>
      <c r="I69" s="3081">
        <f t="shared" si="44"/>
        <v>0.57964633397865584</v>
      </c>
      <c r="J69" s="3194">
        <v>3.109433696033972E-4</v>
      </c>
      <c r="K69" s="3194">
        <v>0.11145776316986841</v>
      </c>
      <c r="L69" s="3194">
        <v>4.6872615026038317E-3</v>
      </c>
      <c r="M69" s="3460">
        <v>-2.1314186094520669E-3</v>
      </c>
    </row>
    <row r="70" spans="2:13" ht="18" customHeight="1" x14ac:dyDescent="0.2">
      <c r="B70" s="2634" t="s">
        <v>677</v>
      </c>
      <c r="C70" s="2636" t="s">
        <v>677</v>
      </c>
      <c r="D70" s="3461">
        <v>177.75918542368012</v>
      </c>
      <c r="E70" s="3461">
        <v>2154.5389500443448</v>
      </c>
      <c r="F70" s="3461">
        <v>16.179864687079075</v>
      </c>
      <c r="G70" s="3081">
        <f t="shared" si="42"/>
        <v>3.5000000000000001E-3</v>
      </c>
      <c r="H70" s="3081">
        <f t="shared" si="43"/>
        <v>0.10350820291138234</v>
      </c>
      <c r="I70" s="3081">
        <f t="shared" si="44"/>
        <v>0.57964633397865373</v>
      </c>
      <c r="J70" s="3194">
        <v>0.62215714898288044</v>
      </c>
      <c r="K70" s="3194">
        <v>223.01245482166669</v>
      </c>
      <c r="L70" s="3194">
        <v>9.3785992501360624</v>
      </c>
      <c r="M70" s="3460">
        <v>-4.2646907925296551</v>
      </c>
    </row>
    <row r="71" spans="2:13" ht="18" customHeight="1" x14ac:dyDescent="0.2">
      <c r="B71" s="2634" t="s">
        <v>679</v>
      </c>
      <c r="C71" s="2636" t="s">
        <v>679</v>
      </c>
      <c r="D71" s="3461">
        <v>44.57710023695676</v>
      </c>
      <c r="E71" s="3461">
        <v>540.29893595450721</v>
      </c>
      <c r="F71" s="3461">
        <v>4.0574637437567809</v>
      </c>
      <c r="G71" s="3081">
        <f t="shared" si="42"/>
        <v>3.5000000000000001E-3</v>
      </c>
      <c r="H71" s="3081">
        <f t="shared" si="43"/>
        <v>0.10350820291138235</v>
      </c>
      <c r="I71" s="3081">
        <f t="shared" si="44"/>
        <v>0.31606620676440489</v>
      </c>
      <c r="J71" s="3194">
        <v>0.15601985082934866</v>
      </c>
      <c r="K71" s="3194">
        <v>55.925371895583112</v>
      </c>
      <c r="L71" s="3194">
        <v>1.2824271745733071</v>
      </c>
      <c r="M71" s="3460" t="s">
        <v>199</v>
      </c>
    </row>
    <row r="72" spans="2:13" ht="18" customHeight="1" x14ac:dyDescent="0.2">
      <c r="B72" s="2634" t="s">
        <v>681</v>
      </c>
      <c r="C72" s="2636" t="s">
        <v>681</v>
      </c>
      <c r="D72" s="3461">
        <v>3.8594284577199161</v>
      </c>
      <c r="E72" s="3461">
        <v>46.77839244845805</v>
      </c>
      <c r="F72" s="3461">
        <v>0.35129003357286953</v>
      </c>
      <c r="G72" s="3081">
        <f t="shared" si="42"/>
        <v>3.5000000000000001E-3</v>
      </c>
      <c r="H72" s="3081">
        <f t="shared" si="43"/>
        <v>0.10350820291138235</v>
      </c>
      <c r="I72" s="3081">
        <f t="shared" si="44"/>
        <v>0.57964633397865195</v>
      </c>
      <c r="J72" s="3194">
        <v>1.3507999602019706E-2</v>
      </c>
      <c r="K72" s="3194">
        <v>4.8419473374232718</v>
      </c>
      <c r="L72" s="3194">
        <v>0.20362398012375138</v>
      </c>
      <c r="M72" s="3460">
        <v>-9.2593071738235139E-2</v>
      </c>
    </row>
    <row r="73" spans="2:13" ht="18" customHeight="1" x14ac:dyDescent="0.2">
      <c r="B73" s="2634" t="s">
        <v>683</v>
      </c>
      <c r="C73" s="2636" t="s">
        <v>683</v>
      </c>
      <c r="D73" s="3461">
        <v>1.6216496738798998</v>
      </c>
      <c r="E73" s="3461">
        <v>19.655284633384202</v>
      </c>
      <c r="F73" s="3461">
        <v>0.14760459343175744</v>
      </c>
      <c r="G73" s="3081">
        <f t="shared" si="42"/>
        <v>3.5000000000000005E-3</v>
      </c>
      <c r="H73" s="3081">
        <f t="shared" si="43"/>
        <v>0.10350820291138235</v>
      </c>
      <c r="I73" s="3081">
        <f t="shared" si="44"/>
        <v>0.57964633397865306</v>
      </c>
      <c r="J73" s="3194">
        <v>5.6757738585796504E-3</v>
      </c>
      <c r="K73" s="3194">
        <v>2.0344831901133076</v>
      </c>
      <c r="L73" s="3194">
        <v>8.5558461461127777E-2</v>
      </c>
      <c r="M73" s="3460">
        <v>-3.8905637514150292E-2</v>
      </c>
    </row>
    <row r="74" spans="2:13" ht="18" customHeight="1" x14ac:dyDescent="0.2">
      <c r="B74" s="2634" t="s">
        <v>686</v>
      </c>
      <c r="C74" s="2636" t="s">
        <v>686</v>
      </c>
      <c r="D74" s="3461">
        <v>0.68530386392364795</v>
      </c>
      <c r="E74" s="3461">
        <v>8.3062591894769984</v>
      </c>
      <c r="F74" s="3461">
        <v>6.2377219840364852E-2</v>
      </c>
      <c r="G74" s="3081">
        <f t="shared" si="42"/>
        <v>3.5000000000000001E-3</v>
      </c>
      <c r="H74" s="3081">
        <f t="shared" si="43"/>
        <v>0.10350820291138235</v>
      </c>
      <c r="I74" s="3081">
        <f t="shared" si="44"/>
        <v>0.57964633397865284</v>
      </c>
      <c r="J74" s="3194">
        <v>2.3985635237327679E-3</v>
      </c>
      <c r="K74" s="3194">
        <v>0.85976596161891949</v>
      </c>
      <c r="L74" s="3194">
        <v>3.6156726804247974E-2</v>
      </c>
      <c r="M74" s="3460">
        <v>-1.6441395540794615E-2</v>
      </c>
    </row>
    <row r="75" spans="2:13" ht="18" customHeight="1" x14ac:dyDescent="0.2">
      <c r="B75" s="2634" t="s">
        <v>688</v>
      </c>
      <c r="C75" s="2636" t="s">
        <v>688</v>
      </c>
      <c r="D75" s="3461">
        <v>4.2335276184084769</v>
      </c>
      <c r="E75" s="3461">
        <v>51.312679725716414</v>
      </c>
      <c r="F75" s="3461">
        <v>0.38534100981392311</v>
      </c>
      <c r="G75" s="3081">
        <f t="shared" si="42"/>
        <v>3.5000000000000005E-3</v>
      </c>
      <c r="H75" s="3081">
        <f t="shared" si="43"/>
        <v>0.10350820291138234</v>
      </c>
      <c r="I75" s="3081">
        <f t="shared" si="44"/>
        <v>0.57964633397865661</v>
      </c>
      <c r="J75" s="3194">
        <v>1.4817346664429671E-2</v>
      </c>
      <c r="K75" s="3194">
        <v>5.3112832649762289</v>
      </c>
      <c r="L75" s="3194">
        <v>0.22336150367027408</v>
      </c>
      <c r="M75" s="3460">
        <v>-0.10156823238762144</v>
      </c>
    </row>
    <row r="76" spans="2:13" ht="18" customHeight="1" x14ac:dyDescent="0.2">
      <c r="B76" s="2634" t="s">
        <v>689</v>
      </c>
      <c r="C76" s="2636" t="s">
        <v>689</v>
      </c>
      <c r="D76" s="3461">
        <v>2.9838662459322811</v>
      </c>
      <c r="E76" s="3461">
        <v>36.166097595805468</v>
      </c>
      <c r="F76" s="3461">
        <v>0.27159525955554653</v>
      </c>
      <c r="G76" s="3081">
        <f t="shared" si="42"/>
        <v>3.5000000000000001E-3</v>
      </c>
      <c r="H76" s="3081">
        <f t="shared" si="43"/>
        <v>0.10350820291138237</v>
      </c>
      <c r="I76" s="3081">
        <f t="shared" si="44"/>
        <v>0.57964633397865561</v>
      </c>
      <c r="J76" s="3194">
        <v>1.0443531860762984E-2</v>
      </c>
      <c r="K76" s="3194">
        <v>3.7434877684594903</v>
      </c>
      <c r="L76" s="3194">
        <v>0.15742919652735399</v>
      </c>
      <c r="M76" s="3460">
        <v>-7.1587113064438226E-2</v>
      </c>
    </row>
    <row r="77" spans="2:13" ht="18" customHeight="1" x14ac:dyDescent="0.2">
      <c r="B77" s="104" t="s">
        <v>894</v>
      </c>
      <c r="C77" s="2524"/>
      <c r="D77" s="150"/>
      <c r="E77" s="150"/>
      <c r="F77" s="150"/>
      <c r="G77" s="2135"/>
      <c r="H77" s="2135"/>
      <c r="I77" s="2135"/>
      <c r="J77" s="3081">
        <f>IF(SUM(J78:J89)=0,"NO",SUM(J78:J89))</f>
        <v>3.8152088351240918</v>
      </c>
      <c r="K77" s="3081">
        <f>IF(SUM(K78:K89)=0,"NO",SUM(K78:K89))</f>
        <v>267.03751828845066</v>
      </c>
      <c r="L77" s="3081">
        <f>IF(SUM(L78:L89)=0,"NO",SUM(L78:L89))</f>
        <v>210.64607885453688</v>
      </c>
      <c r="M77" s="3193">
        <f>IF(SUM(M78:M89)=0,"NO",SUM(M78:M89))</f>
        <v>-104.03509391444331</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v>12.587146810162805</v>
      </c>
      <c r="E79" s="3461">
        <v>140.00013358291039</v>
      </c>
      <c r="F79" s="3461">
        <v>3.3811267243362608</v>
      </c>
      <c r="G79" s="3081">
        <f t="shared" ref="G79:G89" si="45">IF(SUM(D79)=0,"NA",J79/D79)</f>
        <v>6.4184800569716885E-3</v>
      </c>
      <c r="H79" s="3081">
        <f t="shared" ref="H79:H89" si="46">IF(SUM(E79)=0,"NA",K79/E79)</f>
        <v>4.0391037779574639E-2</v>
      </c>
      <c r="I79" s="3081">
        <f t="shared" ref="I79:I89" si="47">IF(SUM(F79)=0,"NA",L79/F79)</f>
        <v>20.579858212439991</v>
      </c>
      <c r="J79" s="3194">
        <v>8.0790350775204772E-2</v>
      </c>
      <c r="K79" s="3194">
        <v>5.6547506846928295</v>
      </c>
      <c r="L79" s="3194">
        <v>69.583108585131924</v>
      </c>
      <c r="M79" s="3460">
        <v>-67.325528661719929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87.254557507508309</v>
      </c>
      <c r="E81" s="3461">
        <v>970.485995833944</v>
      </c>
      <c r="F81" s="3461">
        <v>23.438092894139814</v>
      </c>
      <c r="G81" s="3081">
        <f t="shared" si="45"/>
        <v>6.4184800569716885E-3</v>
      </c>
      <c r="H81" s="3081">
        <f t="shared" si="46"/>
        <v>4.0391037779574639E-2</v>
      </c>
      <c r="I81" s="3081">
        <f t="shared" si="47"/>
        <v>0.83198921834547401</v>
      </c>
      <c r="J81" s="3194">
        <v>0.56004163724183142</v>
      </c>
      <c r="K81" s="3194">
        <v>39.198936522276945</v>
      </c>
      <c r="L81" s="3194">
        <v>19.500240586503992</v>
      </c>
      <c r="M81" s="3460">
        <v>-3.850614803470731</v>
      </c>
    </row>
    <row r="82" spans="2:13" ht="18" customHeight="1" x14ac:dyDescent="0.2">
      <c r="B82" s="2634" t="s">
        <v>676</v>
      </c>
      <c r="C82" s="2636" t="s">
        <v>676</v>
      </c>
      <c r="D82" s="3461">
        <v>0.18632852498002703</v>
      </c>
      <c r="E82" s="3461">
        <v>2.0724329970036344</v>
      </c>
      <c r="F82" s="3461">
        <v>5.0051085032826216E-2</v>
      </c>
      <c r="G82" s="3081">
        <f t="shared" si="45"/>
        <v>6.4184800569716876E-3</v>
      </c>
      <c r="H82" s="3081">
        <f t="shared" si="46"/>
        <v>4.0391037779574639E-2</v>
      </c>
      <c r="I82" s="3081">
        <f t="shared" si="47"/>
        <v>1.3185767544724043</v>
      </c>
      <c r="J82" s="3194">
        <v>1.1959459216292544E-3</v>
      </c>
      <c r="K82" s="3194">
        <v>8.3707719477610895E-2</v>
      </c>
      <c r="L82" s="3194">
        <v>6.5996197260406328E-2</v>
      </c>
      <c r="M82" s="3460">
        <v>-3.2577063957357225E-2</v>
      </c>
    </row>
    <row r="83" spans="2:13" ht="18" customHeight="1" x14ac:dyDescent="0.2">
      <c r="B83" s="2634" t="s">
        <v>677</v>
      </c>
      <c r="C83" s="2636" t="s">
        <v>677</v>
      </c>
      <c r="D83" s="3461">
        <v>372.81908928825248</v>
      </c>
      <c r="E83" s="3461">
        <v>4146.6682711980893</v>
      </c>
      <c r="F83" s="3461">
        <v>100.14569664965342</v>
      </c>
      <c r="G83" s="3081">
        <f t="shared" si="45"/>
        <v>6.4184800569716885E-3</v>
      </c>
      <c r="H83" s="3081">
        <f t="shared" si="46"/>
        <v>4.0391037779574632E-2</v>
      </c>
      <c r="I83" s="3081">
        <f t="shared" si="47"/>
        <v>0.8829150211569684</v>
      </c>
      <c r="J83" s="3194">
        <v>2.3929318894549958</v>
      </c>
      <c r="K83" s="3194">
        <v>167.48823480132546</v>
      </c>
      <c r="L83" s="3194">
        <v>88.420139876208083</v>
      </c>
      <c r="M83" s="3460">
        <v>-21.552810549251692</v>
      </c>
    </row>
    <row r="84" spans="2:13" ht="18" customHeight="1" x14ac:dyDescent="0.2">
      <c r="B84" s="2634" t="s">
        <v>679</v>
      </c>
      <c r="C84" s="2636" t="s">
        <v>679</v>
      </c>
      <c r="D84" s="3461">
        <v>93.492743420500872</v>
      </c>
      <c r="E84" s="3461">
        <v>1039.8700170347495</v>
      </c>
      <c r="F84" s="3461">
        <v>25.113778211861497</v>
      </c>
      <c r="G84" s="3081">
        <f t="shared" si="45"/>
        <v>6.4184800569716876E-3</v>
      </c>
      <c r="H84" s="3081">
        <f t="shared" si="46"/>
        <v>4.0391037779574632E-2</v>
      </c>
      <c r="I84" s="3081">
        <f t="shared" si="47"/>
        <v>1.062379945560104</v>
      </c>
      <c r="J84" s="3194">
        <v>0.60008130911605584</v>
      </c>
      <c r="K84" s="3194">
        <v>42.001429143897482</v>
      </c>
      <c r="L84" s="3194">
        <v>26.680374329525939</v>
      </c>
      <c r="M84" s="3460">
        <v>-9.9118926621462258</v>
      </c>
    </row>
    <row r="85" spans="2:13" ht="18" customHeight="1" x14ac:dyDescent="0.2">
      <c r="B85" s="2634" t="s">
        <v>681</v>
      </c>
      <c r="C85" s="2636" t="s">
        <v>681</v>
      </c>
      <c r="D85" s="3461">
        <v>8.0192073284559875</v>
      </c>
      <c r="E85" s="3461">
        <v>87.250282205505755</v>
      </c>
      <c r="F85" s="3461">
        <v>2.1499646380210597</v>
      </c>
      <c r="G85" s="3081">
        <f t="shared" si="45"/>
        <v>6.4787293688692103E-3</v>
      </c>
      <c r="H85" s="3081">
        <f t="shared" si="46"/>
        <v>4.1678147613300437E-2</v>
      </c>
      <c r="I85" s="3081">
        <f t="shared" si="47"/>
        <v>0.85383952206749913</v>
      </c>
      <c r="J85" s="3194">
        <v>5.1954274033919008E-2</v>
      </c>
      <c r="K85" s="3194">
        <v>3.6364301410631894</v>
      </c>
      <c r="L85" s="3194">
        <v>1.8357247789899254</v>
      </c>
      <c r="M85" s="3460">
        <v>-0.38393103296724446</v>
      </c>
    </row>
    <row r="86" spans="2:13" ht="18" customHeight="1" x14ac:dyDescent="0.2">
      <c r="B86" s="2634" t="s">
        <v>683</v>
      </c>
      <c r="C86" s="2636" t="s">
        <v>683</v>
      </c>
      <c r="D86" s="3461">
        <v>3.4011291912679793</v>
      </c>
      <c r="E86" s="3461">
        <v>37.828949506317414</v>
      </c>
      <c r="F86" s="3461">
        <v>0.91360250062639869</v>
      </c>
      <c r="G86" s="3081">
        <f t="shared" si="45"/>
        <v>6.4184800569716876E-3</v>
      </c>
      <c r="H86" s="3081">
        <f t="shared" si="46"/>
        <v>4.0391037779574639E-2</v>
      </c>
      <c r="I86" s="3081">
        <f t="shared" si="47"/>
        <v>0.84661955241804732</v>
      </c>
      <c r="J86" s="3194">
        <v>2.1830079885337771E-2</v>
      </c>
      <c r="K86" s="3194">
        <v>1.527950528671288</v>
      </c>
      <c r="L86" s="3194">
        <v>0.77347374016833048</v>
      </c>
      <c r="M86" s="3460">
        <v>-0.16346091558304485</v>
      </c>
    </row>
    <row r="87" spans="2:13" ht="18" customHeight="1" x14ac:dyDescent="0.2">
      <c r="B87" s="2634" t="s">
        <v>686</v>
      </c>
      <c r="C87" s="2636" t="s">
        <v>686</v>
      </c>
      <c r="D87" s="3461">
        <v>1.437306105025048</v>
      </c>
      <c r="E87" s="3461">
        <v>15.986390699802815</v>
      </c>
      <c r="F87" s="3461">
        <v>0.38608543747405394</v>
      </c>
      <c r="G87" s="3081">
        <f t="shared" si="45"/>
        <v>6.4184800569716868E-3</v>
      </c>
      <c r="H87" s="3081">
        <f t="shared" si="46"/>
        <v>4.0391037779574639E-2</v>
      </c>
      <c r="I87" s="3081">
        <f t="shared" si="47"/>
        <v>0.99775858466861056</v>
      </c>
      <c r="J87" s="3194">
        <v>9.2253205708669236E-3</v>
      </c>
      <c r="K87" s="3194">
        <v>0.64570691071477615</v>
      </c>
      <c r="L87" s="3194">
        <v>0.38522005965527339</v>
      </c>
      <c r="M87" s="3460">
        <v>-0.12743062925932516</v>
      </c>
    </row>
    <row r="88" spans="2:13" ht="18" customHeight="1" x14ac:dyDescent="0.2">
      <c r="B88" s="2634" t="s">
        <v>688</v>
      </c>
      <c r="C88" s="2636" t="s">
        <v>688</v>
      </c>
      <c r="D88" s="3461">
        <v>8.7965189858238446</v>
      </c>
      <c r="E88" s="3461">
        <v>95.707559675601175</v>
      </c>
      <c r="F88" s="3461">
        <v>2.3583633621857594</v>
      </c>
      <c r="G88" s="3081">
        <f t="shared" si="45"/>
        <v>6.4787293688692111E-3</v>
      </c>
      <c r="H88" s="3081">
        <f t="shared" si="46"/>
        <v>4.1678147613300444E-2</v>
      </c>
      <c r="I88" s="3081">
        <f t="shared" si="47"/>
        <v>0.84939776585779958</v>
      </c>
      <c r="J88" s="3194">
        <v>5.6990265897272546E-2</v>
      </c>
      <c r="K88" s="3194">
        <v>3.9889137998684667</v>
      </c>
      <c r="L88" s="3194">
        <v>2.0031885709214725</v>
      </c>
      <c r="M88" s="3460">
        <v>-0.4106706664308179</v>
      </c>
    </row>
    <row r="89" spans="2:13" ht="18" customHeight="1" x14ac:dyDescent="0.2">
      <c r="B89" s="2634" t="s">
        <v>689</v>
      </c>
      <c r="C89" s="2636" t="s">
        <v>689</v>
      </c>
      <c r="D89" s="3461">
        <v>6.1999444551561913</v>
      </c>
      <c r="E89" s="3461">
        <v>67.456405753633476</v>
      </c>
      <c r="F89" s="3461">
        <v>1.6622168239721817</v>
      </c>
      <c r="G89" s="3081">
        <f t="shared" si="45"/>
        <v>6.4787293688692111E-3</v>
      </c>
      <c r="H89" s="3081">
        <f t="shared" si="46"/>
        <v>4.1678147613300444E-2</v>
      </c>
      <c r="I89" s="3081">
        <f t="shared" si="47"/>
        <v>0.84141377346266144</v>
      </c>
      <c r="J89" s="3194">
        <v>4.0167762226978238E-2</v>
      </c>
      <c r="K89" s="3194">
        <v>2.8114580364626254</v>
      </c>
      <c r="L89" s="3194">
        <v>1.3986121301715539</v>
      </c>
      <c r="M89" s="3460">
        <v>-0.27617692965694013</v>
      </c>
    </row>
    <row r="90" spans="2:13" ht="18" customHeight="1" x14ac:dyDescent="0.2">
      <c r="B90" s="88" t="s">
        <v>657</v>
      </c>
      <c r="C90" s="2524" t="s">
        <v>895</v>
      </c>
      <c r="D90" s="150"/>
      <c r="E90" s="150"/>
      <c r="F90" s="150"/>
      <c r="G90" s="2135"/>
      <c r="H90" s="2135"/>
      <c r="I90" s="2135"/>
      <c r="J90" s="3081">
        <f>IF(SUM(J91,J104)=0,"NO",SUM(J91,J104))</f>
        <v>13.639765930588981</v>
      </c>
      <c r="K90" s="3081">
        <f t="shared" ref="K90:M90" si="48">IF(SUM(K91,K104)=0,"NO",SUM(K91,K104))</f>
        <v>1.9732302018557508</v>
      </c>
      <c r="L90" s="3081">
        <f t="shared" si="48"/>
        <v>0.89730151400701619</v>
      </c>
      <c r="M90" s="3193" t="str">
        <f t="shared" si="48"/>
        <v>NO</v>
      </c>
    </row>
    <row r="91" spans="2:13" ht="18" customHeight="1" x14ac:dyDescent="0.2">
      <c r="B91" s="104" t="s">
        <v>896</v>
      </c>
      <c r="C91" s="2524"/>
      <c r="D91" s="150"/>
      <c r="E91" s="150"/>
      <c r="F91" s="150"/>
      <c r="G91" s="2135"/>
      <c r="H91" s="2135"/>
      <c r="I91" s="2135"/>
      <c r="J91" s="3081">
        <f>IF(SUM(J92:J103)=0,"NO",SUM(J92:J103))</f>
        <v>13.639765930588981</v>
      </c>
      <c r="K91" s="3081">
        <f>IF(SUM(K92:K103)=0,"NO",SUM(K92:K103))</f>
        <v>1.9732302018557508</v>
      </c>
      <c r="L91" s="3081">
        <f>IF(SUM(L92:L103)=0,"NO",SUM(L92:L103))</f>
        <v>0.89730151400701619</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v>0.48138975769772835</v>
      </c>
      <c r="E93" s="3461">
        <v>1.7481798382385765</v>
      </c>
      <c r="F93" s="3461">
        <v>1.9001136556497458E-2</v>
      </c>
      <c r="G93" s="3081">
        <f t="shared" ref="G93:G103" si="49">IF(SUM(D93)=0,"NA",J93/D93)</f>
        <v>0.6</v>
      </c>
      <c r="H93" s="3081">
        <f t="shared" ref="H93:H103" si="50">IF(SUM(E93)=0,"NA",K93/E93)</f>
        <v>2.3901922035233066E-2</v>
      </c>
      <c r="I93" s="3081">
        <f t="shared" ref="I93:I103" si="51">IF(SUM(F93)=0,"NA",L93/F93)</f>
        <v>1.0000000000000075</v>
      </c>
      <c r="J93" s="3194">
        <v>0.28883385461863698</v>
      </c>
      <c r="K93" s="3194">
        <v>4.1784858197144809E-2</v>
      </c>
      <c r="L93" s="3194">
        <v>1.90011365564976E-2</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3.3370112329704882</v>
      </c>
      <c r="E95" s="3461">
        <v>12.118445945660779</v>
      </c>
      <c r="F95" s="3461">
        <v>0.13171656669947762</v>
      </c>
      <c r="G95" s="3081">
        <f t="shared" si="49"/>
        <v>0.6</v>
      </c>
      <c r="H95" s="3081">
        <f t="shared" si="50"/>
        <v>2.3901922035233066E-2</v>
      </c>
      <c r="I95" s="3081">
        <f t="shared" si="51"/>
        <v>1.0000000000000093</v>
      </c>
      <c r="J95" s="3194">
        <v>2.0022067397822929</v>
      </c>
      <c r="K95" s="3194">
        <v>0.2896541501813702</v>
      </c>
      <c r="L95" s="3194">
        <v>0.13171656669947884</v>
      </c>
      <c r="M95" s="3460" t="s">
        <v>199</v>
      </c>
    </row>
    <row r="96" spans="2:13" ht="18" customHeight="1" x14ac:dyDescent="0.2">
      <c r="B96" s="2634" t="s">
        <v>676</v>
      </c>
      <c r="C96" s="2636" t="s">
        <v>676</v>
      </c>
      <c r="D96" s="3461">
        <v>7.126050473955676E-3</v>
      </c>
      <c r="E96" s="3461">
        <v>2.5878443746744782E-2</v>
      </c>
      <c r="F96" s="3461">
        <v>2.8127532004772481E-4</v>
      </c>
      <c r="G96" s="3081">
        <f t="shared" si="49"/>
        <v>0.6</v>
      </c>
      <c r="H96" s="3081">
        <f t="shared" si="50"/>
        <v>2.3901922035233069E-2</v>
      </c>
      <c r="I96" s="3081">
        <f t="shared" si="51"/>
        <v>1.0000000000000051</v>
      </c>
      <c r="J96" s="3194">
        <v>4.2756302843734058E-3</v>
      </c>
      <c r="K96" s="3194">
        <v>6.1854454482785856E-4</v>
      </c>
      <c r="L96" s="3194">
        <v>2.8127532004772627E-4</v>
      </c>
      <c r="M96" s="3460" t="s">
        <v>199</v>
      </c>
    </row>
    <row r="97" spans="2:13" ht="18" customHeight="1" x14ac:dyDescent="0.2">
      <c r="B97" s="2634" t="s">
        <v>677</v>
      </c>
      <c r="C97" s="2636" t="s">
        <v>677</v>
      </c>
      <c r="D97" s="3461">
        <v>14.258298068999663</v>
      </c>
      <c r="E97" s="3461">
        <v>51.779392505215455</v>
      </c>
      <c r="F97" s="3461">
        <v>0.56279524925501989</v>
      </c>
      <c r="G97" s="3081">
        <f t="shared" si="49"/>
        <v>0.6</v>
      </c>
      <c r="H97" s="3081">
        <f t="shared" si="50"/>
        <v>2.3901922035233069E-2</v>
      </c>
      <c r="I97" s="3081">
        <f t="shared" si="51"/>
        <v>1.0000000000000091</v>
      </c>
      <c r="J97" s="3194">
        <v>8.554978841399798</v>
      </c>
      <c r="K97" s="3194">
        <v>1.2376270026913914</v>
      </c>
      <c r="L97" s="3194">
        <v>0.562795249255025</v>
      </c>
      <c r="M97" s="3460" t="s">
        <v>199</v>
      </c>
    </row>
    <row r="98" spans="2:13" ht="18" customHeight="1" x14ac:dyDescent="0.2">
      <c r="B98" s="2634" t="s">
        <v>679</v>
      </c>
      <c r="C98" s="2636" t="s">
        <v>679</v>
      </c>
      <c r="D98" s="3461">
        <v>3.5755878421432881</v>
      </c>
      <c r="E98" s="3461">
        <v>12.984843311541381</v>
      </c>
      <c r="F98" s="3461">
        <v>0.14113352386898384</v>
      </c>
      <c r="G98" s="3081">
        <f t="shared" si="49"/>
        <v>0.6</v>
      </c>
      <c r="H98" s="3081">
        <f t="shared" si="50"/>
        <v>2.3901922035233069E-2</v>
      </c>
      <c r="I98" s="3081">
        <f t="shared" si="51"/>
        <v>1.0000000000000115</v>
      </c>
      <c r="J98" s="3194">
        <v>2.1453527052859727</v>
      </c>
      <c r="K98" s="3194">
        <v>0.31036271247217967</v>
      </c>
      <c r="L98" s="3194">
        <v>0.14113352386898548</v>
      </c>
      <c r="M98" s="3460" t="s">
        <v>199</v>
      </c>
    </row>
    <row r="99" spans="2:13" ht="18" customHeight="1" x14ac:dyDescent="0.2">
      <c r="B99" s="2634" t="s">
        <v>681</v>
      </c>
      <c r="C99" s="2636" t="s">
        <v>681</v>
      </c>
      <c r="D99" s="3461">
        <v>0.30956983288931961</v>
      </c>
      <c r="E99" s="3461">
        <v>1.1242111651320403</v>
      </c>
      <c r="F99" s="3461">
        <v>1.2219160408883411E-2</v>
      </c>
      <c r="G99" s="3081">
        <f t="shared" si="49"/>
        <v>0.59999999999999987</v>
      </c>
      <c r="H99" s="3081">
        <f t="shared" si="50"/>
        <v>2.3901922035233072E-2</v>
      </c>
      <c r="I99" s="3081">
        <f t="shared" si="51"/>
        <v>1.0000000000000087</v>
      </c>
      <c r="J99" s="3194">
        <v>0.18574189973359173</v>
      </c>
      <c r="K99" s="3194">
        <v>2.6870807620124563E-2</v>
      </c>
      <c r="L99" s="3194">
        <v>1.2219160408883517E-2</v>
      </c>
      <c r="M99" s="3460" t="s">
        <v>199</v>
      </c>
    </row>
    <row r="100" spans="2:13" ht="18" customHeight="1" x14ac:dyDescent="0.2">
      <c r="B100" s="2634" t="s">
        <v>683</v>
      </c>
      <c r="C100" s="2636" t="s">
        <v>683</v>
      </c>
      <c r="D100" s="3461">
        <v>0.13007465329324988</v>
      </c>
      <c r="E100" s="3461">
        <v>0.47236959805845397</v>
      </c>
      <c r="F100" s="3461">
        <v>5.1342310679489689E-3</v>
      </c>
      <c r="G100" s="3081">
        <f t="shared" si="49"/>
        <v>0.6</v>
      </c>
      <c r="H100" s="3081">
        <f t="shared" si="50"/>
        <v>2.3901922035233069E-2</v>
      </c>
      <c r="I100" s="3081">
        <f t="shared" si="51"/>
        <v>1.0000000000000109</v>
      </c>
      <c r="J100" s="3194">
        <v>7.804479197594992E-2</v>
      </c>
      <c r="K100" s="3194">
        <v>1.1290541304607549E-2</v>
      </c>
      <c r="L100" s="3194">
        <v>5.1342310679490244E-3</v>
      </c>
      <c r="M100" s="3460" t="s">
        <v>199</v>
      </c>
    </row>
    <row r="101" spans="2:13" ht="18" customHeight="1" x14ac:dyDescent="0.2">
      <c r="B101" s="2634" t="s">
        <v>686</v>
      </c>
      <c r="C101" s="2636" t="s">
        <v>686</v>
      </c>
      <c r="D101" s="3461">
        <v>5.4969124303597773E-2</v>
      </c>
      <c r="E101" s="3461">
        <v>0.19962185172522881</v>
      </c>
      <c r="F101" s="3461">
        <v>2.1697093064027883E-3</v>
      </c>
      <c r="G101" s="3081">
        <f t="shared" si="49"/>
        <v>0.6</v>
      </c>
      <c r="H101" s="3081">
        <f t="shared" si="50"/>
        <v>2.3901922035233069E-2</v>
      </c>
      <c r="I101" s="3081">
        <f t="shared" si="51"/>
        <v>1.0000000000000044</v>
      </c>
      <c r="J101" s="3194">
        <v>3.2981474582158665E-2</v>
      </c>
      <c r="K101" s="3194">
        <v>4.7713459364652749E-3</v>
      </c>
      <c r="L101" s="3194">
        <v>2.1697093064027978E-3</v>
      </c>
      <c r="M101" s="3460" t="s">
        <v>199</v>
      </c>
    </row>
    <row r="102" spans="2:13" ht="18" customHeight="1" x14ac:dyDescent="0.2">
      <c r="B102" s="2634" t="s">
        <v>688</v>
      </c>
      <c r="C102" s="2636" t="s">
        <v>688</v>
      </c>
      <c r="D102" s="3461">
        <v>0.33957681861974326</v>
      </c>
      <c r="E102" s="3461">
        <v>1.233182339988607</v>
      </c>
      <c r="F102" s="3461">
        <v>1.3403578698627471E-2</v>
      </c>
      <c r="G102" s="3081">
        <f t="shared" si="49"/>
        <v>0.6</v>
      </c>
      <c r="H102" s="3081">
        <f t="shared" si="50"/>
        <v>2.3901922035233069E-2</v>
      </c>
      <c r="I102" s="3081">
        <f t="shared" si="51"/>
        <v>1.0000000000000115</v>
      </c>
      <c r="J102" s="3194">
        <v>0.20374609117184594</v>
      </c>
      <c r="K102" s="3194">
        <v>2.9475428145633965E-2</v>
      </c>
      <c r="L102" s="3194">
        <v>1.3403578698627627E-2</v>
      </c>
      <c r="M102" s="3460" t="s">
        <v>199</v>
      </c>
    </row>
    <row r="103" spans="2:13" ht="18" customHeight="1" x14ac:dyDescent="0.2">
      <c r="B103" s="2634" t="s">
        <v>689</v>
      </c>
      <c r="C103" s="2636" t="s">
        <v>689</v>
      </c>
      <c r="D103" s="3461">
        <v>0.23933983625727126</v>
      </c>
      <c r="E103" s="3461">
        <v>0.8691690455429445</v>
      </c>
      <c r="F103" s="3461">
        <v>9.4470828251184726E-3</v>
      </c>
      <c r="G103" s="3081">
        <f t="shared" si="49"/>
        <v>0.6</v>
      </c>
      <c r="H103" s="3081">
        <f t="shared" si="50"/>
        <v>2.3901922035233069E-2</v>
      </c>
      <c r="I103" s="3081">
        <f t="shared" si="51"/>
        <v>1.0000000000000113</v>
      </c>
      <c r="J103" s="3194">
        <v>0.14360390175436274</v>
      </c>
      <c r="K103" s="3194">
        <v>2.0774810762005401E-2</v>
      </c>
      <c r="L103" s="3194">
        <v>9.4470828251185801E-3</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7.7498084241148762E-2</v>
      </c>
      <c r="K117" s="3081">
        <f>IF(SUM(K118:K129)=0,"NO",SUM(K118:K129))</f>
        <v>10.061585519717697</v>
      </c>
      <c r="L117" s="3081">
        <f>IF(SUM(L118:L129)=0,"NO",SUM(L118:L129))</f>
        <v>6.3986528803556801</v>
      </c>
      <c r="M117" s="3193">
        <f>IF(SUM(M118:M129)=0,"NO",SUM(M118:M129))</f>
        <v>-5.7038164578102171</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v>0.46888258327767501</v>
      </c>
      <c r="E119" s="3461">
        <v>4.3713540815001952</v>
      </c>
      <c r="F119" s="3461">
        <v>0.25628026808780996</v>
      </c>
      <c r="G119" s="4443">
        <f t="shared" ref="G119:G129" si="77">IF(SUM(D119)=0,"NA",J119/D119)</f>
        <v>3.5000000000000001E-3</v>
      </c>
      <c r="H119" s="3081">
        <f t="shared" ref="H119:H129" si="78">IF(SUM(E119)=0,"NA",K119/E119)</f>
        <v>4.8740683551107333E-2</v>
      </c>
      <c r="I119" s="3081">
        <f t="shared" ref="I119:I129" si="79">IF(SUM(F119)=0,"NA",L119/F119)</f>
        <v>0.52870639053611379</v>
      </c>
      <c r="J119" s="3194">
        <v>1.6410890414718625E-3</v>
      </c>
      <c r="K119" s="3194">
        <v>0.21306278597624248</v>
      </c>
      <c r="L119" s="3194">
        <v>0.13549701550633358</v>
      </c>
      <c r="M119" s="3460">
        <v>-0.12078325258147637</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3.2503110469672665</v>
      </c>
      <c r="E121" s="3461">
        <v>30.302384793190996</v>
      </c>
      <c r="F121" s="3461">
        <v>1.7765440990846941</v>
      </c>
      <c r="G121" s="4443">
        <f t="shared" si="77"/>
        <v>3.4999999999999996E-3</v>
      </c>
      <c r="H121" s="3081">
        <f t="shared" si="78"/>
        <v>4.8740683551107347E-2</v>
      </c>
      <c r="I121" s="3081">
        <f t="shared" si="79"/>
        <v>0.52870639053611379</v>
      </c>
      <c r="J121" s="3194">
        <v>1.1376088664385432E-2</v>
      </c>
      <c r="K121" s="3194">
        <v>1.4769589480488097</v>
      </c>
      <c r="L121" s="3194">
        <v>0.93927021825530066</v>
      </c>
      <c r="M121" s="3460">
        <v>-0.83727388082939347</v>
      </c>
    </row>
    <row r="122" spans="2:13" ht="18" customHeight="1" x14ac:dyDescent="0.2">
      <c r="B122" s="2634" t="s">
        <v>676</v>
      </c>
      <c r="C122" s="2636" t="s">
        <v>676</v>
      </c>
      <c r="D122" s="3461">
        <v>6.9409057865611606E-3</v>
      </c>
      <c r="E122" s="3461">
        <v>6.4709498542888377E-2</v>
      </c>
      <c r="F122" s="3461">
        <v>3.7937369806263412E-3</v>
      </c>
      <c r="G122" s="4443">
        <f t="shared" si="77"/>
        <v>3.5000000000000001E-3</v>
      </c>
      <c r="H122" s="3081">
        <f t="shared" si="78"/>
        <v>4.8740683551107347E-2</v>
      </c>
      <c r="I122" s="3081">
        <f t="shared" si="79"/>
        <v>0.52870639053611379</v>
      </c>
      <c r="J122" s="3194">
        <v>2.4293170252964063E-5</v>
      </c>
      <c r="K122" s="3194">
        <v>3.1539851912297644E-3</v>
      </c>
      <c r="L122" s="3194">
        <v>2.0057729856703273E-3</v>
      </c>
      <c r="M122" s="3460">
        <v>-1.7879639949560139E-3</v>
      </c>
    </row>
    <row r="123" spans="2:13" ht="18" customHeight="1" x14ac:dyDescent="0.2">
      <c r="B123" s="2634" t="s">
        <v>677</v>
      </c>
      <c r="C123" s="2636" t="s">
        <v>677</v>
      </c>
      <c r="D123" s="3461">
        <v>13.887847684398702</v>
      </c>
      <c r="E123" s="3461">
        <v>129.4752712588969</v>
      </c>
      <c r="F123" s="3461">
        <v>7.590773158687794</v>
      </c>
      <c r="G123" s="4443">
        <f t="shared" si="77"/>
        <v>3.4999999999999996E-3</v>
      </c>
      <c r="H123" s="3081">
        <f t="shared" si="78"/>
        <v>4.8740683551107347E-2</v>
      </c>
      <c r="I123" s="3081">
        <f t="shared" si="79"/>
        <v>0.52870639053611346</v>
      </c>
      <c r="J123" s="3194">
        <v>4.8607466895395454E-2</v>
      </c>
      <c r="K123" s="3194">
        <v>6.3107132241236776</v>
      </c>
      <c r="L123" s="3194">
        <v>4.0132902781082365</v>
      </c>
      <c r="M123" s="3460">
        <v>-3.5774828805795549</v>
      </c>
    </row>
    <row r="124" spans="2:13" ht="18" customHeight="1" x14ac:dyDescent="0.2">
      <c r="B124" s="2634" t="s">
        <v>679</v>
      </c>
      <c r="C124" s="2636" t="s">
        <v>679</v>
      </c>
      <c r="D124" s="3461">
        <v>3.4826891045179051</v>
      </c>
      <c r="E124" s="3461">
        <v>32.468826470815657</v>
      </c>
      <c r="F124" s="3461">
        <v>1.90355651756801</v>
      </c>
      <c r="G124" s="4443">
        <f t="shared" si="77"/>
        <v>3.4999999999999996E-3</v>
      </c>
      <c r="H124" s="3081">
        <f t="shared" si="78"/>
        <v>4.874068355110734E-2</v>
      </c>
      <c r="I124" s="3081">
        <f t="shared" si="79"/>
        <v>0.52870639053611379</v>
      </c>
      <c r="J124" s="3194">
        <v>1.2189411865812667E-2</v>
      </c>
      <c r="K124" s="3194">
        <v>1.5825527962898434</v>
      </c>
      <c r="L124" s="3194">
        <v>1.0064224955848771</v>
      </c>
      <c r="M124" s="3460">
        <v>-0.89713402198313297</v>
      </c>
    </row>
    <row r="125" spans="2:13" ht="18" customHeight="1" x14ac:dyDescent="0.2">
      <c r="B125" s="2634" t="s">
        <v>681</v>
      </c>
      <c r="C125" s="2636" t="s">
        <v>681</v>
      </c>
      <c r="D125" s="3461">
        <v>0.30152677872536982</v>
      </c>
      <c r="E125" s="3461">
        <v>2.8111095653177132</v>
      </c>
      <c r="F125" s="3461">
        <v>0.16480749433516198</v>
      </c>
      <c r="G125" s="4443">
        <f t="shared" si="77"/>
        <v>3.5000000000000005E-3</v>
      </c>
      <c r="H125" s="3081">
        <f t="shared" si="78"/>
        <v>4.8740683551107347E-2</v>
      </c>
      <c r="I125" s="3081">
        <f t="shared" si="79"/>
        <v>0.52870639053611368</v>
      </c>
      <c r="J125" s="3194">
        <v>1.0553437255387944E-3</v>
      </c>
      <c r="K125" s="3194">
        <v>0.13701540175064159</v>
      </c>
      <c r="L125" s="3194">
        <v>8.7134775463244496E-2</v>
      </c>
      <c r="M125" s="3460">
        <v>-7.7672718871917457E-2</v>
      </c>
    </row>
    <row r="126" spans="2:13" ht="18" customHeight="1" x14ac:dyDescent="0.2">
      <c r="B126" s="2634" t="s">
        <v>683</v>
      </c>
      <c r="C126" s="2636" t="s">
        <v>683</v>
      </c>
      <c r="D126" s="3461">
        <v>0.12669513316355871</v>
      </c>
      <c r="E126" s="3461">
        <v>1.1811683931385271</v>
      </c>
      <c r="F126" s="3461">
        <v>6.9248600503783259E-2</v>
      </c>
      <c r="G126" s="4443">
        <f t="shared" si="77"/>
        <v>3.4999999999999996E-3</v>
      </c>
      <c r="H126" s="3081">
        <f t="shared" si="78"/>
        <v>4.874068355110734E-2</v>
      </c>
      <c r="I126" s="3081">
        <f t="shared" si="79"/>
        <v>0.52870639053611368</v>
      </c>
      <c r="J126" s="3194">
        <v>4.4343296607245544E-4</v>
      </c>
      <c r="K126" s="3194">
        <v>5.7570954870534895E-2</v>
      </c>
      <c r="L126" s="3194">
        <v>3.6612177622032553E-2</v>
      </c>
      <c r="M126" s="3460">
        <v>-3.2636422881750705E-2</v>
      </c>
    </row>
    <row r="127" spans="2:13" ht="18" customHeight="1" x14ac:dyDescent="0.2">
      <c r="B127" s="2634" t="s">
        <v>686</v>
      </c>
      <c r="C127" s="2636" t="s">
        <v>686</v>
      </c>
      <c r="D127" s="3461">
        <v>5.3540950117527152E-2</v>
      </c>
      <c r="E127" s="3461">
        <v>0.49915791110766622</v>
      </c>
      <c r="F127" s="3461">
        <v>2.926423275071826E-2</v>
      </c>
      <c r="G127" s="4443">
        <f t="shared" si="77"/>
        <v>3.4999999999999996E-3</v>
      </c>
      <c r="H127" s="3081">
        <f t="shared" si="78"/>
        <v>4.8740683551107347E-2</v>
      </c>
      <c r="I127" s="3081">
        <f t="shared" si="79"/>
        <v>0.52870639053611379</v>
      </c>
      <c r="J127" s="3194">
        <v>1.8739332541134501E-4</v>
      </c>
      <c r="K127" s="3194">
        <v>2.432929778733053E-2</v>
      </c>
      <c r="L127" s="3194">
        <v>1.547218686944098E-2</v>
      </c>
      <c r="M127" s="3460">
        <v>-1.379204588127728E-2</v>
      </c>
    </row>
    <row r="128" spans="2:13" ht="18" customHeight="1" x14ac:dyDescent="0.2">
      <c r="B128" s="2634" t="s">
        <v>688</v>
      </c>
      <c r="C128" s="2636" t="s">
        <v>688</v>
      </c>
      <c r="D128" s="3461">
        <v>0.33075414129524822</v>
      </c>
      <c r="E128" s="3461">
        <v>3.0835938827521736</v>
      </c>
      <c r="F128" s="3461">
        <v>0.18078248803731062</v>
      </c>
      <c r="G128" s="4443">
        <f t="shared" si="77"/>
        <v>3.4999999999999996E-3</v>
      </c>
      <c r="H128" s="3081">
        <f t="shared" si="78"/>
        <v>4.874068355110734E-2</v>
      </c>
      <c r="I128" s="3081">
        <f t="shared" si="79"/>
        <v>0.5287063905361139</v>
      </c>
      <c r="J128" s="3194">
        <v>1.1576394945333687E-3</v>
      </c>
      <c r="K128" s="3194">
        <v>0.15029647363935408</v>
      </c>
      <c r="L128" s="3194">
        <v>9.558085672234469E-2</v>
      </c>
      <c r="M128" s="3460">
        <v>-8.5201631314965956E-2</v>
      </c>
    </row>
    <row r="129" spans="2:13" ht="18" customHeight="1" x14ac:dyDescent="0.2">
      <c r="B129" s="2634" t="s">
        <v>689</v>
      </c>
      <c r="C129" s="2636" t="s">
        <v>689</v>
      </c>
      <c r="D129" s="3461">
        <v>0.23312145493554748</v>
      </c>
      <c r="E129" s="3461">
        <v>2.1733723108121463</v>
      </c>
      <c r="F129" s="3461">
        <v>0.12741874212999169</v>
      </c>
      <c r="G129" s="4443">
        <f t="shared" si="77"/>
        <v>3.5000000000000001E-3</v>
      </c>
      <c r="H129" s="3081">
        <f t="shared" si="78"/>
        <v>4.8740683551107347E-2</v>
      </c>
      <c r="I129" s="3081">
        <f t="shared" si="79"/>
        <v>0.52870639053611346</v>
      </c>
      <c r="J129" s="3194">
        <v>8.1592509227441619E-4</v>
      </c>
      <c r="K129" s="3194">
        <v>0.10593165204003374</v>
      </c>
      <c r="L129" s="3194">
        <v>6.7367103238199721E-2</v>
      </c>
      <c r="M129" s="3460">
        <v>-6.0051638891791916E-2</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58.077586455027351</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58.077586455027351</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v>1.7401888658065838</v>
      </c>
      <c r="F133" s="346"/>
      <c r="G133" s="3668" t="str">
        <f t="shared" ref="G133:G143" si="80">IF(SUM(D133)=0,"NA",J133/D133)</f>
        <v>NA</v>
      </c>
      <c r="H133" s="3081">
        <f t="shared" ref="H133:H143" si="81">IF(SUM(E133)=0,"NA",K133/E133)</f>
        <v>0.70672971669189644</v>
      </c>
      <c r="I133" s="4253"/>
      <c r="J133" s="3194" t="s">
        <v>199</v>
      </c>
      <c r="K133" s="3194">
        <v>1.2298431841218795</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12.063052235384415</v>
      </c>
      <c r="F135" s="346"/>
      <c r="G135" s="3668" t="str">
        <f t="shared" si="80"/>
        <v>NA</v>
      </c>
      <c r="H135" s="3081">
        <f t="shared" si="81"/>
        <v>0.70672971669189655</v>
      </c>
      <c r="I135" s="4253"/>
      <c r="J135" s="3194" t="s">
        <v>199</v>
      </c>
      <c r="K135" s="3194">
        <v>8.5253174887527763</v>
      </c>
      <c r="L135" s="3196"/>
      <c r="M135" s="3460" t="s">
        <v>199</v>
      </c>
    </row>
    <row r="136" spans="2:13" ht="18" customHeight="1" x14ac:dyDescent="0.2">
      <c r="B136" s="2634" t="s">
        <v>676</v>
      </c>
      <c r="C136" s="2636" t="s">
        <v>676</v>
      </c>
      <c r="D136" s="3461" t="s">
        <v>199</v>
      </c>
      <c r="E136" s="3461">
        <v>2.576015275285512E-2</v>
      </c>
      <c r="F136" s="346"/>
      <c r="G136" s="3668" t="str">
        <f t="shared" si="80"/>
        <v>NA</v>
      </c>
      <c r="H136" s="3081">
        <f t="shared" si="81"/>
        <v>0.70672971669189655</v>
      </c>
      <c r="I136" s="4253"/>
      <c r="J136" s="3194" t="s">
        <v>199</v>
      </c>
      <c r="K136" s="3194">
        <v>1.8205465456965279E-2</v>
      </c>
      <c r="L136" s="3196"/>
      <c r="M136" s="3460" t="s">
        <v>199</v>
      </c>
    </row>
    <row r="137" spans="2:13" ht="18" customHeight="1" x14ac:dyDescent="0.2">
      <c r="B137" s="2634" t="s">
        <v>677</v>
      </c>
      <c r="C137" s="2636" t="s">
        <v>677</v>
      </c>
      <c r="D137" s="3461" t="s">
        <v>199</v>
      </c>
      <c r="E137" s="3461">
        <v>51.542707646481809</v>
      </c>
      <c r="F137" s="346"/>
      <c r="G137" s="3668" t="str">
        <f t="shared" si="80"/>
        <v>NA</v>
      </c>
      <c r="H137" s="3081">
        <f t="shared" si="81"/>
        <v>0.70672971669189655</v>
      </c>
      <c r="I137" s="4253"/>
      <c r="J137" s="3194" t="s">
        <v>199</v>
      </c>
      <c r="K137" s="3194">
        <v>36.426763172531338</v>
      </c>
      <c r="L137" s="3196"/>
      <c r="M137" s="3460" t="s">
        <v>199</v>
      </c>
    </row>
    <row r="138" spans="2:13" ht="18" customHeight="1" x14ac:dyDescent="0.2">
      <c r="B138" s="2634" t="s">
        <v>679</v>
      </c>
      <c r="C138" s="2636" t="s">
        <v>679</v>
      </c>
      <c r="D138" s="3461" t="s">
        <v>199</v>
      </c>
      <c r="E138" s="3461">
        <v>12.925489277896412</v>
      </c>
      <c r="F138" s="346"/>
      <c r="G138" s="3668" t="str">
        <f t="shared" si="80"/>
        <v>NA</v>
      </c>
      <c r="H138" s="3081">
        <f t="shared" si="81"/>
        <v>0.70672971669189644</v>
      </c>
      <c r="I138" s="4253"/>
      <c r="J138" s="3194" t="s">
        <v>199</v>
      </c>
      <c r="K138" s="3194">
        <v>9.1348273754718772</v>
      </c>
      <c r="L138" s="3196"/>
      <c r="M138" s="3460" t="s">
        <v>199</v>
      </c>
    </row>
    <row r="139" spans="2:13" ht="18" customHeight="1" x14ac:dyDescent="0.2">
      <c r="B139" s="2634" t="s">
        <v>681</v>
      </c>
      <c r="C139" s="2636" t="s">
        <v>681</v>
      </c>
      <c r="D139" s="3461" t="s">
        <v>199</v>
      </c>
      <c r="E139" s="3461">
        <v>1.1190723686353596</v>
      </c>
      <c r="F139" s="346"/>
      <c r="G139" s="3668" t="str">
        <f t="shared" si="80"/>
        <v>NA</v>
      </c>
      <c r="H139" s="3081">
        <f t="shared" si="81"/>
        <v>0.70672971669189644</v>
      </c>
      <c r="I139" s="4253"/>
      <c r="J139" s="3194" t="s">
        <v>199</v>
      </c>
      <c r="K139" s="3194">
        <v>0.79088169804339725</v>
      </c>
      <c r="L139" s="3196"/>
      <c r="M139" s="3460" t="s">
        <v>199</v>
      </c>
    </row>
    <row r="140" spans="2:13" ht="18" customHeight="1" x14ac:dyDescent="0.2">
      <c r="B140" s="2634" t="s">
        <v>683</v>
      </c>
      <c r="C140" s="2636" t="s">
        <v>683</v>
      </c>
      <c r="D140" s="3461" t="s">
        <v>199</v>
      </c>
      <c r="E140" s="3461">
        <v>0.47021038517129488</v>
      </c>
      <c r="F140" s="346"/>
      <c r="G140" s="3668" t="str">
        <f t="shared" si="80"/>
        <v>NA</v>
      </c>
      <c r="H140" s="3081">
        <f t="shared" si="81"/>
        <v>0.70672971669189644</v>
      </c>
      <c r="I140" s="4253"/>
      <c r="J140" s="3194" t="s">
        <v>199</v>
      </c>
      <c r="K140" s="3194">
        <v>0.33231165229769671</v>
      </c>
      <c r="L140" s="3196"/>
      <c r="M140" s="3460" t="s">
        <v>199</v>
      </c>
    </row>
    <row r="141" spans="2:13" ht="18" customHeight="1" x14ac:dyDescent="0.2">
      <c r="B141" s="2634" t="s">
        <v>686</v>
      </c>
      <c r="C141" s="2636" t="s">
        <v>686</v>
      </c>
      <c r="D141" s="3461" t="s">
        <v>199</v>
      </c>
      <c r="E141" s="3461">
        <v>0.19870937540038636</v>
      </c>
      <c r="F141" s="346"/>
      <c r="G141" s="3668" t="str">
        <f t="shared" si="80"/>
        <v>NA</v>
      </c>
      <c r="H141" s="3081">
        <f t="shared" si="81"/>
        <v>0.70672971669189655</v>
      </c>
      <c r="I141" s="4253"/>
      <c r="J141" s="3194" t="s">
        <v>199</v>
      </c>
      <c r="K141" s="3194">
        <v>0.14043382058073878</v>
      </c>
      <c r="L141" s="3196"/>
      <c r="M141" s="3460" t="s">
        <v>199</v>
      </c>
    </row>
    <row r="142" spans="2:13" ht="18" customHeight="1" x14ac:dyDescent="0.2">
      <c r="B142" s="2634" t="s">
        <v>688</v>
      </c>
      <c r="C142" s="2636" t="s">
        <v>688</v>
      </c>
      <c r="D142" s="3461" t="s">
        <v>199</v>
      </c>
      <c r="E142" s="3461">
        <v>1.227545433609228</v>
      </c>
      <c r="F142" s="346"/>
      <c r="G142" s="3668" t="str">
        <f t="shared" si="80"/>
        <v>NA</v>
      </c>
      <c r="H142" s="3081">
        <f t="shared" si="81"/>
        <v>0.70672971669189644</v>
      </c>
      <c r="I142" s="4253"/>
      <c r="J142" s="3194" t="s">
        <v>199</v>
      </c>
      <c r="K142" s="3194">
        <v>0.86754283652108088</v>
      </c>
      <c r="L142" s="3196"/>
      <c r="M142" s="3460" t="s">
        <v>199</v>
      </c>
    </row>
    <row r="143" spans="2:13" ht="18" customHeight="1" x14ac:dyDescent="0.2">
      <c r="B143" s="2634" t="s">
        <v>689</v>
      </c>
      <c r="C143" s="2636" t="s">
        <v>689</v>
      </c>
      <c r="D143" s="3461" t="s">
        <v>199</v>
      </c>
      <c r="E143" s="3461">
        <v>0.86519605275939127</v>
      </c>
      <c r="F143" s="346"/>
      <c r="G143" s="3668" t="str">
        <f t="shared" si="80"/>
        <v>NA</v>
      </c>
      <c r="H143" s="3081">
        <f t="shared" si="81"/>
        <v>0.70672971669189655</v>
      </c>
      <c r="I143" s="4253"/>
      <c r="J143" s="3194" t="s">
        <v>199</v>
      </c>
      <c r="K143" s="3194">
        <v>0.61145976124959178</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29.184765126426498</v>
      </c>
      <c r="L146" s="3081">
        <f>IF(SUM(L147:L158)=0,"NO",SUM(L147:L158))</f>
        <v>13.019963922558457</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v>0.55646094956765879</v>
      </c>
      <c r="E148" s="3461">
        <v>1.5142558216266162</v>
      </c>
      <c r="F148" s="3461">
        <v>0.27570901039544154</v>
      </c>
      <c r="G148" s="3668" t="str">
        <f t="shared" ref="G148:G158" si="82">IFERROR(J148/D148,"NA")</f>
        <v>NA</v>
      </c>
      <c r="H148" s="3081">
        <f t="shared" ref="H148:H158" si="83">IF(SUM(E148)=0,"NA",K148/E148)</f>
        <v>0.40812963344431669</v>
      </c>
      <c r="I148" s="3081">
        <f t="shared" ref="I148:I158" si="84">IF(SUM(F148)=0,"NA",L148/F148)</f>
        <v>0.99999999999999978</v>
      </c>
      <c r="J148" s="3194" t="s">
        <v>199</v>
      </c>
      <c r="K148" s="3194">
        <v>0.61801267342139343</v>
      </c>
      <c r="L148" s="3194">
        <v>0.27570901039544149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3.8574074535725518</v>
      </c>
      <c r="E150" s="3461">
        <v>10.496876191395584</v>
      </c>
      <c r="F150" s="3461">
        <v>1.9112248443359583</v>
      </c>
      <c r="G150" s="3668" t="str">
        <f t="shared" si="82"/>
        <v>NA</v>
      </c>
      <c r="H150" s="3081">
        <f t="shared" si="83"/>
        <v>0.40812963344431669</v>
      </c>
      <c r="I150" s="3081">
        <f t="shared" si="84"/>
        <v>1.0000000000000004</v>
      </c>
      <c r="J150" s="3194" t="s">
        <v>199</v>
      </c>
      <c r="K150" s="3194">
        <v>4.2840862323046549</v>
      </c>
      <c r="L150" s="3194">
        <v>1.9112248443359592</v>
      </c>
      <c r="M150" s="3460" t="s">
        <v>199</v>
      </c>
    </row>
    <row r="151" spans="2:13" ht="18" customHeight="1" x14ac:dyDescent="0.2">
      <c r="B151" s="2634" t="s">
        <v>676</v>
      </c>
      <c r="C151" s="2636" t="s">
        <v>676</v>
      </c>
      <c r="D151" s="3461">
        <v>8.2373352361484065E-3</v>
      </c>
      <c r="E151" s="3461">
        <v>2.2415648116402398E-2</v>
      </c>
      <c r="F151" s="3461">
        <v>4.0813421822654579E-3</v>
      </c>
      <c r="G151" s="3668" t="str">
        <f t="shared" si="82"/>
        <v>NA</v>
      </c>
      <c r="H151" s="3081">
        <f t="shared" si="83"/>
        <v>0.40812963344431663</v>
      </c>
      <c r="I151" s="3081">
        <f t="shared" si="84"/>
        <v>1</v>
      </c>
      <c r="J151" s="3194" t="s">
        <v>199</v>
      </c>
      <c r="K151" s="3194">
        <v>9.1484902491640978E-3</v>
      </c>
      <c r="L151" s="3194">
        <v>4.0813421822654579E-3</v>
      </c>
      <c r="M151" s="3460" t="s">
        <v>199</v>
      </c>
    </row>
    <row r="152" spans="2:13" ht="18" customHeight="1" x14ac:dyDescent="0.2">
      <c r="B152" s="2634" t="s">
        <v>677</v>
      </c>
      <c r="C152" s="2636" t="s">
        <v>677</v>
      </c>
      <c r="D152" s="3461">
        <v>16.481834014582962</v>
      </c>
      <c r="E152" s="3461">
        <v>44.850789847978866</v>
      </c>
      <c r="F152" s="3461">
        <v>8.1662336758638574</v>
      </c>
      <c r="G152" s="3668" t="str">
        <f t="shared" si="82"/>
        <v>NA</v>
      </c>
      <c r="H152" s="3081">
        <f t="shared" si="83"/>
        <v>0.40812963344431669</v>
      </c>
      <c r="I152" s="3081">
        <f t="shared" si="84"/>
        <v>1.0000000000000004</v>
      </c>
      <c r="J152" s="3194" t="s">
        <v>199</v>
      </c>
      <c r="K152" s="3194">
        <v>18.304936420343694</v>
      </c>
      <c r="L152" s="3194">
        <v>8.166233675863861</v>
      </c>
      <c r="M152" s="3460" t="s">
        <v>199</v>
      </c>
    </row>
    <row r="153" spans="2:13" ht="18" customHeight="1" x14ac:dyDescent="0.2">
      <c r="B153" s="2634" t="s">
        <v>679</v>
      </c>
      <c r="C153" s="2636" t="s">
        <v>679</v>
      </c>
      <c r="D153" s="3461">
        <v>4.1331893213045392</v>
      </c>
      <c r="E153" s="3461">
        <v>11.247340889837911</v>
      </c>
      <c r="F153" s="3461">
        <v>2.0478661412615886</v>
      </c>
      <c r="G153" s="3668" t="str">
        <f t="shared" si="82"/>
        <v>NA</v>
      </c>
      <c r="H153" s="3081">
        <f t="shared" si="83"/>
        <v>0.40812963344431663</v>
      </c>
      <c r="I153" s="3081">
        <f t="shared" si="84"/>
        <v>1.0000000000000002</v>
      </c>
      <c r="J153" s="3194" t="s">
        <v>199</v>
      </c>
      <c r="K153" s="3194">
        <v>4.590373114592821</v>
      </c>
      <c r="L153" s="3194">
        <v>2.0478661412615891</v>
      </c>
      <c r="M153" s="3460" t="s">
        <v>199</v>
      </c>
    </row>
    <row r="154" spans="2:13" ht="18" customHeight="1" x14ac:dyDescent="0.2">
      <c r="B154" s="2634" t="s">
        <v>681</v>
      </c>
      <c r="C154" s="2636" t="s">
        <v>681</v>
      </c>
      <c r="D154" s="3461">
        <v>0.35784625745041099</v>
      </c>
      <c r="E154" s="3461">
        <v>0.97378042253025487</v>
      </c>
      <c r="F154" s="3461">
        <v>0.17730163741412583</v>
      </c>
      <c r="G154" s="3668" t="str">
        <f t="shared" si="82"/>
        <v>NA</v>
      </c>
      <c r="H154" s="3081">
        <f t="shared" si="83"/>
        <v>0.40812963344431669</v>
      </c>
      <c r="I154" s="3081">
        <f t="shared" si="84"/>
        <v>1.0000000000000004</v>
      </c>
      <c r="J154" s="3194" t="s">
        <v>199</v>
      </c>
      <c r="K154" s="3194">
        <v>0.39742864690252472</v>
      </c>
      <c r="L154" s="3194">
        <v>0.17730163741412591</v>
      </c>
      <c r="M154" s="3460" t="s">
        <v>199</v>
      </c>
    </row>
    <row r="155" spans="2:13" ht="18" customHeight="1" x14ac:dyDescent="0.2">
      <c r="B155" s="2634" t="s">
        <v>683</v>
      </c>
      <c r="C155" s="2636" t="s">
        <v>683</v>
      </c>
      <c r="D155" s="3461">
        <v>0.15035937912849243</v>
      </c>
      <c r="E155" s="3461">
        <v>0.40916180256382889</v>
      </c>
      <c r="F155" s="3461">
        <v>7.4498373435545412E-2</v>
      </c>
      <c r="G155" s="3668" t="str">
        <f t="shared" si="82"/>
        <v>NA</v>
      </c>
      <c r="H155" s="3081">
        <f t="shared" si="83"/>
        <v>0.40812963344431663</v>
      </c>
      <c r="I155" s="3081">
        <f t="shared" si="84"/>
        <v>1</v>
      </c>
      <c r="J155" s="3194" t="s">
        <v>199</v>
      </c>
      <c r="K155" s="3194">
        <v>0.16699105649979135</v>
      </c>
      <c r="L155" s="3194">
        <v>7.4498373435545412E-2</v>
      </c>
      <c r="M155" s="3460" t="s">
        <v>199</v>
      </c>
    </row>
    <row r="156" spans="2:13" ht="18" customHeight="1" x14ac:dyDescent="0.2">
      <c r="B156" s="2634" t="s">
        <v>686</v>
      </c>
      <c r="C156" s="2636" t="s">
        <v>686</v>
      </c>
      <c r="D156" s="3461">
        <v>6.3541383292349665E-2</v>
      </c>
      <c r="E156" s="3461">
        <v>0.17291044347209808</v>
      </c>
      <c r="F156" s="3461">
        <v>3.1482769671982318E-2</v>
      </c>
      <c r="G156" s="3668" t="str">
        <f t="shared" si="82"/>
        <v>NA</v>
      </c>
      <c r="H156" s="3081">
        <f t="shared" si="83"/>
        <v>0.40812963344431669</v>
      </c>
      <c r="I156" s="3081">
        <f t="shared" si="84"/>
        <v>0.99999999999999978</v>
      </c>
      <c r="J156" s="3194" t="s">
        <v>199</v>
      </c>
      <c r="K156" s="3194">
        <v>7.0569875912961627E-2</v>
      </c>
      <c r="L156" s="3194">
        <v>3.1482769671982311E-2</v>
      </c>
      <c r="M156" s="3460" t="s">
        <v>199</v>
      </c>
    </row>
    <row r="157" spans="2:13" ht="18" customHeight="1" x14ac:dyDescent="0.2">
      <c r="B157" s="2634" t="s">
        <v>688</v>
      </c>
      <c r="C157" s="2636" t="s">
        <v>688</v>
      </c>
      <c r="D157" s="3461">
        <v>0.39253273655846771</v>
      </c>
      <c r="E157" s="3461">
        <v>1.0681701599627083</v>
      </c>
      <c r="F157" s="3461">
        <v>0.19448770381539751</v>
      </c>
      <c r="G157" s="3668" t="str">
        <f t="shared" si="82"/>
        <v>NA</v>
      </c>
      <c r="H157" s="3081">
        <f t="shared" si="83"/>
        <v>0.40812963344431663</v>
      </c>
      <c r="I157" s="3081">
        <f t="shared" si="84"/>
        <v>0.99999999999999956</v>
      </c>
      <c r="J157" s="3194" t="s">
        <v>199</v>
      </c>
      <c r="K157" s="3194">
        <v>0.43595189584173716</v>
      </c>
      <c r="L157" s="3194">
        <v>0.19448770381539743</v>
      </c>
      <c r="M157" s="3460" t="s">
        <v>199</v>
      </c>
    </row>
    <row r="158" spans="2:13" ht="18" customHeight="1" x14ac:dyDescent="0.2">
      <c r="B158" s="2634" t="s">
        <v>689</v>
      </c>
      <c r="C158" s="2636" t="s">
        <v>689</v>
      </c>
      <c r="D158" s="3461">
        <v>0.27666411763732801</v>
      </c>
      <c r="E158" s="3461">
        <v>0.7528654995341717</v>
      </c>
      <c r="F158" s="3461">
        <v>0.13707842418229055</v>
      </c>
      <c r="G158" s="3668" t="str">
        <f t="shared" si="82"/>
        <v>NA</v>
      </c>
      <c r="H158" s="3081">
        <f t="shared" si="83"/>
        <v>0.40812963344431663</v>
      </c>
      <c r="I158" s="3081">
        <f t="shared" si="84"/>
        <v>0.99999999999999956</v>
      </c>
      <c r="J158" s="3194" t="s">
        <v>199</v>
      </c>
      <c r="K158" s="3194">
        <v>0.30726672035775382</v>
      </c>
      <c r="L158" s="3194">
        <v>0.13707842418229049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0.8967039440888418</v>
      </c>
      <c r="K162" s="3200">
        <f t="shared" ref="K162:M162" si="90">IF(SUM(K163,K165,K175)=0,"NO",SUM(K163,K165,K175))</f>
        <v>6.8082030158980462</v>
      </c>
      <c r="L162" s="3200">
        <f t="shared" si="90"/>
        <v>0.45600000000000002</v>
      </c>
      <c r="M162" s="3201" t="str">
        <f t="shared" si="90"/>
        <v>NO</v>
      </c>
    </row>
    <row r="163" spans="2:13" ht="18" customHeight="1" x14ac:dyDescent="0.2">
      <c r="B163" s="88" t="s">
        <v>904</v>
      </c>
      <c r="C163" s="2524"/>
      <c r="D163" s="2053"/>
      <c r="E163" s="2053"/>
      <c r="F163" s="2053"/>
      <c r="G163" s="3670"/>
      <c r="H163" s="4253"/>
      <c r="I163" s="4253"/>
      <c r="J163" s="3197">
        <f>J164</f>
        <v>0.8967039440888418</v>
      </c>
      <c r="K163" s="3197">
        <f t="shared" ref="K163:M163" si="91">K164</f>
        <v>6.097804993207979</v>
      </c>
      <c r="L163" s="3197">
        <f t="shared" si="91"/>
        <v>0.45600000000000002</v>
      </c>
      <c r="M163" s="3193" t="str">
        <f t="shared" si="91"/>
        <v>NO</v>
      </c>
    </row>
    <row r="164" spans="2:13" ht="18" customHeight="1" x14ac:dyDescent="0.2">
      <c r="B164" s="2634" t="s">
        <v>905</v>
      </c>
      <c r="C164" s="2636" t="s">
        <v>905</v>
      </c>
      <c r="D164" s="4136">
        <v>10.549458165751078</v>
      </c>
      <c r="E164" s="4136">
        <v>519.19723516258796</v>
      </c>
      <c r="F164" s="2635">
        <v>0.45600000000000002</v>
      </c>
      <c r="G164" s="3668">
        <f t="shared" ref="G164" si="92">IF(SUM(D164)=0,"NA",J164/D164)</f>
        <v>8.500000000000002E-2</v>
      </c>
      <c r="H164" s="3081">
        <f t="shared" ref="H164" si="93">IF(SUM(E164)=0,"NA",K164/E164)</f>
        <v>1.1744679247566555E-2</v>
      </c>
      <c r="I164" s="3081">
        <f t="shared" ref="I164" si="94">IF(SUM(F164)=0,"NA",L164/F164)</f>
        <v>1</v>
      </c>
      <c r="J164" s="3120">
        <v>0.8967039440888418</v>
      </c>
      <c r="K164" s="3120">
        <v>6.097804993207979</v>
      </c>
      <c r="L164" s="3120">
        <v>0.45600000000000002</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0.71039802269006724</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0.71039802269006724</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0.71039802269006724</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0.71039802269006724</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1829.6911462013227</v>
      </c>
      <c r="D10" s="2517">
        <f t="shared" ref="D10:I10" si="0">IF(SUM(D11,D21,D32:D33,D43:D48)=0,"NO",SUM(D11,D21,D32:D33,D43:D48))</f>
        <v>2513.5418167519015</v>
      </c>
      <c r="E10" s="2517">
        <f t="shared" si="0"/>
        <v>40.94874192924663</v>
      </c>
      <c r="F10" s="2517">
        <f t="shared" si="0"/>
        <v>27.414561599679626</v>
      </c>
      <c r="G10" s="2517">
        <f t="shared" si="0"/>
        <v>449.81958222232674</v>
      </c>
      <c r="H10" s="2925">
        <f t="shared" si="0"/>
        <v>26.239475629635731</v>
      </c>
      <c r="I10" s="2934" t="str">
        <f t="shared" si="0"/>
        <v>NO</v>
      </c>
      <c r="J10" s="2935">
        <f>IF(SUM(C10:E10)=0,"NO",SUM(C10)+28*SUM(D10)+265*SUM(E10))</f>
        <v>83060.278626504922</v>
      </c>
    </row>
    <row r="11" spans="1:10" ht="18" customHeight="1" x14ac:dyDescent="0.2">
      <c r="B11" s="234" t="s">
        <v>923</v>
      </c>
      <c r="C11" s="2936"/>
      <c r="D11" s="2163">
        <f>SUM(D17:D20)</f>
        <v>2230.9009824022714</v>
      </c>
      <c r="E11" s="1955"/>
      <c r="F11" s="1955"/>
      <c r="G11" s="1955"/>
      <c r="H11" s="2937"/>
      <c r="I11" s="2937"/>
      <c r="J11" s="1887">
        <f>IF(SUM(C11:E11)=0,"NO",SUM(C11)+28*SUM(D11)+265*SUM(E11))</f>
        <v>62465.227507263597</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1594.4865924519922</v>
      </c>
      <c r="E17" s="615"/>
      <c r="F17" s="615"/>
      <c r="G17" s="615"/>
      <c r="H17" s="2939"/>
      <c r="I17" s="2940"/>
      <c r="J17" s="2943">
        <f>IF(SUM(C17:E17)=0,"NO",SUM(C17)+28*SUM(D17)+265*SUM(E17))</f>
        <v>44645.624588655781</v>
      </c>
    </row>
    <row r="18" spans="2:10" ht="18" customHeight="1" x14ac:dyDescent="0.2">
      <c r="B18" s="228" t="s">
        <v>930</v>
      </c>
      <c r="C18" s="2945"/>
      <c r="D18" s="2930">
        <f>Table3.A!G24</f>
        <v>622.57093074303259</v>
      </c>
      <c r="E18" s="615"/>
      <c r="F18" s="615"/>
      <c r="G18" s="615"/>
      <c r="H18" s="2939"/>
      <c r="I18" s="2940"/>
      <c r="J18" s="2943">
        <f t="shared" ref="J18:J22" si="1">IF(SUM(C18:E18)=0,"NO",SUM(C18)+28*SUM(D18)+265*SUM(E18))</f>
        <v>17431.986060804913</v>
      </c>
    </row>
    <row r="19" spans="2:10" ht="18" customHeight="1" x14ac:dyDescent="0.2">
      <c r="B19" s="228" t="s">
        <v>931</v>
      </c>
      <c r="C19" s="2945"/>
      <c r="D19" s="2930">
        <f>Table3.A!G27</f>
        <v>4.1660379345938034</v>
      </c>
      <c r="E19" s="615"/>
      <c r="F19" s="615"/>
      <c r="G19" s="615"/>
      <c r="H19" s="2939"/>
      <c r="I19" s="2940"/>
      <c r="J19" s="2943">
        <f t="shared" si="1"/>
        <v>116.6490621686265</v>
      </c>
    </row>
    <row r="20" spans="2:10" ht="18" customHeight="1" thickBot="1" x14ac:dyDescent="0.25">
      <c r="B20" s="1296" t="s">
        <v>932</v>
      </c>
      <c r="C20" s="2946"/>
      <c r="D20" s="2517">
        <f>Table3.A!G30</f>
        <v>9.6774212726527882</v>
      </c>
      <c r="E20" s="1948"/>
      <c r="F20" s="1948"/>
      <c r="G20" s="1948"/>
      <c r="H20" s="2947"/>
      <c r="I20" s="2948"/>
      <c r="J20" s="2943">
        <f t="shared" si="1"/>
        <v>270.96779563427805</v>
      </c>
    </row>
    <row r="21" spans="2:10" ht="18" customHeight="1" x14ac:dyDescent="0.2">
      <c r="B21" s="1455" t="s">
        <v>933</v>
      </c>
      <c r="C21" s="2949"/>
      <c r="D21" s="2930">
        <f>IF(SUM(D27:D31)=0,"NO",SUM(D27:D31))</f>
        <v>254.889227933032</v>
      </c>
      <c r="E21" s="2930">
        <f>IF(SUM(E27:E31)=0,"NO",SUM(E27:E31))</f>
        <v>2.0165502541686724</v>
      </c>
      <c r="F21" s="2160"/>
      <c r="G21" s="2160"/>
      <c r="H21" s="2930" t="str">
        <f>IF(SUM(H27:H31)=0,"NE",SUM(H27:H31))</f>
        <v>NE</v>
      </c>
      <c r="I21" s="2940"/>
      <c r="J21" s="2950">
        <f t="shared" si="1"/>
        <v>7671.2841994795936</v>
      </c>
    </row>
    <row r="22" spans="2:10" ht="18" customHeight="1" x14ac:dyDescent="0.2">
      <c r="B22" s="228" t="s">
        <v>934</v>
      </c>
      <c r="C22" s="2945"/>
      <c r="D22" s="2930">
        <f>D27</f>
        <v>158.96524174544248</v>
      </c>
      <c r="E22" s="2930">
        <f>E27</f>
        <v>0.82059331646806832</v>
      </c>
      <c r="F22" s="2951"/>
      <c r="G22" s="2951"/>
      <c r="H22" s="2930" t="str">
        <f>H27</f>
        <v>NE</v>
      </c>
      <c r="I22" s="2940"/>
      <c r="J22" s="2943">
        <f t="shared" si="1"/>
        <v>4668.4839977364281</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158.96524174544248</v>
      </c>
      <c r="E27" s="2930">
        <f>'Table3.B(b)'!X15</f>
        <v>0.82059331646806832</v>
      </c>
      <c r="F27" s="615"/>
      <c r="G27" s="615"/>
      <c r="H27" s="2953" t="s">
        <v>221</v>
      </c>
      <c r="I27" s="2940"/>
      <c r="J27" s="2943">
        <f t="shared" ref="J27:J49" si="2">IF(SUM(C27:E27)=0,"NO",SUM(C27)+28*SUM(D27)+265*SUM(E27))</f>
        <v>4668.4839977364281</v>
      </c>
    </row>
    <row r="28" spans="2:10" ht="18" customHeight="1" x14ac:dyDescent="0.2">
      <c r="B28" s="228" t="s">
        <v>938</v>
      </c>
      <c r="C28" s="2945"/>
      <c r="D28" s="2930">
        <f>'Table3.B(a)'!K24</f>
        <v>31.684876900230012</v>
      </c>
      <c r="E28" s="2930" t="str">
        <f>'Table3.B(b)'!X24</f>
        <v>NA</v>
      </c>
      <c r="F28" s="2951"/>
      <c r="G28" s="2951"/>
      <c r="H28" s="2953" t="s">
        <v>221</v>
      </c>
      <c r="I28" s="2940"/>
      <c r="J28" s="2943">
        <f t="shared" si="2"/>
        <v>887.1765532064403</v>
      </c>
    </row>
    <row r="29" spans="2:10" ht="18" customHeight="1" x14ac:dyDescent="0.2">
      <c r="B29" s="228" t="s">
        <v>939</v>
      </c>
      <c r="C29" s="2945"/>
      <c r="D29" s="2930">
        <f>'Table3.B(a)'!K27</f>
        <v>60.531042878472036</v>
      </c>
      <c r="E29" s="2930">
        <f>'Table3.B(b)'!X27</f>
        <v>0.27941686056972381</v>
      </c>
      <c r="F29" s="2951"/>
      <c r="G29" s="2951"/>
      <c r="H29" s="2953" t="s">
        <v>221</v>
      </c>
      <c r="I29" s="2940"/>
      <c r="J29" s="2943">
        <f t="shared" si="2"/>
        <v>1768.9146686481938</v>
      </c>
    </row>
    <row r="30" spans="2:10" ht="18" customHeight="1" x14ac:dyDescent="0.2">
      <c r="B30" s="228" t="s">
        <v>940</v>
      </c>
      <c r="C30" s="2945"/>
      <c r="D30" s="2930">
        <f>'Table3.B(a)'!K30</f>
        <v>3.7080664088874569</v>
      </c>
      <c r="E30" s="2930">
        <f>'Table3.B(b)'!X30</f>
        <v>0.31936291376242809</v>
      </c>
      <c r="F30" s="2951"/>
      <c r="G30" s="2951"/>
      <c r="H30" s="2953" t="s">
        <v>221</v>
      </c>
      <c r="I30" s="2940"/>
      <c r="J30" s="2943">
        <f t="shared" si="2"/>
        <v>188.45703159589223</v>
      </c>
    </row>
    <row r="31" spans="2:10" ht="18" customHeight="1" thickBot="1" x14ac:dyDescent="0.25">
      <c r="B31" s="1296" t="s">
        <v>941</v>
      </c>
      <c r="C31" s="2954"/>
      <c r="D31" s="2955"/>
      <c r="E31" s="2956">
        <f>SUM('Table3.B(b)'!Y47:Z47)</f>
        <v>0.59717716336845217</v>
      </c>
      <c r="F31" s="2957"/>
      <c r="G31" s="2957"/>
      <c r="H31" s="2958"/>
      <c r="I31" s="2959"/>
      <c r="J31" s="2943">
        <f t="shared" si="2"/>
        <v>158.25194829263984</v>
      </c>
    </row>
    <row r="32" spans="2:10" ht="18" customHeight="1" thickBot="1" x14ac:dyDescent="0.25">
      <c r="B32" s="2658" t="s">
        <v>942</v>
      </c>
      <c r="C32" s="2960"/>
      <c r="D32" s="2961">
        <f>Table3.C!G11</f>
        <v>16.217770975000001</v>
      </c>
      <c r="E32" s="2962"/>
      <c r="F32" s="2962"/>
      <c r="G32" s="2962"/>
      <c r="H32" s="2963" t="s">
        <v>221</v>
      </c>
      <c r="I32" s="2964"/>
      <c r="J32" s="2965">
        <f t="shared" si="2"/>
        <v>454.09758729999999</v>
      </c>
    </row>
    <row r="33" spans="2:10" ht="18" customHeight="1" x14ac:dyDescent="0.2">
      <c r="B33" s="2657" t="s">
        <v>943</v>
      </c>
      <c r="C33" s="2966"/>
      <c r="D33" s="2967" t="s">
        <v>221</v>
      </c>
      <c r="E33" s="2967">
        <f>IF(SUM(E34,E42)=0,"NO",SUM(E34,E42))</f>
        <v>38.457687047804001</v>
      </c>
      <c r="F33" s="2967" t="str">
        <f>IF(SUM(F34,F42)=0,"NO",SUM(F34,F42))</f>
        <v>NO</v>
      </c>
      <c r="G33" s="2967" t="str">
        <f>IF(SUM(G34,G42)=0,"NO",SUM(G34,G42))</f>
        <v>NO</v>
      </c>
      <c r="H33" s="2967" t="str">
        <f>IF(SUM(H34,H42)=0,"NO",SUM(H34,H42))</f>
        <v>NO</v>
      </c>
      <c r="I33" s="2968"/>
      <c r="J33" s="2969">
        <f t="shared" si="2"/>
        <v>10191.28706766806</v>
      </c>
    </row>
    <row r="34" spans="2:10" ht="18" customHeight="1" x14ac:dyDescent="0.2">
      <c r="B34" s="228" t="s">
        <v>944</v>
      </c>
      <c r="C34" s="2970"/>
      <c r="D34" s="615"/>
      <c r="E34" s="2971">
        <f>IF(SUM(E35:E41)=0,"NO",SUM(E35:E41))</f>
        <v>27.979838381645898</v>
      </c>
      <c r="F34" s="615"/>
      <c r="G34" s="615"/>
      <c r="H34" s="615"/>
      <c r="I34" s="2940"/>
      <c r="J34" s="2972">
        <f t="shared" si="2"/>
        <v>7414.657171136163</v>
      </c>
    </row>
    <row r="35" spans="2:10" ht="18" customHeight="1" x14ac:dyDescent="0.2">
      <c r="B35" s="232" t="s">
        <v>945</v>
      </c>
      <c r="C35" s="2970"/>
      <c r="D35" s="615"/>
      <c r="E35" s="4248">
        <f>Table3.D!F11</f>
        <v>7.2761357853216033</v>
      </c>
      <c r="F35" s="615"/>
      <c r="G35" s="615"/>
      <c r="H35" s="615"/>
      <c r="I35" s="2940"/>
      <c r="J35" s="2972">
        <f t="shared" si="2"/>
        <v>1928.1759831102249</v>
      </c>
    </row>
    <row r="36" spans="2:10" ht="18" customHeight="1" x14ac:dyDescent="0.2">
      <c r="B36" s="232" t="s">
        <v>946</v>
      </c>
      <c r="C36" s="2970"/>
      <c r="D36" s="615"/>
      <c r="E36" s="4248">
        <f>Table3.D!F12</f>
        <v>1.3219774376140083</v>
      </c>
      <c r="F36" s="615"/>
      <c r="G36" s="615"/>
      <c r="H36" s="615"/>
      <c r="I36" s="2940"/>
      <c r="J36" s="2972">
        <f t="shared" si="2"/>
        <v>350.32402096771222</v>
      </c>
    </row>
    <row r="37" spans="2:10" ht="18" customHeight="1" x14ac:dyDescent="0.2">
      <c r="B37" s="232" t="s">
        <v>947</v>
      </c>
      <c r="C37" s="2970"/>
      <c r="D37" s="615"/>
      <c r="E37" s="4248">
        <f>Table3.D!F16</f>
        <v>11.686561215796059</v>
      </c>
      <c r="F37" s="615"/>
      <c r="G37" s="615"/>
      <c r="H37" s="615"/>
      <c r="I37" s="2940"/>
      <c r="J37" s="2972">
        <f t="shared" si="2"/>
        <v>3096.9387221859556</v>
      </c>
    </row>
    <row r="38" spans="2:10" ht="18" customHeight="1" x14ac:dyDescent="0.2">
      <c r="B38" s="232" t="s">
        <v>948</v>
      </c>
      <c r="C38" s="2970"/>
      <c r="D38" s="615"/>
      <c r="E38" s="4248">
        <f>Table3.D!F17</f>
        <v>6.4547262260844338</v>
      </c>
      <c r="F38" s="615"/>
      <c r="G38" s="615"/>
      <c r="H38" s="615"/>
      <c r="I38" s="2940"/>
      <c r="J38" s="2972">
        <f t="shared" si="2"/>
        <v>1710.5024499123749</v>
      </c>
    </row>
    <row r="39" spans="2:10" ht="26.25" customHeight="1" x14ac:dyDescent="0.2">
      <c r="B39" s="1708" t="s">
        <v>949</v>
      </c>
      <c r="C39" s="2970"/>
      <c r="D39" s="2951"/>
      <c r="E39" s="4248">
        <f>Table3.D!F18</f>
        <v>1.1524377168297937</v>
      </c>
      <c r="F39" s="2951"/>
      <c r="G39" s="2951"/>
      <c r="H39" s="2951"/>
      <c r="I39" s="2940"/>
      <c r="J39" s="2972">
        <f t="shared" si="2"/>
        <v>305.39599495989535</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10.477848666158099</v>
      </c>
      <c r="F42" s="2957"/>
      <c r="G42" s="2957"/>
      <c r="H42" s="2957"/>
      <c r="I42" s="2976"/>
      <c r="J42" s="2977">
        <f t="shared" si="2"/>
        <v>2776.6298965318961</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11.533835441598121</v>
      </c>
      <c r="E44" s="2984">
        <f>SUM(Table3.F!J10,Table3.F!J20,Table3.F!J23,Table3.F!J26:J27)</f>
        <v>0.47450462727395798</v>
      </c>
      <c r="F44" s="2919">
        <v>27.414561599679626</v>
      </c>
      <c r="G44" s="2919">
        <v>449.81958222232674</v>
      </c>
      <c r="H44" s="2920">
        <v>26.239475629635731</v>
      </c>
      <c r="I44" s="2985" t="s">
        <v>199</v>
      </c>
      <c r="J44" s="2986">
        <f t="shared" si="2"/>
        <v>448.6911185923463</v>
      </c>
    </row>
    <row r="45" spans="2:10" ht="18" customHeight="1" thickBot="1" x14ac:dyDescent="0.25">
      <c r="B45" s="2660" t="s">
        <v>955</v>
      </c>
      <c r="C45" s="2987">
        <f>'Table3.G-J'!E10</f>
        <v>1072.8425829711978</v>
      </c>
      <c r="D45" s="2988"/>
      <c r="E45" s="2988"/>
      <c r="F45" s="2988"/>
      <c r="G45" s="2988"/>
      <c r="H45" s="2989"/>
      <c r="I45" s="2990"/>
      <c r="J45" s="2986">
        <f t="shared" si="2"/>
        <v>1072.8425829711978</v>
      </c>
    </row>
    <row r="46" spans="2:10" ht="18" customHeight="1" thickBot="1" x14ac:dyDescent="0.25">
      <c r="B46" s="2660" t="s">
        <v>956</v>
      </c>
      <c r="C46" s="2987">
        <f>'Table3.G-J'!E13</f>
        <v>756.84856323012491</v>
      </c>
      <c r="D46" s="2988"/>
      <c r="E46" s="2988"/>
      <c r="F46" s="2988"/>
      <c r="G46" s="2988"/>
      <c r="H46" s="2989"/>
      <c r="I46" s="2990"/>
      <c r="J46" s="2986">
        <f t="shared" si="2"/>
        <v>756.84856323012491</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28393.973999999998</v>
      </c>
      <c r="D10" s="3208"/>
      <c r="E10" s="3208"/>
      <c r="F10" s="3109">
        <f>IF(SUM(C10)=0,"NA",G10*1000/C10)</f>
        <v>56.155809414067654</v>
      </c>
      <c r="G10" s="3209">
        <f>G15</f>
        <v>1594.4865924519922</v>
      </c>
      <c r="I10" s="275" t="s">
        <v>977</v>
      </c>
      <c r="J10" s="276" t="s">
        <v>978</v>
      </c>
      <c r="K10" s="699">
        <v>465.47205591202089</v>
      </c>
      <c r="L10" s="699">
        <v>362.45016100070097</v>
      </c>
      <c r="M10" s="3125">
        <v>530.79689268128584</v>
      </c>
      <c r="N10" s="3125">
        <v>45.16258892122918</v>
      </c>
      <c r="O10" s="2921">
        <v>58.06815462776278</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14.419570693106351</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28393.973999999998</v>
      </c>
      <c r="D15" s="3215"/>
      <c r="E15" s="3215"/>
      <c r="F15" s="3109">
        <f>IF(SUM(C15)=0,"NA",G15*1000/C15)</f>
        <v>56.155809414067654</v>
      </c>
      <c r="G15" s="3216">
        <f>G20</f>
        <v>1594.4865924519922</v>
      </c>
      <c r="I15" s="1780" t="s">
        <v>989</v>
      </c>
      <c r="J15" s="1853" t="s">
        <v>428</v>
      </c>
      <c r="K15" s="3408">
        <v>75</v>
      </c>
      <c r="L15" s="3408">
        <v>58.054517991566826</v>
      </c>
      <c r="M15" s="1563">
        <v>80.266087290517959</v>
      </c>
      <c r="N15" s="1563">
        <v>66.663395475841099</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1594.4865924519922</v>
      </c>
      <c r="I20" s="72"/>
      <c r="J20" s="287"/>
      <c r="K20" s="287"/>
      <c r="L20" s="287"/>
      <c r="M20" s="287"/>
      <c r="N20" s="287"/>
      <c r="O20" s="287"/>
    </row>
    <row r="21" spans="2:15" ht="18" customHeight="1" x14ac:dyDescent="0.2">
      <c r="B21" s="2652" t="s">
        <v>994</v>
      </c>
      <c r="C21" s="3239">
        <v>2788.4830000000002</v>
      </c>
      <c r="D21" s="3224">
        <v>234.13212967959234</v>
      </c>
      <c r="E21" s="3224">
        <v>6.1530445854664926</v>
      </c>
      <c r="F21" s="3109">
        <f t="shared" ref="F21:F30" si="0">IF(SUM(C21)=0,"NA",G21*1000/C21)</f>
        <v>95.224243696428417</v>
      </c>
      <c r="G21" s="3206">
        <v>265.53118473534784</v>
      </c>
      <c r="I21" s="72"/>
      <c r="J21" s="287"/>
      <c r="K21" s="287"/>
      <c r="L21" s="287"/>
      <c r="M21" s="287"/>
      <c r="N21" s="287"/>
      <c r="O21" s="287"/>
    </row>
    <row r="22" spans="2:15" ht="18" customHeight="1" x14ac:dyDescent="0.2">
      <c r="B22" s="2652" t="s">
        <v>965</v>
      </c>
      <c r="C22" s="3239">
        <v>24746.763999999999</v>
      </c>
      <c r="D22" s="3224">
        <v>125.04910987374141</v>
      </c>
      <c r="E22" s="3224">
        <v>6.21225</v>
      </c>
      <c r="F22" s="3109">
        <f t="shared" si="0"/>
        <v>51.348291659057899</v>
      </c>
      <c r="G22" s="3206">
        <v>1270.7040554898742</v>
      </c>
      <c r="I22" s="72"/>
      <c r="J22" s="287"/>
      <c r="K22" s="287"/>
      <c r="L22" s="287"/>
      <c r="M22" s="287"/>
      <c r="N22" s="287"/>
      <c r="O22" s="287"/>
    </row>
    <row r="23" spans="2:15" ht="18" customHeight="1" x14ac:dyDescent="0.2">
      <c r="B23" s="2652" t="s">
        <v>966</v>
      </c>
      <c r="C23" s="3239">
        <v>858.72699999999998</v>
      </c>
      <c r="D23" s="3224">
        <v>203.07924330760511</v>
      </c>
      <c r="E23" s="3224">
        <v>5.0534583736008338</v>
      </c>
      <c r="F23" s="3109">
        <f t="shared" si="0"/>
        <v>67.834541392980768</v>
      </c>
      <c r="G23" s="3206">
        <v>58.251352226770194</v>
      </c>
      <c r="I23" s="72"/>
      <c r="J23" s="287"/>
      <c r="K23" s="287"/>
      <c r="L23" s="287"/>
      <c r="M23" s="287"/>
      <c r="N23" s="287"/>
      <c r="O23" s="287"/>
    </row>
    <row r="24" spans="2:15" ht="18" customHeight="1" x14ac:dyDescent="0.2">
      <c r="B24" s="286" t="s">
        <v>995</v>
      </c>
      <c r="C24" s="2654">
        <f>C25</f>
        <v>91026</v>
      </c>
      <c r="D24" s="3225"/>
      <c r="E24" s="3225"/>
      <c r="F24" s="3109">
        <f t="shared" si="0"/>
        <v>6.8394846608994415</v>
      </c>
      <c r="G24" s="3106">
        <f>G25</f>
        <v>622.57093074303259</v>
      </c>
      <c r="I24" s="72"/>
    </row>
    <row r="25" spans="2:15" ht="18" customHeight="1" x14ac:dyDescent="0.2">
      <c r="B25" s="282" t="s">
        <v>996</v>
      </c>
      <c r="C25" s="2654">
        <f>C26</f>
        <v>91026</v>
      </c>
      <c r="D25" s="3225"/>
      <c r="E25" s="3225"/>
      <c r="F25" s="3109">
        <f t="shared" si="0"/>
        <v>6.8394846608994415</v>
      </c>
      <c r="G25" s="3106">
        <f>G26</f>
        <v>622.57093074303259</v>
      </c>
    </row>
    <row r="26" spans="2:15" ht="18" customHeight="1" x14ac:dyDescent="0.2">
      <c r="B26" s="2653" t="s">
        <v>967</v>
      </c>
      <c r="C26" s="288">
        <v>91026</v>
      </c>
      <c r="D26" s="3226">
        <v>16.793243625845189</v>
      </c>
      <c r="E26" s="3226">
        <v>6.1615833714696118</v>
      </c>
      <c r="F26" s="3109">
        <f t="shared" si="0"/>
        <v>6.8394846608994415</v>
      </c>
      <c r="G26" s="3207">
        <v>622.57093074303259</v>
      </c>
    </row>
    <row r="27" spans="2:15" ht="18" customHeight="1" x14ac:dyDescent="0.2">
      <c r="B27" s="286" t="s">
        <v>997</v>
      </c>
      <c r="C27" s="2654">
        <f>C28</f>
        <v>2732.9560000000001</v>
      </c>
      <c r="D27" s="3225"/>
      <c r="E27" s="3225"/>
      <c r="F27" s="3109">
        <f t="shared" si="0"/>
        <v>1.5243706574836198</v>
      </c>
      <c r="G27" s="3106">
        <f>G28</f>
        <v>4.1660379345938034</v>
      </c>
    </row>
    <row r="28" spans="2:15" ht="18" customHeight="1" x14ac:dyDescent="0.2">
      <c r="B28" s="282" t="s">
        <v>998</v>
      </c>
      <c r="C28" s="2654">
        <f>C29</f>
        <v>2732.9560000000001</v>
      </c>
      <c r="D28" s="3225"/>
      <c r="E28" s="3225"/>
      <c r="F28" s="3109">
        <f t="shared" si="0"/>
        <v>1.5243706574836198</v>
      </c>
      <c r="G28" s="3106">
        <f>G29</f>
        <v>4.1660379345938034</v>
      </c>
    </row>
    <row r="29" spans="2:15" ht="18" customHeight="1" x14ac:dyDescent="0.2">
      <c r="B29" s="2653" t="s">
        <v>968</v>
      </c>
      <c r="C29" s="288">
        <v>2732.9560000000001</v>
      </c>
      <c r="D29" s="3226">
        <v>32.945494386758057</v>
      </c>
      <c r="E29" s="3226">
        <v>0.70000000000000007</v>
      </c>
      <c r="F29" s="3109">
        <f t="shared" si="0"/>
        <v>1.5243706574836198</v>
      </c>
      <c r="G29" s="3207">
        <v>4.1660379345938034</v>
      </c>
    </row>
    <row r="30" spans="2:15" ht="18" customHeight="1" x14ac:dyDescent="0.2">
      <c r="B30" s="286" t="s">
        <v>999</v>
      </c>
      <c r="C30" s="2654">
        <f>SUM(C32:C39)</f>
        <v>70240.277000000002</v>
      </c>
      <c r="D30" s="3225"/>
      <c r="E30" s="3225"/>
      <c r="F30" s="3109">
        <f t="shared" si="0"/>
        <v>0.13777595542017562</v>
      </c>
      <c r="G30" s="3106">
        <f>SUM(G32:G39)</f>
        <v>9.6774212726527882</v>
      </c>
    </row>
    <row r="31" spans="2:15" ht="18" customHeight="1" x14ac:dyDescent="0.2">
      <c r="B31" s="1304" t="s">
        <v>498</v>
      </c>
      <c r="C31" s="3240"/>
      <c r="D31" s="3228"/>
      <c r="E31" s="3228"/>
      <c r="F31" s="3228"/>
      <c r="G31" s="3229"/>
    </row>
    <row r="32" spans="2:15" ht="18" customHeight="1" x14ac:dyDescent="0.2">
      <c r="B32" s="285" t="s">
        <v>1000</v>
      </c>
      <c r="C32" s="3234">
        <v>3.2469999999999999</v>
      </c>
      <c r="D32" s="3230" t="s">
        <v>205</v>
      </c>
      <c r="E32" s="3230" t="s">
        <v>205</v>
      </c>
      <c r="F32" s="3109">
        <f t="shared" ref="F32:F41" si="1">IF(SUM(C32)=0,"NA",G32*1000/C32)</f>
        <v>75.994148444718206</v>
      </c>
      <c r="G32" s="3206">
        <v>0.246753</v>
      </c>
    </row>
    <row r="33" spans="2:7" ht="18" customHeight="1" x14ac:dyDescent="0.2">
      <c r="B33" s="285" t="s">
        <v>1001</v>
      </c>
      <c r="C33" s="3234">
        <v>1.8129999999999999</v>
      </c>
      <c r="D33" s="3230" t="s">
        <v>205</v>
      </c>
      <c r="E33" s="3230" t="s">
        <v>205</v>
      </c>
      <c r="F33" s="3109">
        <f t="shared" si="1"/>
        <v>46.009089861200252</v>
      </c>
      <c r="G33" s="3206">
        <v>8.3414479918356044E-2</v>
      </c>
    </row>
    <row r="34" spans="2:7" ht="18" customHeight="1" x14ac:dyDescent="0.2">
      <c r="B34" s="285" t="s">
        <v>1002</v>
      </c>
      <c r="C34" s="3234">
        <v>68.662000000000006</v>
      </c>
      <c r="D34" s="3230" t="s">
        <v>205</v>
      </c>
      <c r="E34" s="3230" t="s">
        <v>205</v>
      </c>
      <c r="F34" s="3109">
        <f t="shared" si="1"/>
        <v>20.000066994844307</v>
      </c>
      <c r="G34" s="3206">
        <v>1.3732446</v>
      </c>
    </row>
    <row r="35" spans="2:7" ht="18" customHeight="1" x14ac:dyDescent="0.2">
      <c r="B35" s="285" t="s">
        <v>1003</v>
      </c>
      <c r="C35" s="3234">
        <v>517.66800000000001</v>
      </c>
      <c r="D35" s="3230" t="s">
        <v>205</v>
      </c>
      <c r="E35" s="3230" t="s">
        <v>205</v>
      </c>
      <c r="F35" s="3109">
        <f t="shared" si="1"/>
        <v>5.0000042498280761</v>
      </c>
      <c r="G35" s="3206">
        <v>2.5883422000000005</v>
      </c>
    </row>
    <row r="36" spans="2:7" ht="18" customHeight="1" x14ac:dyDescent="0.2">
      <c r="B36" s="285" t="s">
        <v>1004</v>
      </c>
      <c r="C36" s="3234">
        <v>257.12299999999999</v>
      </c>
      <c r="D36" s="3230" t="s">
        <v>205</v>
      </c>
      <c r="E36" s="3230" t="s">
        <v>205</v>
      </c>
      <c r="F36" s="3109">
        <f t="shared" si="1"/>
        <v>18.000002800216237</v>
      </c>
      <c r="G36" s="3206">
        <v>4.628214719999999</v>
      </c>
    </row>
    <row r="37" spans="2:7" ht="18" customHeight="1" x14ac:dyDescent="0.2">
      <c r="B37" s="285" t="s">
        <v>1005</v>
      </c>
      <c r="C37" s="3234">
        <v>0.35099999999999998</v>
      </c>
      <c r="D37" s="3230" t="s">
        <v>205</v>
      </c>
      <c r="E37" s="3230" t="s">
        <v>205</v>
      </c>
      <c r="F37" s="3109">
        <f t="shared" si="1"/>
        <v>9.996068756011411</v>
      </c>
      <c r="G37" s="3206">
        <v>3.508620133360005E-3</v>
      </c>
    </row>
    <row r="38" spans="2:7" ht="18" customHeight="1" x14ac:dyDescent="0.2">
      <c r="B38" s="285" t="s">
        <v>1006</v>
      </c>
      <c r="C38" s="3241">
        <v>69284.820000000007</v>
      </c>
      <c r="D38" s="3230" t="s">
        <v>205</v>
      </c>
      <c r="E38" s="3230" t="s">
        <v>205</v>
      </c>
      <c r="F38" s="3109" t="s">
        <v>205</v>
      </c>
      <c r="G38" s="3231" t="s">
        <v>221</v>
      </c>
    </row>
    <row r="39" spans="2:7" ht="18" customHeight="1" x14ac:dyDescent="0.2">
      <c r="B39" s="285" t="s">
        <v>1007</v>
      </c>
      <c r="C39" s="2654">
        <f>SUM(C41:C45)</f>
        <v>106.593</v>
      </c>
      <c r="D39" s="3225"/>
      <c r="E39" s="3225"/>
      <c r="F39" s="3109">
        <f t="shared" si="1"/>
        <v>7.0731066073857924</v>
      </c>
      <c r="G39" s="3106">
        <f>SUM(G41:G45)</f>
        <v>0.75394365260107388</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32.935000000000002</v>
      </c>
      <c r="D43" s="2974" t="s">
        <v>205</v>
      </c>
      <c r="E43" s="2974" t="s">
        <v>205</v>
      </c>
      <c r="F43" s="3109">
        <f t="shared" si="2"/>
        <v>5.000026972987464</v>
      </c>
      <c r="G43" s="3170">
        <v>0.16467588835534214</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73.658000000000001</v>
      </c>
      <c r="D45" s="3225"/>
      <c r="E45" s="3225"/>
      <c r="F45" s="3109">
        <f>IF(SUM(C45)=0,"NA",G45*1000/C45)</f>
        <v>8.0000511043706286</v>
      </c>
      <c r="G45" s="3106">
        <f>G46</f>
        <v>0.5892677642457318</v>
      </c>
    </row>
    <row r="46" spans="2:7" ht="18" customHeight="1" thickBot="1" x14ac:dyDescent="0.25">
      <c r="B46" s="2655" t="s">
        <v>1013</v>
      </c>
      <c r="C46" s="3243">
        <v>73.658000000000001</v>
      </c>
      <c r="D46" s="3115" t="s">
        <v>205</v>
      </c>
      <c r="E46" s="3115" t="s">
        <v>205</v>
      </c>
      <c r="F46" s="3232">
        <f>IF(SUM(C46)=0,"NA",G46*1000/C46)</f>
        <v>8.0000511043706286</v>
      </c>
      <c r="G46" s="3172">
        <v>0.5892677642457318</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28393.973999999998</v>
      </c>
      <c r="D10" s="2951"/>
      <c r="E10" s="2951"/>
      <c r="F10" s="2951"/>
      <c r="G10" s="2951"/>
      <c r="H10" s="2951"/>
      <c r="I10" s="3246"/>
      <c r="J10" s="3247">
        <f>IF(SUM(C10)=0,"NA",K10*1000/C10)</f>
        <v>5.5985555859649123</v>
      </c>
      <c r="K10" s="3248">
        <f>K15</f>
        <v>158.96524174544248</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28393.973999999998</v>
      </c>
      <c r="D15" s="3260"/>
      <c r="E15" s="3260"/>
      <c r="F15" s="3260"/>
      <c r="G15" s="3260"/>
      <c r="H15" s="3260"/>
      <c r="I15" s="3255"/>
      <c r="J15" s="3254">
        <f>IF(SUM(C15)=0,"NA",K15*1000/C15)</f>
        <v>5.5985555859649123</v>
      </c>
      <c r="K15" s="3248">
        <f>SUM(K17:K20)</f>
        <v>158.96524174544248</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28393.973999999998</v>
      </c>
      <c r="D20" s="3260"/>
      <c r="E20" s="3260"/>
      <c r="F20" s="3260"/>
      <c r="G20" s="3260"/>
      <c r="H20" s="3260"/>
      <c r="I20" s="3255"/>
      <c r="J20" s="3268">
        <f>IF(SUM(C20)=0,"NA",K20*1000/C20)</f>
        <v>5.5985555859649123</v>
      </c>
      <c r="K20" s="3248">
        <f>SUM(K21:K23)</f>
        <v>158.96524174544248</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2788.4830000000002</v>
      </c>
      <c r="D21" s="3290">
        <v>7.2959556716628748</v>
      </c>
      <c r="E21" s="3290">
        <v>92.683302197958625</v>
      </c>
      <c r="F21" s="3290">
        <v>2.0742130378499229E-2</v>
      </c>
      <c r="G21" s="3265">
        <f>Table3.A!K10</f>
        <v>465.47205591202089</v>
      </c>
      <c r="H21" s="3266">
        <v>3.3639926892056691</v>
      </c>
      <c r="I21" s="3267">
        <v>0.24</v>
      </c>
      <c r="J21" s="3268">
        <f>IF(SUM(C21)=0,"NA",K21*1000/C21)</f>
        <v>14.091627304471375</v>
      </c>
      <c r="K21" s="3244">
        <v>39.294263180854259</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24746.763999999999</v>
      </c>
      <c r="D22" s="3290" t="s">
        <v>199</v>
      </c>
      <c r="E22" s="3290">
        <v>83.63999947401139</v>
      </c>
      <c r="F22" s="3290">
        <v>16.360000525988614</v>
      </c>
      <c r="G22" s="3265">
        <f>Table3.A!L10</f>
        <v>362.45016100070097</v>
      </c>
      <c r="H22" s="3266" t="s">
        <v>205</v>
      </c>
      <c r="I22" s="3267" t="s">
        <v>205</v>
      </c>
      <c r="J22" s="3268">
        <f t="shared" ref="J22:J46" si="0">IF(SUM(C22)=0,"NA",K22*1000/C22)</f>
        <v>4.713954674743233</v>
      </c>
      <c r="K22" s="3244">
        <v>116.65512384256755</v>
      </c>
      <c r="M22" s="1597" t="s">
        <v>1049</v>
      </c>
      <c r="N22" s="4511" t="s">
        <v>994</v>
      </c>
      <c r="O22" s="1693" t="s">
        <v>1051</v>
      </c>
      <c r="P22" s="1694" t="s">
        <v>1039</v>
      </c>
      <c r="Q22" s="4444">
        <v>5.48876495834803</v>
      </c>
      <c r="R22" s="4445" t="s">
        <v>199</v>
      </c>
      <c r="S22" s="4445">
        <v>4.5710850126305358</v>
      </c>
      <c r="T22" s="4445">
        <v>0.72721807019122164</v>
      </c>
      <c r="U22" s="4445" t="s">
        <v>199</v>
      </c>
      <c r="V22" s="4445" t="s">
        <v>274</v>
      </c>
      <c r="W22" s="4445" t="s">
        <v>199</v>
      </c>
      <c r="X22" s="4445">
        <v>89.212931958830211</v>
      </c>
      <c r="Y22" s="4446" t="s">
        <v>199</v>
      </c>
      <c r="Z22" s="4446" t="s">
        <v>199</v>
      </c>
      <c r="AA22" s="4446" t="s">
        <v>199</v>
      </c>
      <c r="AB22" s="4447" t="s">
        <v>199</v>
      </c>
    </row>
    <row r="23" spans="2:28" s="84" customFormat="1" ht="18" customHeight="1" x14ac:dyDescent="0.2">
      <c r="B23" s="2661" t="s">
        <v>966</v>
      </c>
      <c r="C23" s="3290">
        <f>Table3.A!C23</f>
        <v>858.72699999999998</v>
      </c>
      <c r="D23" s="3290" t="s">
        <v>199</v>
      </c>
      <c r="E23" s="3290">
        <v>100</v>
      </c>
      <c r="F23" s="3290" t="s">
        <v>199</v>
      </c>
      <c r="G23" s="3265">
        <f>Table3.A!M10</f>
        <v>530.79689268128584</v>
      </c>
      <c r="H23" s="3266">
        <v>1.7533022764862276</v>
      </c>
      <c r="I23" s="3267">
        <v>0.19</v>
      </c>
      <c r="J23" s="3268">
        <f t="shared" si="0"/>
        <v>3.5120064025245181</v>
      </c>
      <c r="K23" s="3244">
        <v>3.0158547220206717</v>
      </c>
      <c r="M23" s="1667" t="s">
        <v>1061</v>
      </c>
      <c r="N23" s="4512"/>
      <c r="O23" s="1695" t="s">
        <v>1042</v>
      </c>
      <c r="P23" s="1696" t="s">
        <v>1040</v>
      </c>
      <c r="Q23" s="4448">
        <v>8.2756211088391733</v>
      </c>
      <c r="R23" s="4165" t="s">
        <v>199</v>
      </c>
      <c r="S23" s="4165">
        <v>2.4078364415528943</v>
      </c>
      <c r="T23" s="4166">
        <v>1.7507462880864177</v>
      </c>
      <c r="U23" s="4166" t="s">
        <v>199</v>
      </c>
      <c r="V23" s="4166" t="s">
        <v>274</v>
      </c>
      <c r="W23" s="4166" t="s">
        <v>199</v>
      </c>
      <c r="X23" s="4166">
        <v>87.565796161521519</v>
      </c>
      <c r="Y23" s="4166" t="s">
        <v>199</v>
      </c>
      <c r="Z23" s="4166" t="s">
        <v>199</v>
      </c>
      <c r="AA23" s="4166" t="s">
        <v>199</v>
      </c>
      <c r="AB23" s="4140" t="s">
        <v>199</v>
      </c>
    </row>
    <row r="24" spans="2:28" s="84" customFormat="1" ht="18" customHeight="1" thickBot="1" x14ac:dyDescent="0.25">
      <c r="B24" s="1646" t="s">
        <v>1062</v>
      </c>
      <c r="C24" s="4172">
        <f>C25</f>
        <v>91026</v>
      </c>
      <c r="D24" s="3270"/>
      <c r="E24" s="3270"/>
      <c r="F24" s="3270"/>
      <c r="G24" s="3270"/>
      <c r="H24" s="3270"/>
      <c r="I24" s="3271"/>
      <c r="J24" s="3268">
        <f t="shared" si="0"/>
        <v>0.34808600729714601</v>
      </c>
      <c r="K24" s="3248">
        <f>K25</f>
        <v>31.684876900230012</v>
      </c>
      <c r="M24" s="1659"/>
      <c r="N24" s="4512"/>
      <c r="O24" s="1697"/>
      <c r="P24" s="1696" t="s">
        <v>1041</v>
      </c>
      <c r="Q24" s="4449">
        <v>7.1642501389343156</v>
      </c>
      <c r="R24" s="4450" t="s">
        <v>199</v>
      </c>
      <c r="S24" s="4450">
        <v>5.7741717537679556</v>
      </c>
      <c r="T24" s="4451">
        <v>2.9842941555669396</v>
      </c>
      <c r="U24" s="4451" t="s">
        <v>199</v>
      </c>
      <c r="V24" s="4451" t="s">
        <v>274</v>
      </c>
      <c r="W24" s="4451" t="s">
        <v>199</v>
      </c>
      <c r="X24" s="4451">
        <v>84.077283951730792</v>
      </c>
      <c r="Y24" s="4451" t="s">
        <v>199</v>
      </c>
      <c r="Z24" s="4451" t="s">
        <v>199</v>
      </c>
      <c r="AA24" s="4451" t="s">
        <v>199</v>
      </c>
      <c r="AB24" s="4452" t="s">
        <v>199</v>
      </c>
    </row>
    <row r="25" spans="2:28" s="84" customFormat="1" ht="18" customHeight="1" x14ac:dyDescent="0.2">
      <c r="B25" s="1647" t="s">
        <v>1063</v>
      </c>
      <c r="C25" s="4172">
        <f>C26</f>
        <v>91026</v>
      </c>
      <c r="D25" s="3217"/>
      <c r="E25" s="3217"/>
      <c r="F25" s="3217"/>
      <c r="G25" s="3217"/>
      <c r="H25" s="3217"/>
      <c r="I25" s="3227"/>
      <c r="J25" s="3268">
        <f t="shared" si="0"/>
        <v>0.34808600729714601</v>
      </c>
      <c r="K25" s="3248">
        <f>K26</f>
        <v>31.684876900230012</v>
      </c>
      <c r="M25" s="1659"/>
      <c r="N25" s="4512"/>
      <c r="O25" s="1698" t="s">
        <v>1054</v>
      </c>
      <c r="P25" s="1694" t="s">
        <v>1039</v>
      </c>
      <c r="Q25" s="4453">
        <v>0.7</v>
      </c>
      <c r="R25" s="4454" t="s">
        <v>199</v>
      </c>
      <c r="S25" s="4454">
        <v>4.66875E-2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91026</v>
      </c>
      <c r="D26" s="3290" t="s">
        <v>199</v>
      </c>
      <c r="E26" s="3290">
        <v>100</v>
      </c>
      <c r="F26" s="3290" t="s">
        <v>199</v>
      </c>
      <c r="G26" s="3272">
        <f>Table3.A!N10</f>
        <v>45.16258892122918</v>
      </c>
      <c r="H26" s="3014" t="s">
        <v>205</v>
      </c>
      <c r="I26" s="3104" t="s">
        <v>205</v>
      </c>
      <c r="J26" s="3268">
        <f t="shared" si="0"/>
        <v>0.34808600729714601</v>
      </c>
      <c r="K26" s="3244">
        <v>31.684876900230012</v>
      </c>
      <c r="M26" s="1659"/>
      <c r="N26" s="4512"/>
      <c r="O26" s="1699"/>
      <c r="P26" s="1696" t="s">
        <v>1040</v>
      </c>
      <c r="Q26" s="4448">
        <v>0.73724591002071893</v>
      </c>
      <c r="R26" s="4165" t="s">
        <v>199</v>
      </c>
      <c r="S26" s="4165">
        <v>7.4915978609202127E-2</v>
      </c>
      <c r="T26" s="4166">
        <v>2.0000000000000004E-2</v>
      </c>
      <c r="U26" s="4166" t="s">
        <v>199</v>
      </c>
      <c r="V26" s="4166" t="s">
        <v>274</v>
      </c>
      <c r="W26" s="4166" t="s">
        <v>199</v>
      </c>
      <c r="X26" s="4166">
        <v>1.0000000000000002E-2</v>
      </c>
      <c r="Y26" s="4166" t="s">
        <v>199</v>
      </c>
      <c r="Z26" s="4166" t="s">
        <v>199</v>
      </c>
      <c r="AA26" s="4166" t="s">
        <v>199</v>
      </c>
      <c r="AB26" s="4140" t="s">
        <v>199</v>
      </c>
    </row>
    <row r="27" spans="2:28" s="84" customFormat="1" ht="18" customHeight="1" thickBot="1" x14ac:dyDescent="0.25">
      <c r="B27" s="1646" t="s">
        <v>1064</v>
      </c>
      <c r="C27" s="4172">
        <f>C28</f>
        <v>2732.9560000000001</v>
      </c>
      <c r="D27" s="3217"/>
      <c r="E27" s="3217"/>
      <c r="F27" s="3217"/>
      <c r="G27" s="3217"/>
      <c r="H27" s="3217"/>
      <c r="I27" s="3227"/>
      <c r="J27" s="3268">
        <f t="shared" si="0"/>
        <v>22.148561073969734</v>
      </c>
      <c r="K27" s="3248">
        <f>K28</f>
        <v>60.531042878472036</v>
      </c>
      <c r="M27" s="1659"/>
      <c r="N27" s="4513"/>
      <c r="O27" s="1700"/>
      <c r="P27" s="1696" t="s">
        <v>1041</v>
      </c>
      <c r="Q27" s="4449">
        <v>0.8</v>
      </c>
      <c r="R27" s="4450" t="s">
        <v>199</v>
      </c>
      <c r="S27" s="4450">
        <v>0.27314814814814814</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2732.9560000000001</v>
      </c>
      <c r="D28" s="3217"/>
      <c r="E28" s="3217"/>
      <c r="F28" s="3217"/>
      <c r="G28" s="3217"/>
      <c r="H28" s="3217"/>
      <c r="I28" s="3227"/>
      <c r="J28" s="3268">
        <f t="shared" si="0"/>
        <v>22.148561073969734</v>
      </c>
      <c r="K28" s="3248">
        <f>K29</f>
        <v>60.531042878472036</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2732.9560000000001</v>
      </c>
      <c r="D29" s="3290">
        <v>0.60913524080448989</v>
      </c>
      <c r="E29" s="3290">
        <v>99.390864759195509</v>
      </c>
      <c r="F29" s="3290" t="s">
        <v>199</v>
      </c>
      <c r="G29" s="3272">
        <f>Table3.A!O10</f>
        <v>58.06815462776278</v>
      </c>
      <c r="H29" s="3014">
        <v>0.37219024208839002</v>
      </c>
      <c r="I29" s="3104">
        <v>0.45</v>
      </c>
      <c r="J29" s="3268">
        <f t="shared" si="0"/>
        <v>22.148561073969734</v>
      </c>
      <c r="K29" s="3244">
        <v>60.531042878472036</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70240.277000000002</v>
      </c>
      <c r="D30" s="3217"/>
      <c r="E30" s="3217"/>
      <c r="F30" s="3217"/>
      <c r="G30" s="3217"/>
      <c r="H30" s="3217"/>
      <c r="I30" s="3227"/>
      <c r="J30" s="3268">
        <f t="shared" si="0"/>
        <v>5.279117007023558E-2</v>
      </c>
      <c r="K30" s="3248">
        <f>SUM(K32:K39)</f>
        <v>3.7080664088874569</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3.2469999999999999</v>
      </c>
      <c r="D32" s="3290" t="s">
        <v>199</v>
      </c>
      <c r="E32" s="3290" t="s">
        <v>199</v>
      </c>
      <c r="F32" s="3290">
        <v>100</v>
      </c>
      <c r="G32" s="3274" t="s">
        <v>205</v>
      </c>
      <c r="H32" s="3274" t="s">
        <v>205</v>
      </c>
      <c r="I32" s="3274" t="s">
        <v>205</v>
      </c>
      <c r="J32" s="3268">
        <f t="shared" si="0"/>
        <v>11.569105860357441</v>
      </c>
      <c r="K32" s="3244">
        <v>3.7564886728580611E-2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1.8129999999999999</v>
      </c>
      <c r="D33" s="3290" t="s">
        <v>199</v>
      </c>
      <c r="E33" s="3290">
        <v>17.689182900616558</v>
      </c>
      <c r="F33" s="3290">
        <v>82.310817099383442</v>
      </c>
      <c r="G33" s="3274" t="s">
        <v>205</v>
      </c>
      <c r="H33" s="3274" t="s">
        <v>205</v>
      </c>
      <c r="I33" s="3274" t="s">
        <v>205</v>
      </c>
      <c r="J33" s="3254">
        <f t="shared" si="0"/>
        <v>10.055955348322723</v>
      </c>
      <c r="K33" s="3244">
        <v>1.8231447046509097E-2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68.662000000000006</v>
      </c>
      <c r="D34" s="3290" t="s">
        <v>199</v>
      </c>
      <c r="E34" s="3290">
        <v>100</v>
      </c>
      <c r="F34" s="3290" t="s">
        <v>199</v>
      </c>
      <c r="G34" s="3274" t="s">
        <v>205</v>
      </c>
      <c r="H34" s="3274" t="s">
        <v>205</v>
      </c>
      <c r="I34" s="3274" t="s">
        <v>205</v>
      </c>
      <c r="J34" s="3254">
        <f t="shared" si="0"/>
        <v>0.99987960583136826</v>
      </c>
      <c r="K34" s="3244">
        <v>6.8653733495593408E-2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517.66800000000001</v>
      </c>
      <c r="D35" s="3290" t="s">
        <v>199</v>
      </c>
      <c r="E35" s="3290">
        <v>99.913678338204278</v>
      </c>
      <c r="F35" s="3290">
        <v>8.6321661795723925E-2</v>
      </c>
      <c r="G35" s="3274" t="s">
        <v>205</v>
      </c>
      <c r="H35" s="3274" t="s">
        <v>205</v>
      </c>
      <c r="I35" s="3274" t="s">
        <v>205</v>
      </c>
      <c r="J35" s="3254">
        <f t="shared" si="0"/>
        <v>0.35820413027154679</v>
      </c>
      <c r="K35" s="3244">
        <v>0.18543081570941108</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257.12299999999999</v>
      </c>
      <c r="D36" s="3290" t="s">
        <v>199</v>
      </c>
      <c r="E36" s="3290">
        <v>98.335131694149226</v>
      </c>
      <c r="F36" s="3290">
        <v>1.6648683058507709</v>
      </c>
      <c r="G36" s="3274" t="s">
        <v>205</v>
      </c>
      <c r="H36" s="3274" t="s">
        <v>205</v>
      </c>
      <c r="I36" s="3274" t="s">
        <v>205</v>
      </c>
      <c r="J36" s="3254">
        <f t="shared" si="0"/>
        <v>3.1423145974296363</v>
      </c>
      <c r="K36" s="3244">
        <v>0.80796135623490029</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0.35099999999999998</v>
      </c>
      <c r="D37" s="3290" t="s">
        <v>199</v>
      </c>
      <c r="E37" s="3290">
        <v>93.159704075169699</v>
      </c>
      <c r="F37" s="3290">
        <v>6.8402959248303032</v>
      </c>
      <c r="G37" s="3274" t="s">
        <v>205</v>
      </c>
      <c r="H37" s="3274" t="s">
        <v>205</v>
      </c>
      <c r="I37" s="3274" t="s">
        <v>205</v>
      </c>
      <c r="J37" s="3254">
        <f t="shared" si="0"/>
        <v>1.1948192015579666</v>
      </c>
      <c r="K37" s="3244">
        <v>4.1938153974684626E-4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69284.820000000007</v>
      </c>
      <c r="D38" s="3290">
        <v>1.5559239760695949</v>
      </c>
      <c r="E38" s="3290">
        <v>98.444076023930407</v>
      </c>
      <c r="F38" s="3290" t="s">
        <v>199</v>
      </c>
      <c r="G38" s="3274" t="s">
        <v>205</v>
      </c>
      <c r="H38" s="3274" t="s">
        <v>205</v>
      </c>
      <c r="I38" s="3274" t="s">
        <v>205</v>
      </c>
      <c r="J38" s="3254">
        <f t="shared" si="0"/>
        <v>3.6829372927766113E-2</v>
      </c>
      <c r="K38" s="3244">
        <v>2.5517164740131486</v>
      </c>
      <c r="M38" s="1659"/>
      <c r="N38" s="4512"/>
      <c r="O38" s="1699"/>
      <c r="P38" s="1696" t="s">
        <v>1040</v>
      </c>
      <c r="Q38" s="4448">
        <v>0.76252478038139482</v>
      </c>
      <c r="R38" s="4165" t="s">
        <v>199</v>
      </c>
      <c r="S38" s="4165" t="s">
        <v>199</v>
      </c>
      <c r="T38" s="4166" t="s">
        <v>274</v>
      </c>
      <c r="U38" s="4166" t="s">
        <v>199</v>
      </c>
      <c r="V38" s="4166">
        <v>2.122099651092875E-2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106.593</v>
      </c>
      <c r="D39" s="3261"/>
      <c r="E39" s="3261"/>
      <c r="F39" s="3261"/>
      <c r="G39" s="3261"/>
      <c r="H39" s="3261"/>
      <c r="I39" s="3262"/>
      <c r="J39" s="3254">
        <f t="shared" si="0"/>
        <v>0.35732472225724915</v>
      </c>
      <c r="K39" s="3248">
        <f>SUM(K41:K45)</f>
        <v>3.8088314119566959E-2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59.9</v>
      </c>
      <c r="R40" s="4445" t="s">
        <v>199</v>
      </c>
      <c r="S40" s="4445" t="s">
        <v>199</v>
      </c>
      <c r="T40" s="4446" t="s">
        <v>274</v>
      </c>
      <c r="U40" s="4446" t="s">
        <v>274</v>
      </c>
      <c r="V40" s="4446">
        <v>36.1</v>
      </c>
      <c r="W40" s="4446" t="s">
        <v>274</v>
      </c>
      <c r="X40" s="4446" t="s">
        <v>199</v>
      </c>
      <c r="Y40" s="4446" t="s">
        <v>199</v>
      </c>
      <c r="Z40" s="4446" t="s">
        <v>199</v>
      </c>
      <c r="AA40" s="4446" t="s">
        <v>199</v>
      </c>
      <c r="AB40" s="4447">
        <v>32.5</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68.163162943135376</v>
      </c>
      <c r="R41" s="4165" t="s">
        <v>199</v>
      </c>
      <c r="S41" s="4165" t="s">
        <v>199</v>
      </c>
      <c r="T41" s="4166" t="s">
        <v>274</v>
      </c>
      <c r="U41" s="4166" t="s">
        <v>274</v>
      </c>
      <c r="V41" s="4166">
        <v>28.20124024704954</v>
      </c>
      <c r="W41" s="4166" t="s">
        <v>274</v>
      </c>
      <c r="X41" s="4166" t="s">
        <v>199</v>
      </c>
      <c r="Y41" s="4166" t="s">
        <v>199</v>
      </c>
      <c r="Z41" s="4166">
        <v>0.83156523932868887</v>
      </c>
      <c r="AA41" s="4166" t="s">
        <v>199</v>
      </c>
      <c r="AB41" s="4140">
        <v>23.863433168457789</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32.935000000000002</v>
      </c>
      <c r="D43" s="3290" t="s">
        <v>199</v>
      </c>
      <c r="E43" s="3290">
        <v>100</v>
      </c>
      <c r="F43" s="3290" t="s">
        <v>199</v>
      </c>
      <c r="G43" s="3274" t="s">
        <v>205</v>
      </c>
      <c r="H43" s="3274" t="s">
        <v>205</v>
      </c>
      <c r="I43" s="3274" t="s">
        <v>205</v>
      </c>
      <c r="J43" s="3254">
        <f t="shared" si="0"/>
        <v>0.35732447695746489</v>
      </c>
      <c r="K43" s="3244">
        <v>1.1768481648594108E-2</v>
      </c>
      <c r="M43" s="4516"/>
      <c r="N43" s="4517"/>
      <c r="O43" s="1698" t="s">
        <v>1054</v>
      </c>
      <c r="P43" s="1694" t="s">
        <v>1039</v>
      </c>
      <c r="Q43" s="4444">
        <v>0.7</v>
      </c>
      <c r="R43" s="4445" t="s">
        <v>199</v>
      </c>
      <c r="S43" s="4445" t="s">
        <v>199</v>
      </c>
      <c r="T43" s="4446" t="s">
        <v>274</v>
      </c>
      <c r="U43" s="4446" t="s">
        <v>274</v>
      </c>
      <c r="V43" s="4446">
        <v>1.8337950138504155E-2</v>
      </c>
      <c r="W43" s="4446" t="s">
        <v>274</v>
      </c>
      <c r="X43" s="4446" t="s">
        <v>199</v>
      </c>
      <c r="Y43" s="4446" t="s">
        <v>199</v>
      </c>
      <c r="Z43" s="4446" t="s">
        <v>199</v>
      </c>
      <c r="AA43" s="4446" t="s">
        <v>199</v>
      </c>
      <c r="AB43" s="4447">
        <v>3.9230769230769229E-2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0.7537578226329199</v>
      </c>
      <c r="R44" s="4165" t="s">
        <v>199</v>
      </c>
      <c r="S44" s="4165" t="s">
        <v>199</v>
      </c>
      <c r="T44" s="4166" t="s">
        <v>274</v>
      </c>
      <c r="U44" s="4166" t="s">
        <v>274</v>
      </c>
      <c r="V44" s="4166">
        <v>1.8974618936925185E-2</v>
      </c>
      <c r="W44" s="4166" t="s">
        <v>274</v>
      </c>
      <c r="X44" s="4166" t="s">
        <v>199</v>
      </c>
      <c r="Y44" s="4166" t="s">
        <v>199</v>
      </c>
      <c r="Z44" s="4166">
        <v>3.3178972900451825E-2</v>
      </c>
      <c r="AA44" s="4166" t="s">
        <v>199</v>
      </c>
      <c r="AB44" s="4140">
        <v>3.9444718932687473E-2</v>
      </c>
    </row>
    <row r="45" spans="2:28" s="84" customFormat="1" ht="18" customHeight="1" thickBot="1" x14ac:dyDescent="0.25">
      <c r="B45" s="2663" t="s">
        <v>1079</v>
      </c>
      <c r="C45" s="4172">
        <f>C46</f>
        <v>73.658000000000001</v>
      </c>
      <c r="D45" s="3261"/>
      <c r="E45" s="3261"/>
      <c r="F45" s="3261"/>
      <c r="G45" s="3261"/>
      <c r="H45" s="3261"/>
      <c r="I45" s="3262"/>
      <c r="J45" s="3254">
        <f t="shared" si="0"/>
        <v>0.35732483193913561</v>
      </c>
      <c r="K45" s="3248">
        <f>K46</f>
        <v>2.6319832470972852E-2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73.658000000000001</v>
      </c>
      <c r="D46" s="3021" t="s">
        <v>199</v>
      </c>
      <c r="E46" s="3021">
        <v>100</v>
      </c>
      <c r="F46" s="3021" t="s">
        <v>199</v>
      </c>
      <c r="G46" s="3021" t="s">
        <v>205</v>
      </c>
      <c r="H46" s="3021" t="s">
        <v>205</v>
      </c>
      <c r="I46" s="3275" t="s">
        <v>205</v>
      </c>
      <c r="J46" s="3276">
        <f t="shared" si="0"/>
        <v>0.35732483193913561</v>
      </c>
      <c r="K46" s="3245">
        <v>2.6319832470972852E-2</v>
      </c>
      <c r="M46" s="4514" t="s">
        <v>1080</v>
      </c>
      <c r="N46" s="4515"/>
      <c r="O46" s="1693" t="s">
        <v>1051</v>
      </c>
      <c r="P46" s="1694" t="s">
        <v>1039</v>
      </c>
      <c r="Q46" s="4444" t="s">
        <v>199</v>
      </c>
      <c r="R46" s="4445" t="s">
        <v>199</v>
      </c>
      <c r="S46" s="4445" t="s">
        <v>199</v>
      </c>
      <c r="T46" s="4446">
        <v>47.316739823856366</v>
      </c>
      <c r="U46" s="4446" t="s">
        <v>199</v>
      </c>
      <c r="V46" s="4446" t="s">
        <v>199</v>
      </c>
      <c r="W46" s="4446" t="s">
        <v>274</v>
      </c>
      <c r="X46" s="4446">
        <v>1.9256725318727403</v>
      </c>
      <c r="Y46" s="4446">
        <v>18.037494713813196</v>
      </c>
      <c r="Z46" s="4446">
        <v>0.40459920494331458</v>
      </c>
      <c r="AA46" s="4446" t="s">
        <v>199</v>
      </c>
      <c r="AB46" s="4447">
        <v>97.544849658593762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45.29965629362853</v>
      </c>
      <c r="U47" s="4166" t="s">
        <v>199</v>
      </c>
      <c r="V47" s="4166" t="s">
        <v>199</v>
      </c>
      <c r="W47" s="4166" t="s">
        <v>274</v>
      </c>
      <c r="X47" s="4166">
        <v>2.5721937625676627</v>
      </c>
      <c r="Y47" s="4166">
        <v>18.413534460236537</v>
      </c>
      <c r="Z47" s="4166">
        <v>0.31768408184683067</v>
      </c>
      <c r="AA47" s="4166" t="s">
        <v>199</v>
      </c>
      <c r="AB47" s="4140">
        <v>97.427806237432307</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1.9999999999999997E-2</v>
      </c>
      <c r="U50" s="4166" t="s">
        <v>199</v>
      </c>
      <c r="V50" s="4166" t="s">
        <v>199</v>
      </c>
      <c r="W50" s="4166" t="s">
        <v>274</v>
      </c>
      <c r="X50" s="4166">
        <v>1.2935569187210789E-2</v>
      </c>
      <c r="Y50" s="4166">
        <v>9.9999999999999985E-3</v>
      </c>
      <c r="Z50" s="4166">
        <v>9.9999999999999992E-2</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28393.973999999998</v>
      </c>
      <c r="D10" s="3453"/>
      <c r="E10" s="3454"/>
      <c r="F10" s="3441">
        <f>F15</f>
        <v>29546066.481926892</v>
      </c>
      <c r="G10" s="3441" t="str">
        <f t="shared" ref="G10:R10" si="0">G15</f>
        <v>NO</v>
      </c>
      <c r="H10" s="3441">
        <f t="shared" si="0"/>
        <v>8902821.4220214561</v>
      </c>
      <c r="I10" s="3441">
        <f t="shared" si="0"/>
        <v>18630354.294243071</v>
      </c>
      <c r="J10" s="3441" t="str">
        <f t="shared" si="0"/>
        <v>NO</v>
      </c>
      <c r="K10" s="3441">
        <f t="shared" si="0"/>
        <v>62807634.425610706</v>
      </c>
      <c r="L10" s="3441" t="str">
        <f t="shared" si="0"/>
        <v>NO</v>
      </c>
      <c r="M10" s="3441">
        <f t="shared" si="0"/>
        <v>1197649109.9276283</v>
      </c>
      <c r="N10" s="3441">
        <f t="shared" si="0"/>
        <v>8988274.947380295</v>
      </c>
      <c r="O10" s="3441" t="str">
        <f t="shared" si="0"/>
        <v>NO</v>
      </c>
      <c r="P10" s="3441" t="str">
        <f t="shared" si="0"/>
        <v>NO</v>
      </c>
      <c r="Q10" s="3441" t="str">
        <f t="shared" si="0"/>
        <v>NO</v>
      </c>
      <c r="R10" s="3441">
        <f t="shared" si="0"/>
        <v>1326524261.4988108</v>
      </c>
      <c r="S10" s="2670"/>
      <c r="T10" s="2671"/>
      <c r="U10" s="3419">
        <f>IF(SUM(X10)=0,"NA",X10*1000/C10)</f>
        <v>2.8900263008907044E-2</v>
      </c>
      <c r="V10" s="3411"/>
      <c r="W10" s="3412"/>
      <c r="X10" s="3278">
        <f t="shared" ref="X10" si="1">X15</f>
        <v>0.82059331646806832</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28393.973999999998</v>
      </c>
      <c r="D15" s="3456"/>
      <c r="E15" s="3456"/>
      <c r="F15" s="2668">
        <f>F20</f>
        <v>29546066.481926892</v>
      </c>
      <c r="G15" s="2668" t="str">
        <f t="shared" ref="G15:R15" si="2">G20</f>
        <v>NO</v>
      </c>
      <c r="H15" s="2668">
        <f t="shared" si="2"/>
        <v>8902821.4220214561</v>
      </c>
      <c r="I15" s="2668">
        <f t="shared" si="2"/>
        <v>18630354.294243071</v>
      </c>
      <c r="J15" s="2668" t="str">
        <f t="shared" si="2"/>
        <v>NO</v>
      </c>
      <c r="K15" s="2668">
        <f t="shared" si="2"/>
        <v>62807634.425610706</v>
      </c>
      <c r="L15" s="2668" t="str">
        <f t="shared" si="2"/>
        <v>NO</v>
      </c>
      <c r="M15" s="2668">
        <f t="shared" si="2"/>
        <v>1197649109.9276283</v>
      </c>
      <c r="N15" s="2668">
        <f t="shared" si="2"/>
        <v>8988274.947380295</v>
      </c>
      <c r="O15" s="2668" t="str">
        <f t="shared" si="2"/>
        <v>NO</v>
      </c>
      <c r="P15" s="2668" t="str">
        <f t="shared" si="2"/>
        <v>NO</v>
      </c>
      <c r="Q15" s="2668" t="str">
        <f t="shared" si="2"/>
        <v>NO</v>
      </c>
      <c r="R15" s="2668">
        <f t="shared" si="2"/>
        <v>1326524261.4988108</v>
      </c>
      <c r="S15" s="2676"/>
      <c r="T15" s="2677"/>
      <c r="U15" s="3419">
        <f>IF(SUM(X15)=0,"NA",X15*1000/C15)</f>
        <v>2.8900263008907044E-2</v>
      </c>
      <c r="V15" s="3417"/>
      <c r="W15" s="3418"/>
      <c r="X15" s="3281">
        <f t="shared" ref="X15" si="3">X20</f>
        <v>0.82059331646806832</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28393.973999999998</v>
      </c>
      <c r="D20" s="3455"/>
      <c r="E20" s="3455"/>
      <c r="F20" s="2668">
        <f>IF(SUM(F21:F23)=0,"NO",SUM(F21:F23))</f>
        <v>29546066.481926892</v>
      </c>
      <c r="G20" s="2668" t="str">
        <f t="shared" ref="G20:Q20" si="6">IF(SUM(G21:G23)=0,"NO",SUM(G21:G23))</f>
        <v>NO</v>
      </c>
      <c r="H20" s="2668">
        <f t="shared" si="6"/>
        <v>8902821.4220214561</v>
      </c>
      <c r="I20" s="2668">
        <f t="shared" si="6"/>
        <v>18630354.294243071</v>
      </c>
      <c r="J20" s="2668" t="str">
        <f t="shared" si="6"/>
        <v>NO</v>
      </c>
      <c r="K20" s="2668">
        <f t="shared" si="6"/>
        <v>62807634.425610706</v>
      </c>
      <c r="L20" s="2668" t="str">
        <f t="shared" si="6"/>
        <v>NO</v>
      </c>
      <c r="M20" s="2668">
        <f t="shared" si="6"/>
        <v>1197649109.9276283</v>
      </c>
      <c r="N20" s="2668">
        <f t="shared" si="6"/>
        <v>8988274.947380295</v>
      </c>
      <c r="O20" s="2668" t="str">
        <f t="shared" si="6"/>
        <v>NO</v>
      </c>
      <c r="P20" s="2668" t="str">
        <f t="shared" si="6"/>
        <v>NO</v>
      </c>
      <c r="Q20" s="2668" t="str">
        <f t="shared" si="6"/>
        <v>NO</v>
      </c>
      <c r="R20" s="3445">
        <f>IF(SUM(F20:Q20)=0,"NO",SUM(F20:Q20))</f>
        <v>1326524261.4988108</v>
      </c>
      <c r="S20" s="2676"/>
      <c r="T20" s="2677"/>
      <c r="U20" s="3419">
        <f t="shared" si="4"/>
        <v>2.8900263008907044E-2</v>
      </c>
      <c r="V20" s="3417"/>
      <c r="W20" s="3418"/>
      <c r="X20" s="3281">
        <f t="shared" ref="X20" si="7">IF(SUM(X21:X23)=0,"NO",SUM(X21:X23))</f>
        <v>0.82059331646806832</v>
      </c>
      <c r="Y20" s="3142"/>
      <c r="Z20" s="3420"/>
    </row>
    <row r="21" spans="2:26" ht="18" customHeight="1" x14ac:dyDescent="0.2">
      <c r="B21" s="2666" t="s">
        <v>994</v>
      </c>
      <c r="C21" s="3458">
        <f>Table3.A!C21</f>
        <v>2788.4830000000002</v>
      </c>
      <c r="D21" s="3274">
        <v>127.42236752965211</v>
      </c>
      <c r="E21" s="3457">
        <f>'Table3.B(a)'!G21</f>
        <v>465.47205591202089</v>
      </c>
      <c r="F21" s="3442">
        <v>28415529.062265899</v>
      </c>
      <c r="G21" s="3442" t="s">
        <v>199</v>
      </c>
      <c r="H21" s="3442">
        <v>8902821.4220214561</v>
      </c>
      <c r="I21" s="3442">
        <v>5857542.5269131744</v>
      </c>
      <c r="J21" s="3442" t="s">
        <v>199</v>
      </c>
      <c r="K21" s="3442" t="s">
        <v>274</v>
      </c>
      <c r="L21" s="3442" t="s">
        <v>199</v>
      </c>
      <c r="M21" s="3442">
        <v>312139206.39188522</v>
      </c>
      <c r="N21" s="3442" t="s">
        <v>199</v>
      </c>
      <c r="O21" s="3442" t="s">
        <v>199</v>
      </c>
      <c r="P21" s="3442" t="s">
        <v>199</v>
      </c>
      <c r="Q21" s="3442" t="s">
        <v>199</v>
      </c>
      <c r="R21" s="3445">
        <f t="shared" ref="R21:R46" si="8">IF(SUM(F21:Q21)=0,"NO",SUM(F21:Q21))</f>
        <v>355315099.40308577</v>
      </c>
      <c r="S21" s="2676"/>
      <c r="T21" s="2677"/>
      <c r="U21" s="3419">
        <f t="shared" si="4"/>
        <v>1.6504869646236452E-2</v>
      </c>
      <c r="V21" s="3417"/>
      <c r="W21" s="3418"/>
      <c r="X21" s="3282">
        <v>4.6023548425746359E-2</v>
      </c>
      <c r="Y21" s="3142"/>
      <c r="Z21" s="3420"/>
    </row>
    <row r="22" spans="2:26" ht="18" customHeight="1" x14ac:dyDescent="0.2">
      <c r="B22" s="2666" t="s">
        <v>965</v>
      </c>
      <c r="C22" s="3458">
        <f>Table3.A!C22</f>
        <v>24746.763999999999</v>
      </c>
      <c r="D22" s="3274">
        <v>35.782855799622467</v>
      </c>
      <c r="E22" s="3457">
        <f>'Table3.B(a)'!G22</f>
        <v>362.45016100070097</v>
      </c>
      <c r="F22" s="3446" t="s">
        <v>199</v>
      </c>
      <c r="G22" s="3442" t="s">
        <v>199</v>
      </c>
      <c r="H22" s="3446" t="s">
        <v>199</v>
      </c>
      <c r="I22" s="3446" t="s">
        <v>199</v>
      </c>
      <c r="J22" s="3446" t="s">
        <v>199</v>
      </c>
      <c r="K22" s="3446" t="s">
        <v>199</v>
      </c>
      <c r="L22" s="3446" t="s">
        <v>199</v>
      </c>
      <c r="M22" s="3446">
        <v>885509903.535743</v>
      </c>
      <c r="N22" s="3446" t="s">
        <v>199</v>
      </c>
      <c r="O22" s="3446" t="s">
        <v>199</v>
      </c>
      <c r="P22" s="3446" t="s">
        <v>199</v>
      </c>
      <c r="Q22" s="3446" t="s">
        <v>199</v>
      </c>
      <c r="R22" s="3445">
        <f t="shared" si="8"/>
        <v>885509903.535743</v>
      </c>
      <c r="S22" s="2676"/>
      <c r="T22" s="2677"/>
      <c r="U22" s="3419" t="str">
        <f>IF(SUM(X22)=0,"NA",X22*1000/C22)</f>
        <v>NA</v>
      </c>
      <c r="V22" s="3417"/>
      <c r="W22" s="3418"/>
      <c r="X22" s="3282" t="s">
        <v>205</v>
      </c>
      <c r="Y22" s="3142"/>
      <c r="Z22" s="3420"/>
    </row>
    <row r="23" spans="2:26" ht="18" customHeight="1" x14ac:dyDescent="0.2">
      <c r="B23" s="2666" t="s">
        <v>966</v>
      </c>
      <c r="C23" s="3458">
        <f>Table3.A!C23</f>
        <v>858.72699999999998</v>
      </c>
      <c r="D23" s="3274">
        <v>73.140363852051294</v>
      </c>
      <c r="E23" s="3457">
        <f>'Table3.B(a)'!G23</f>
        <v>530.79689268128584</v>
      </c>
      <c r="F23" s="3446">
        <v>1130537.4196609925</v>
      </c>
      <c r="G23" s="3442" t="s">
        <v>199</v>
      </c>
      <c r="H23" s="3446" t="s">
        <v>199</v>
      </c>
      <c r="I23" s="3446">
        <v>12772811.767329898</v>
      </c>
      <c r="J23" s="3446" t="s">
        <v>274</v>
      </c>
      <c r="K23" s="3446">
        <v>62807634.425610706</v>
      </c>
      <c r="L23" s="3446" t="s">
        <v>199</v>
      </c>
      <c r="M23" s="3446" t="s">
        <v>199</v>
      </c>
      <c r="N23" s="3446">
        <v>8988274.947380295</v>
      </c>
      <c r="O23" s="3446" t="s">
        <v>199</v>
      </c>
      <c r="P23" s="3446" t="s">
        <v>199</v>
      </c>
      <c r="Q23" s="3446" t="s">
        <v>199</v>
      </c>
      <c r="R23" s="3445">
        <f t="shared" si="8"/>
        <v>85699258.559981883</v>
      </c>
      <c r="S23" s="2676"/>
      <c r="T23" s="2677"/>
      <c r="U23" s="3419">
        <f t="shared" ref="U23:U30" si="9">IF(SUM(X23)=0,"NA",X23*1000/C23)</f>
        <v>0.90199768732358709</v>
      </c>
      <c r="V23" s="3417"/>
      <c r="W23" s="3418"/>
      <c r="X23" s="3282">
        <v>0.77456976804232192</v>
      </c>
      <c r="Y23" s="3142"/>
      <c r="Z23" s="3420"/>
    </row>
    <row r="24" spans="2:26" ht="18" customHeight="1" x14ac:dyDescent="0.2">
      <c r="B24" s="349" t="s">
        <v>1062</v>
      </c>
      <c r="C24" s="3281">
        <f>C25</f>
        <v>91026</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645503242.62876272</v>
      </c>
      <c r="N24" s="2668" t="str">
        <f t="shared" si="10"/>
        <v>NO</v>
      </c>
      <c r="O24" s="2668" t="str">
        <f t="shared" si="10"/>
        <v>NO</v>
      </c>
      <c r="P24" s="2668" t="str">
        <f t="shared" si="10"/>
        <v>NO</v>
      </c>
      <c r="Q24" s="2668" t="str">
        <f t="shared" si="10"/>
        <v>NO</v>
      </c>
      <c r="R24" s="3445">
        <f t="shared" si="8"/>
        <v>645503242.62876272</v>
      </c>
      <c r="S24" s="2676"/>
      <c r="T24" s="2677"/>
      <c r="U24" s="3419" t="str">
        <f t="shared" si="9"/>
        <v>NA</v>
      </c>
      <c r="V24" s="3417"/>
      <c r="W24" s="3418"/>
      <c r="X24" s="3281" t="str">
        <f t="shared" ref="X24:X25" si="11">X25</f>
        <v>NA</v>
      </c>
      <c r="Y24" s="3142"/>
      <c r="Z24" s="3420"/>
    </row>
    <row r="25" spans="2:26" ht="18" customHeight="1" x14ac:dyDescent="0.2">
      <c r="B25" s="348" t="s">
        <v>1063</v>
      </c>
      <c r="C25" s="3281">
        <f>C26</f>
        <v>91026</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645503242.62876272</v>
      </c>
      <c r="N25" s="2668" t="str">
        <f t="shared" si="10"/>
        <v>NO</v>
      </c>
      <c r="O25" s="2668" t="str">
        <f t="shared" si="10"/>
        <v>NO</v>
      </c>
      <c r="P25" s="2668" t="str">
        <f t="shared" si="10"/>
        <v>NO</v>
      </c>
      <c r="Q25" s="2668" t="str">
        <f t="shared" si="10"/>
        <v>NO</v>
      </c>
      <c r="R25" s="3445">
        <f t="shared" si="8"/>
        <v>645503242.62876272</v>
      </c>
      <c r="S25" s="2676"/>
      <c r="T25" s="2677"/>
      <c r="U25" s="3419" t="str">
        <f t="shared" si="9"/>
        <v>NA</v>
      </c>
      <c r="V25" s="3417"/>
      <c r="W25" s="3418"/>
      <c r="X25" s="3281" t="str">
        <f t="shared" si="11"/>
        <v>NA</v>
      </c>
      <c r="Y25" s="3142"/>
      <c r="Z25" s="3420"/>
    </row>
    <row r="26" spans="2:26" ht="18" customHeight="1" x14ac:dyDescent="0.2">
      <c r="B26" s="2661" t="s">
        <v>967</v>
      </c>
      <c r="C26" s="3458">
        <f>Table3.A!C26</f>
        <v>91026</v>
      </c>
      <c r="D26" s="3274">
        <v>7.0914161078017566</v>
      </c>
      <c r="E26" s="3457">
        <f>'Table3.B(a)'!G26</f>
        <v>45.16258892122918</v>
      </c>
      <c r="F26" s="3446" t="s">
        <v>199</v>
      </c>
      <c r="G26" s="3442" t="s">
        <v>199</v>
      </c>
      <c r="H26" s="3446" t="s">
        <v>199</v>
      </c>
      <c r="I26" s="3446" t="s">
        <v>199</v>
      </c>
      <c r="J26" s="3446" t="s">
        <v>199</v>
      </c>
      <c r="K26" s="3446" t="s">
        <v>199</v>
      </c>
      <c r="L26" s="3446" t="s">
        <v>199</v>
      </c>
      <c r="M26" s="3442">
        <v>645503242.62876272</v>
      </c>
      <c r="N26" s="3446" t="s">
        <v>199</v>
      </c>
      <c r="O26" s="3446" t="s">
        <v>199</v>
      </c>
      <c r="P26" s="3446" t="s">
        <v>199</v>
      </c>
      <c r="Q26" s="3446" t="s">
        <v>199</v>
      </c>
      <c r="R26" s="3445">
        <f t="shared" si="8"/>
        <v>645503242.62876272</v>
      </c>
      <c r="S26" s="2676"/>
      <c r="T26" s="2677"/>
      <c r="U26" s="3419" t="str">
        <f t="shared" si="9"/>
        <v>NA</v>
      </c>
      <c r="V26" s="3417"/>
      <c r="W26" s="3418"/>
      <c r="X26" s="3282" t="s">
        <v>205</v>
      </c>
      <c r="Y26" s="3142"/>
      <c r="Z26" s="3420"/>
    </row>
    <row r="27" spans="2:26" ht="18" customHeight="1" x14ac:dyDescent="0.2">
      <c r="B27" s="349" t="s">
        <v>1064</v>
      </c>
      <c r="C27" s="3281">
        <f>C28</f>
        <v>2732.9560000000001</v>
      </c>
      <c r="D27" s="3455"/>
      <c r="E27" s="3455"/>
      <c r="F27" s="2668">
        <f>F28</f>
        <v>28097404.623587094</v>
      </c>
      <c r="G27" s="2668" t="str">
        <f t="shared" ref="G27:G28" si="12">G28</f>
        <v>NO</v>
      </c>
      <c r="H27" s="2668" t="str">
        <f t="shared" ref="H27:H28" si="13">H28</f>
        <v>NO</v>
      </c>
      <c r="I27" s="2668" t="str">
        <f t="shared" ref="I27:I28" si="14">I28</f>
        <v>IE</v>
      </c>
      <c r="J27" s="2668" t="str">
        <f t="shared" ref="J27:J28" si="15">J28</f>
        <v>IE</v>
      </c>
      <c r="K27" s="2668">
        <f t="shared" ref="K27:K28" si="16">K28</f>
        <v>10771990.159540609</v>
      </c>
      <c r="L27" s="2668" t="str">
        <f t="shared" ref="L27:L28" si="17">L28</f>
        <v>IE</v>
      </c>
      <c r="M27" s="2668" t="str">
        <f t="shared" ref="M27:M28" si="18">M28</f>
        <v>NO</v>
      </c>
      <c r="N27" s="2668" t="str">
        <f t="shared" ref="N27:N28" si="19">N28</f>
        <v>NO</v>
      </c>
      <c r="O27" s="2668">
        <f t="shared" ref="O27:O28" si="20">O28</f>
        <v>337928.28503119998</v>
      </c>
      <c r="P27" s="2668" t="str">
        <f t="shared" ref="P27:P28" si="21">P28</f>
        <v>NO</v>
      </c>
      <c r="Q27" s="2668">
        <f t="shared" ref="Q27:Q28" si="22">Q28</f>
        <v>9786599.6883652955</v>
      </c>
      <c r="R27" s="3445">
        <f t="shared" si="8"/>
        <v>48993922.756524198</v>
      </c>
      <c r="S27" s="2676"/>
      <c r="T27" s="2677"/>
      <c r="U27" s="3419">
        <f t="shared" si="9"/>
        <v>0.10223979477522646</v>
      </c>
      <c r="V27" s="3417"/>
      <c r="W27" s="3418"/>
      <c r="X27" s="3281">
        <f t="shared" ref="X27:X28" si="23">X28</f>
        <v>0.27941686056972381</v>
      </c>
      <c r="Y27" s="3142"/>
      <c r="Z27" s="3420"/>
    </row>
    <row r="28" spans="2:26" ht="18" customHeight="1" x14ac:dyDescent="0.2">
      <c r="B28" s="348" t="s">
        <v>1065</v>
      </c>
      <c r="C28" s="3281">
        <f>C29</f>
        <v>2732.9560000000001</v>
      </c>
      <c r="D28" s="3455"/>
      <c r="E28" s="3455"/>
      <c r="F28" s="2668">
        <f>F29</f>
        <v>28097404.623587094</v>
      </c>
      <c r="G28" s="2668" t="str">
        <f t="shared" si="12"/>
        <v>NO</v>
      </c>
      <c r="H28" s="2668" t="str">
        <f t="shared" si="13"/>
        <v>NO</v>
      </c>
      <c r="I28" s="2668" t="str">
        <f t="shared" si="14"/>
        <v>IE</v>
      </c>
      <c r="J28" s="2668" t="str">
        <f t="shared" si="15"/>
        <v>IE</v>
      </c>
      <c r="K28" s="2668">
        <f t="shared" si="16"/>
        <v>10771990.159540609</v>
      </c>
      <c r="L28" s="2668" t="str">
        <f t="shared" si="17"/>
        <v>IE</v>
      </c>
      <c r="M28" s="2668" t="str">
        <f t="shared" si="18"/>
        <v>NO</v>
      </c>
      <c r="N28" s="2668" t="str">
        <f t="shared" si="19"/>
        <v>NO</v>
      </c>
      <c r="O28" s="2668">
        <f t="shared" si="20"/>
        <v>337928.28503119998</v>
      </c>
      <c r="P28" s="2668" t="str">
        <f t="shared" si="21"/>
        <v>NO</v>
      </c>
      <c r="Q28" s="2668">
        <f t="shared" si="22"/>
        <v>9786599.6883652955</v>
      </c>
      <c r="R28" s="3445">
        <f t="shared" si="8"/>
        <v>48993922.756524198</v>
      </c>
      <c r="S28" s="2676"/>
      <c r="T28" s="2677"/>
      <c r="U28" s="3419">
        <f t="shared" si="9"/>
        <v>0.10223979477522646</v>
      </c>
      <c r="V28" s="3417"/>
      <c r="W28" s="3418"/>
      <c r="X28" s="3281">
        <f t="shared" si="23"/>
        <v>0.27941686056972381</v>
      </c>
      <c r="Y28" s="3142"/>
      <c r="Z28" s="3420"/>
    </row>
    <row r="29" spans="2:26" ht="18" customHeight="1" x14ac:dyDescent="0.2">
      <c r="B29" s="2661" t="s">
        <v>968</v>
      </c>
      <c r="C29" s="3458">
        <f>Table3.A!C29</f>
        <v>2732.9560000000001</v>
      </c>
      <c r="D29" s="3274">
        <v>14.871718083045389</v>
      </c>
      <c r="E29" s="3457">
        <f>'Table3.B(a)'!G29</f>
        <v>58.06815462776278</v>
      </c>
      <c r="F29" s="3442">
        <v>28097404.623587094</v>
      </c>
      <c r="G29" s="3442" t="s">
        <v>199</v>
      </c>
      <c r="H29" s="3442" t="s">
        <v>199</v>
      </c>
      <c r="I29" s="3442" t="s">
        <v>274</v>
      </c>
      <c r="J29" s="3442" t="s">
        <v>274</v>
      </c>
      <c r="K29" s="3442">
        <v>10771990.159540609</v>
      </c>
      <c r="L29" s="3442" t="s">
        <v>274</v>
      </c>
      <c r="M29" s="3442" t="s">
        <v>199</v>
      </c>
      <c r="N29" s="3442" t="s">
        <v>199</v>
      </c>
      <c r="O29" s="3442">
        <v>337928.28503119998</v>
      </c>
      <c r="P29" s="3442" t="s">
        <v>199</v>
      </c>
      <c r="Q29" s="3442">
        <v>9786599.6883652955</v>
      </c>
      <c r="R29" s="3445">
        <f t="shared" si="8"/>
        <v>48993922.756524198</v>
      </c>
      <c r="S29" s="2676"/>
      <c r="T29" s="2677"/>
      <c r="U29" s="3419">
        <f t="shared" si="9"/>
        <v>0.10223979477522646</v>
      </c>
      <c r="V29" s="3417"/>
      <c r="W29" s="3418"/>
      <c r="X29" s="3282">
        <v>0.27941686056972381</v>
      </c>
      <c r="Y29" s="3142"/>
      <c r="Z29" s="3420"/>
    </row>
    <row r="30" spans="2:26" ht="18" customHeight="1" x14ac:dyDescent="0.2">
      <c r="B30" s="349" t="s">
        <v>1116</v>
      </c>
      <c r="C30" s="3281">
        <f>IF(SUM(C32:C39)=0,"NO",SUM(C32:C39))</f>
        <v>70240.277000000002</v>
      </c>
      <c r="D30" s="3455"/>
      <c r="E30" s="3455"/>
      <c r="F30" s="2668" t="str">
        <f>IF(SUM(F32:F39)=0,"NO",SUM(F32:F39))</f>
        <v>NO</v>
      </c>
      <c r="G30" s="2668" t="str">
        <f t="shared" ref="G30:Q30" si="24">IF(SUM(G32:G39)=0,"NO",SUM(G32:G39))</f>
        <v>NO</v>
      </c>
      <c r="H30" s="2668" t="str">
        <f t="shared" si="24"/>
        <v>NO</v>
      </c>
      <c r="I30" s="2668">
        <f t="shared" si="24"/>
        <v>17377391.155548207</v>
      </c>
      <c r="J30" s="2668" t="str">
        <f t="shared" si="24"/>
        <v>NO</v>
      </c>
      <c r="K30" s="2668" t="str">
        <f t="shared" si="24"/>
        <v>NO</v>
      </c>
      <c r="L30" s="2668" t="str">
        <f t="shared" si="24"/>
        <v>NO</v>
      </c>
      <c r="M30" s="2668">
        <f t="shared" si="24"/>
        <v>16073295.411164539</v>
      </c>
      <c r="N30" s="2668">
        <f t="shared" si="24"/>
        <v>7117799.9743453125</v>
      </c>
      <c r="O30" s="2668">
        <f t="shared" si="24"/>
        <v>118569.56205459347</v>
      </c>
      <c r="P30" s="2668" t="str">
        <f t="shared" si="24"/>
        <v>NO</v>
      </c>
      <c r="Q30" s="2668">
        <f t="shared" si="24"/>
        <v>53173967.852873147</v>
      </c>
      <c r="R30" s="3445">
        <f t="shared" si="8"/>
        <v>93861023.955985799</v>
      </c>
      <c r="S30" s="2676"/>
      <c r="T30" s="2677"/>
      <c r="U30" s="3419">
        <f t="shared" si="9"/>
        <v>4.5467205911279094E-3</v>
      </c>
      <c r="V30" s="3417"/>
      <c r="W30" s="3418"/>
      <c r="X30" s="3281">
        <f t="shared" ref="X30" si="25">IF(SUM(X32:X39)=0,"NO",SUM(X32:X39))</f>
        <v>0.31936291376242809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3.2469999999999999</v>
      </c>
      <c r="D32" s="3274">
        <v>39.5</v>
      </c>
      <c r="E32" s="3457" t="str">
        <f>'Table3.B(a)'!G32</f>
        <v>NA</v>
      </c>
      <c r="F32" s="3442" t="s">
        <v>199</v>
      </c>
      <c r="G32" s="3442" t="s">
        <v>199</v>
      </c>
      <c r="H32" s="3442" t="s">
        <v>199</v>
      </c>
      <c r="I32" s="3442" t="s">
        <v>199</v>
      </c>
      <c r="J32" s="3442" t="s">
        <v>199</v>
      </c>
      <c r="K32" s="3442" t="s">
        <v>199</v>
      </c>
      <c r="L32" s="3442" t="s">
        <v>199</v>
      </c>
      <c r="M32" s="3442">
        <v>128246.625</v>
      </c>
      <c r="N32" s="3442" t="s">
        <v>199</v>
      </c>
      <c r="O32" s="3442" t="s">
        <v>199</v>
      </c>
      <c r="P32" s="3442" t="s">
        <v>199</v>
      </c>
      <c r="Q32" s="3442" t="s">
        <v>199</v>
      </c>
      <c r="R32" s="3445">
        <f t="shared" si="8"/>
        <v>128246.625</v>
      </c>
      <c r="S32" s="2676"/>
      <c r="T32" s="2677"/>
      <c r="U32" s="3419" t="str">
        <f>IF(SUM(X32)=0,"NA",X32*1000/C32)</f>
        <v>NA</v>
      </c>
      <c r="V32" s="3417"/>
      <c r="W32" s="3418"/>
      <c r="X32" s="3282" t="s">
        <v>205</v>
      </c>
      <c r="Y32" s="3142"/>
      <c r="Z32" s="3420"/>
    </row>
    <row r="33" spans="2:26" ht="18" customHeight="1" x14ac:dyDescent="0.2">
      <c r="B33" s="348" t="s">
        <v>1068</v>
      </c>
      <c r="C33" s="3458">
        <f>Table3.A!C33</f>
        <v>1.8129999999999999</v>
      </c>
      <c r="D33" s="3274">
        <v>39.5</v>
      </c>
      <c r="E33" s="3457" t="str">
        <f>'Table3.B(a)'!G33</f>
        <v>NA</v>
      </c>
      <c r="F33" s="3442" t="s">
        <v>199</v>
      </c>
      <c r="G33" s="3442" t="s">
        <v>199</v>
      </c>
      <c r="H33" s="3442" t="s">
        <v>199</v>
      </c>
      <c r="I33" s="3442" t="s">
        <v>199</v>
      </c>
      <c r="J33" s="3442" t="s">
        <v>199</v>
      </c>
      <c r="K33" s="3442" t="s">
        <v>199</v>
      </c>
      <c r="L33" s="3442" t="s">
        <v>199</v>
      </c>
      <c r="M33" s="3442">
        <v>71627.651234240533</v>
      </c>
      <c r="N33" s="3442" t="s">
        <v>199</v>
      </c>
      <c r="O33" s="3442" t="s">
        <v>199</v>
      </c>
      <c r="P33" s="3442" t="s">
        <v>199</v>
      </c>
      <c r="Q33" s="3442" t="s">
        <v>199</v>
      </c>
      <c r="R33" s="3445">
        <f t="shared" si="8"/>
        <v>71627.651234240533</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68.662000000000006</v>
      </c>
      <c r="D34" s="3274">
        <v>13.2</v>
      </c>
      <c r="E34" s="3457" t="str">
        <f>'Table3.B(a)'!G34</f>
        <v>NA</v>
      </c>
      <c r="F34" s="3442" t="s">
        <v>199</v>
      </c>
      <c r="G34" s="3442" t="s">
        <v>199</v>
      </c>
      <c r="H34" s="3442" t="s">
        <v>199</v>
      </c>
      <c r="I34" s="3442" t="s">
        <v>199</v>
      </c>
      <c r="J34" s="3442" t="s">
        <v>199</v>
      </c>
      <c r="K34" s="3442" t="s">
        <v>199</v>
      </c>
      <c r="L34" s="3442" t="s">
        <v>199</v>
      </c>
      <c r="M34" s="3442">
        <v>906341.43599999999</v>
      </c>
      <c r="N34" s="3442" t="s">
        <v>199</v>
      </c>
      <c r="O34" s="3442" t="s">
        <v>199</v>
      </c>
      <c r="P34" s="3442" t="s">
        <v>199</v>
      </c>
      <c r="Q34" s="3442" t="s">
        <v>199</v>
      </c>
      <c r="R34" s="3445">
        <f t="shared" si="8"/>
        <v>906341.43599999999</v>
      </c>
      <c r="S34" s="2676"/>
      <c r="T34" s="2677"/>
      <c r="U34" s="3419" t="str">
        <f t="shared" si="26"/>
        <v>NA</v>
      </c>
      <c r="V34" s="3417"/>
      <c r="W34" s="3418"/>
      <c r="X34" s="3282" t="s">
        <v>205</v>
      </c>
      <c r="Y34" s="3142"/>
      <c r="Z34" s="3420"/>
    </row>
    <row r="35" spans="2:26" ht="18" customHeight="1" x14ac:dyDescent="0.2">
      <c r="B35" s="348" t="s">
        <v>1070</v>
      </c>
      <c r="C35" s="3458">
        <f>Table3.A!C35</f>
        <v>517.66800000000001</v>
      </c>
      <c r="D35" s="3274">
        <v>7</v>
      </c>
      <c r="E35" s="3457" t="str">
        <f>'Table3.B(a)'!G35</f>
        <v>NA</v>
      </c>
      <c r="F35" s="3442" t="s">
        <v>199</v>
      </c>
      <c r="G35" s="3442" t="s">
        <v>199</v>
      </c>
      <c r="H35" s="3442" t="s">
        <v>199</v>
      </c>
      <c r="I35" s="3442" t="s">
        <v>199</v>
      </c>
      <c r="J35" s="3442" t="s">
        <v>199</v>
      </c>
      <c r="K35" s="3442" t="s">
        <v>199</v>
      </c>
      <c r="L35" s="3442" t="s">
        <v>199</v>
      </c>
      <c r="M35" s="3442">
        <v>3623679.0800000005</v>
      </c>
      <c r="N35" s="3442" t="s">
        <v>199</v>
      </c>
      <c r="O35" s="3442" t="s">
        <v>199</v>
      </c>
      <c r="P35" s="3442" t="s">
        <v>199</v>
      </c>
      <c r="Q35" s="3442" t="s">
        <v>199</v>
      </c>
      <c r="R35" s="3445">
        <f t="shared" si="8"/>
        <v>3623679.0800000005</v>
      </c>
      <c r="S35" s="2676"/>
      <c r="T35" s="2677"/>
      <c r="U35" s="3419" t="str">
        <f t="shared" si="26"/>
        <v>NA</v>
      </c>
      <c r="V35" s="3417"/>
      <c r="W35" s="3418"/>
      <c r="X35" s="3282" t="s">
        <v>205</v>
      </c>
      <c r="Y35" s="3142"/>
      <c r="Z35" s="3420"/>
    </row>
    <row r="36" spans="2:26" ht="18" customHeight="1" x14ac:dyDescent="0.2">
      <c r="B36" s="348" t="s">
        <v>1071</v>
      </c>
      <c r="C36" s="3458">
        <f>Table3.A!C36</f>
        <v>257.12299999999999</v>
      </c>
      <c r="D36" s="3274">
        <v>39.5</v>
      </c>
      <c r="E36" s="3457" t="str">
        <f>'Table3.B(a)'!G36</f>
        <v>NA</v>
      </c>
      <c r="F36" s="3442" t="s">
        <v>199</v>
      </c>
      <c r="G36" s="3442" t="s">
        <v>199</v>
      </c>
      <c r="H36" s="3442" t="s">
        <v>199</v>
      </c>
      <c r="I36" s="3442" t="s">
        <v>199</v>
      </c>
      <c r="J36" s="3442" t="s">
        <v>199</v>
      </c>
      <c r="K36" s="3442" t="s">
        <v>199</v>
      </c>
      <c r="L36" s="3442" t="s">
        <v>199</v>
      </c>
      <c r="M36" s="3442">
        <v>10156360.079999998</v>
      </c>
      <c r="N36" s="3442" t="s">
        <v>199</v>
      </c>
      <c r="O36" s="3442" t="s">
        <v>199</v>
      </c>
      <c r="P36" s="3442" t="s">
        <v>199</v>
      </c>
      <c r="Q36" s="3442" t="s">
        <v>199</v>
      </c>
      <c r="R36" s="3445">
        <f t="shared" si="8"/>
        <v>10156360.079999998</v>
      </c>
      <c r="S36" s="2676"/>
      <c r="T36" s="2677"/>
      <c r="U36" s="3419" t="str">
        <f t="shared" si="26"/>
        <v>NA</v>
      </c>
      <c r="V36" s="3417"/>
      <c r="W36" s="3418"/>
      <c r="X36" s="3282" t="s">
        <v>205</v>
      </c>
      <c r="Y36" s="3142"/>
      <c r="Z36" s="3420"/>
    </row>
    <row r="37" spans="2:26" ht="18" customHeight="1" x14ac:dyDescent="0.2">
      <c r="B37" s="348" t="s">
        <v>1117</v>
      </c>
      <c r="C37" s="3458">
        <f>Table3.A!C37</f>
        <v>0.35099999999999998</v>
      </c>
      <c r="D37" s="3274">
        <v>13.2</v>
      </c>
      <c r="E37" s="3457" t="str">
        <f>'Table3.B(a)'!G37</f>
        <v>NA</v>
      </c>
      <c r="F37" s="3442" t="s">
        <v>199</v>
      </c>
      <c r="G37" s="3442" t="s">
        <v>199</v>
      </c>
      <c r="H37" s="3442" t="s">
        <v>199</v>
      </c>
      <c r="I37" s="3442" t="s">
        <v>199</v>
      </c>
      <c r="J37" s="3442" t="s">
        <v>199</v>
      </c>
      <c r="K37" s="3442" t="s">
        <v>199</v>
      </c>
      <c r="L37" s="3442" t="s">
        <v>199</v>
      </c>
      <c r="M37" s="3442">
        <v>4631.3785760352066</v>
      </c>
      <c r="N37" s="3442" t="s">
        <v>199</v>
      </c>
      <c r="O37" s="3442" t="s">
        <v>199</v>
      </c>
      <c r="P37" s="3442" t="s">
        <v>199</v>
      </c>
      <c r="Q37" s="3442" t="s">
        <v>199</v>
      </c>
      <c r="R37" s="3445">
        <f t="shared" si="8"/>
        <v>4631.3785760352066</v>
      </c>
      <c r="S37" s="2676"/>
      <c r="T37" s="2677"/>
      <c r="U37" s="3419" t="str">
        <f t="shared" si="26"/>
        <v>NA</v>
      </c>
      <c r="V37" s="3417"/>
      <c r="W37" s="3418"/>
      <c r="X37" s="3282" t="s">
        <v>205</v>
      </c>
      <c r="Y37" s="3142"/>
      <c r="Z37" s="3420"/>
    </row>
    <row r="38" spans="2:26" ht="18" customHeight="1" x14ac:dyDescent="0.2">
      <c r="B38" s="348" t="s">
        <v>1073</v>
      </c>
      <c r="C38" s="3458">
        <f>Table3.A!C38</f>
        <v>69284.820000000007</v>
      </c>
      <c r="D38" s="3274">
        <v>0.65818520304844996</v>
      </c>
      <c r="E38" s="3457" t="str">
        <f>'Table3.B(a)'!G38</f>
        <v>NA</v>
      </c>
      <c r="F38" s="3442" t="s">
        <v>199</v>
      </c>
      <c r="G38" s="3442" t="s">
        <v>199</v>
      </c>
      <c r="H38" s="3442" t="s">
        <v>199</v>
      </c>
      <c r="I38" s="3442">
        <v>17377391.155548207</v>
      </c>
      <c r="J38" s="3442" t="s">
        <v>274</v>
      </c>
      <c r="K38" s="3442" t="s">
        <v>274</v>
      </c>
      <c r="L38" s="3442" t="s">
        <v>274</v>
      </c>
      <c r="M38" s="3442">
        <v>436253.6229417703</v>
      </c>
      <c r="N38" s="3442">
        <v>7117799.9743453125</v>
      </c>
      <c r="O38" s="3442">
        <v>118569.56205459347</v>
      </c>
      <c r="P38" s="3442" t="s">
        <v>199</v>
      </c>
      <c r="Q38" s="3442">
        <v>53173967.852873147</v>
      </c>
      <c r="R38" s="3445">
        <f t="shared" si="8"/>
        <v>78223982.167763025</v>
      </c>
      <c r="S38" s="2676"/>
      <c r="T38" s="2677"/>
      <c r="U38" s="3419">
        <f t="shared" si="26"/>
        <v>4.6094211367284791E-3</v>
      </c>
      <c r="V38" s="3417"/>
      <c r="W38" s="3418"/>
      <c r="X38" s="3282">
        <v>0.31936291376242809</v>
      </c>
      <c r="Y38" s="3142"/>
      <c r="Z38" s="3420"/>
    </row>
    <row r="39" spans="2:26" ht="18" customHeight="1" x14ac:dyDescent="0.2">
      <c r="B39" s="348" t="s">
        <v>1074</v>
      </c>
      <c r="C39" s="3281">
        <f>IF(SUM(C41:C45)=0,"NO",SUM(C41:C45))</f>
        <v>106.593</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746155.5374124943</v>
      </c>
      <c r="N39" s="2668" t="str">
        <f t="shared" si="27"/>
        <v>NO</v>
      </c>
      <c r="O39" s="2668" t="str">
        <f t="shared" si="27"/>
        <v>NO</v>
      </c>
      <c r="P39" s="2668" t="str">
        <f t="shared" si="27"/>
        <v>NO</v>
      </c>
      <c r="Q39" s="2668" t="str">
        <f t="shared" si="27"/>
        <v>NO</v>
      </c>
      <c r="R39" s="3445">
        <f t="shared" si="8"/>
        <v>746155.5374124943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32.935000000000002</v>
      </c>
      <c r="D43" s="3274">
        <v>7</v>
      </c>
      <c r="E43" s="3457" t="str">
        <f>'Table3.B(a)'!G43</f>
        <v>NA</v>
      </c>
      <c r="F43" s="3442" t="s">
        <v>199</v>
      </c>
      <c r="G43" s="3442" t="s">
        <v>199</v>
      </c>
      <c r="H43" s="3442" t="s">
        <v>199</v>
      </c>
      <c r="I43" s="3442" t="s">
        <v>199</v>
      </c>
      <c r="J43" s="3442" t="s">
        <v>199</v>
      </c>
      <c r="K43" s="3442" t="s">
        <v>199</v>
      </c>
      <c r="L43" s="3442" t="s">
        <v>199</v>
      </c>
      <c r="M43" s="3442">
        <v>230546.24369747899</v>
      </c>
      <c r="N43" s="3442" t="s">
        <v>199</v>
      </c>
      <c r="O43" s="3442" t="s">
        <v>199</v>
      </c>
      <c r="P43" s="3442" t="s">
        <v>199</v>
      </c>
      <c r="Q43" s="3442" t="s">
        <v>199</v>
      </c>
      <c r="R43" s="3445">
        <f t="shared" si="8"/>
        <v>230546.24369747899</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73.658000000000001</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515609.29371501529</v>
      </c>
      <c r="N45" s="2668" t="str">
        <f t="shared" si="28"/>
        <v>NO</v>
      </c>
      <c r="O45" s="2668" t="str">
        <f t="shared" si="28"/>
        <v>NO</v>
      </c>
      <c r="P45" s="2668" t="str">
        <f t="shared" si="28"/>
        <v>NO</v>
      </c>
      <c r="Q45" s="2668" t="str">
        <f t="shared" si="28"/>
        <v>NO</v>
      </c>
      <c r="R45" s="3445">
        <f t="shared" si="8"/>
        <v>515609.29371501529</v>
      </c>
      <c r="S45" s="2676"/>
      <c r="T45" s="2677"/>
      <c r="U45" s="3419" t="str">
        <f t="shared" si="26"/>
        <v>NA</v>
      </c>
      <c r="V45" s="3417"/>
      <c r="W45" s="3418"/>
      <c r="X45" s="3281" t="str">
        <f>X46</f>
        <v>NA</v>
      </c>
      <c r="Y45" s="3142"/>
      <c r="Z45" s="3420"/>
    </row>
    <row r="46" spans="2:26" ht="18" customHeight="1" x14ac:dyDescent="0.2">
      <c r="B46" s="2665" t="s">
        <v>1013</v>
      </c>
      <c r="C46" s="3458">
        <f>Table3.A!C46</f>
        <v>73.658000000000001</v>
      </c>
      <c r="D46" s="3274">
        <v>7</v>
      </c>
      <c r="E46" s="3457" t="str">
        <f>'Table3.B(a)'!G46</f>
        <v>NA</v>
      </c>
      <c r="F46" s="3442" t="s">
        <v>199</v>
      </c>
      <c r="G46" s="3442" t="s">
        <v>199</v>
      </c>
      <c r="H46" s="3442" t="s">
        <v>199</v>
      </c>
      <c r="I46" s="3442" t="s">
        <v>199</v>
      </c>
      <c r="J46" s="3442" t="s">
        <v>199</v>
      </c>
      <c r="K46" s="3442" t="s">
        <v>199</v>
      </c>
      <c r="L46" s="3442" t="s">
        <v>199</v>
      </c>
      <c r="M46" s="3442">
        <v>515609.29371501529</v>
      </c>
      <c r="N46" s="3442" t="s">
        <v>199</v>
      </c>
      <c r="O46" s="3442" t="s">
        <v>199</v>
      </c>
      <c r="P46" s="3442" t="s">
        <v>199</v>
      </c>
      <c r="Q46" s="3442" t="s">
        <v>199</v>
      </c>
      <c r="R46" s="3445">
        <f t="shared" si="8"/>
        <v>515609.29371501529</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94153874.539563626</v>
      </c>
      <c r="T47" s="3410">
        <v>302698.34869038395</v>
      </c>
      <c r="U47" s="3429"/>
      <c r="V47" s="3430">
        <f>IF(SUM(S47)=0,"NA",Y47*1000000/S47)</f>
        <v>6.2869935952502565E-3</v>
      </c>
      <c r="W47" s="3431">
        <f>IF(SUM(T47)=0,"NA",Z47*1000000/T47)</f>
        <v>1.7285714285714283E-2</v>
      </c>
      <c r="X47" s="3283"/>
      <c r="Y47" s="3287">
        <v>0.59194480619823264</v>
      </c>
      <c r="Z47" s="3288">
        <v>5.232357170219493E-3</v>
      </c>
    </row>
    <row r="48" spans="2:26" ht="18" customHeight="1" x14ac:dyDescent="0.2">
      <c r="B48" s="356" t="s">
        <v>1119</v>
      </c>
      <c r="C48" s="357"/>
      <c r="D48" s="357"/>
      <c r="E48" s="357"/>
      <c r="F48" s="3448">
        <f>IF(SUM(F30,F27,F24,F10)=0,"NO",SUM(F30,F27,F24,F10))</f>
        <v>57643471.10551399</v>
      </c>
      <c r="G48" s="3448" t="str">
        <f t="shared" ref="G48:Q48" si="29">IF(SUM(G30,G27,G24,G10)=0,"NO",SUM(G30,G27,G24,G10))</f>
        <v>NO</v>
      </c>
      <c r="H48" s="3448">
        <f t="shared" si="29"/>
        <v>8902821.4220214561</v>
      </c>
      <c r="I48" s="3448">
        <f t="shared" si="29"/>
        <v>36007745.449791282</v>
      </c>
      <c r="J48" s="3448" t="str">
        <f t="shared" si="29"/>
        <v>NO</v>
      </c>
      <c r="K48" s="3448">
        <f t="shared" si="29"/>
        <v>73579624.585151315</v>
      </c>
      <c r="L48" s="3448" t="str">
        <f t="shared" si="29"/>
        <v>NO</v>
      </c>
      <c r="M48" s="3374"/>
      <c r="N48" s="3448">
        <f t="shared" si="29"/>
        <v>16106074.921725608</v>
      </c>
      <c r="O48" s="3448">
        <f t="shared" si="29"/>
        <v>456497.84708579344</v>
      </c>
      <c r="P48" s="3374"/>
      <c r="Q48" s="3448">
        <f t="shared" si="29"/>
        <v>62960567.541238442</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2.6330423823422867E-2</v>
      </c>
      <c r="J49" s="3449" t="str">
        <f t="shared" si="30"/>
        <v>NA</v>
      </c>
      <c r="K49" s="3449" t="str">
        <f t="shared" si="30"/>
        <v>NA</v>
      </c>
      <c r="L49" s="3449" t="str">
        <f t="shared" si="30"/>
        <v>NA</v>
      </c>
      <c r="M49" s="87"/>
      <c r="N49" s="3449">
        <f t="shared" si="30"/>
        <v>1.5714285714285715E-2</v>
      </c>
      <c r="O49" s="3449" t="str">
        <f t="shared" si="30"/>
        <v>NA</v>
      </c>
      <c r="P49" s="87"/>
      <c r="Q49" s="3449">
        <f t="shared" si="30"/>
        <v>3.4653186533411874E-3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0.94809919861893066</v>
      </c>
      <c r="J50" s="3450" t="s">
        <v>274</v>
      </c>
      <c r="K50" s="3450" t="s">
        <v>274</v>
      </c>
      <c r="L50" s="3450" t="s">
        <v>274</v>
      </c>
      <c r="M50" s="3437"/>
      <c r="N50" s="3451">
        <v>0.25309546305568814</v>
      </c>
      <c r="O50" s="3451" t="s">
        <v>205</v>
      </c>
      <c r="P50" s="3437"/>
      <c r="Q50" s="3451">
        <v>0.21817842912560129</v>
      </c>
      <c r="R50" s="1311"/>
      <c r="S50" s="1312"/>
      <c r="T50" s="1313"/>
      <c r="U50" s="3436">
        <f>X50*1000/SUM(C10,C24,C27,C30)</f>
        <v>7.377459490033972E-3</v>
      </c>
      <c r="V50" s="3437"/>
      <c r="W50" s="3438"/>
      <c r="X50" s="3286">
        <f>SUM(X10,X24,X27,X30)</f>
        <v>1.4193730908002202</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16.217770975000001</v>
      </c>
    </row>
    <row r="11" spans="1:9" ht="18" customHeight="1" x14ac:dyDescent="0.2">
      <c r="B11" s="432" t="s">
        <v>1133</v>
      </c>
      <c r="C11" s="4462">
        <v>1.0206275</v>
      </c>
      <c r="D11" s="243" t="s">
        <v>199</v>
      </c>
      <c r="E11" s="283" t="s">
        <v>199</v>
      </c>
      <c r="F11" s="2330">
        <f>IF(SUM(C11)=0,"NA",G11/C11)</f>
        <v>15.89</v>
      </c>
      <c r="G11" s="3072">
        <v>16.217770975000001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1.0206275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27.979838381645898</v>
      </c>
      <c r="H10" s="395" t="s">
        <v>1157</v>
      </c>
      <c r="I10" s="396" t="s">
        <v>1158</v>
      </c>
      <c r="J10" s="397">
        <v>0.21</v>
      </c>
    </row>
    <row r="11" spans="2:10" ht="24" customHeight="1" x14ac:dyDescent="0.2">
      <c r="B11" s="2453" t="s">
        <v>1159</v>
      </c>
      <c r="C11" s="2454" t="s">
        <v>1160</v>
      </c>
      <c r="D11" s="3639">
        <v>858102.99160249985</v>
      </c>
      <c r="E11" s="3634">
        <f>IF(SUM(D11)=0,"NA",F11*1000/D11/(44/28))</f>
        <v>5.3959353041944918E-3</v>
      </c>
      <c r="F11" s="3390">
        <v>7.2761357853216033</v>
      </c>
      <c r="H11" s="395" t="s">
        <v>1161</v>
      </c>
      <c r="I11" s="396" t="s">
        <v>1162</v>
      </c>
      <c r="J11" s="397">
        <v>0.24</v>
      </c>
    </row>
    <row r="12" spans="2:10" ht="24" customHeight="1" x14ac:dyDescent="0.2">
      <c r="B12" s="2453" t="s">
        <v>1163</v>
      </c>
      <c r="C12" s="2455" t="s">
        <v>1164</v>
      </c>
      <c r="D12" s="3640">
        <f>IF(SUM(D13:D15)=0,"NO",SUM(D13:D15))</f>
        <v>102260.25046221344</v>
      </c>
      <c r="E12" s="3635">
        <f t="shared" ref="E12:E23" si="0">IF(SUM(D12)=0,"NA",F12*1000/D12/(44/28))</f>
        <v>8.2266410026209449E-3</v>
      </c>
      <c r="F12" s="3391">
        <f>IF(SUM(F13:F15)=0,"NO",SUM(F13:F15))</f>
        <v>1.3219774376140083</v>
      </c>
      <c r="H12" s="4233" t="s">
        <v>1165</v>
      </c>
      <c r="I12" s="4234"/>
      <c r="J12" s="4235"/>
    </row>
    <row r="13" spans="2:10" ht="24" customHeight="1" thickBot="1" x14ac:dyDescent="0.25">
      <c r="B13" s="2453" t="s">
        <v>1166</v>
      </c>
      <c r="C13" s="2454" t="s">
        <v>1167</v>
      </c>
      <c r="D13" s="3641">
        <v>95144.803147168961</v>
      </c>
      <c r="E13" s="3634">
        <f t="shared" si="0"/>
        <v>8.1688049987673813E-3</v>
      </c>
      <c r="F13" s="3390">
        <v>1.2213446827298078</v>
      </c>
      <c r="H13" s="4236"/>
      <c r="I13" s="4237"/>
      <c r="J13" s="4238"/>
    </row>
    <row r="14" spans="2:10" ht="24" customHeight="1" x14ac:dyDescent="0.2">
      <c r="B14" s="2453" t="s">
        <v>1168</v>
      </c>
      <c r="C14" s="2454" t="s">
        <v>1169</v>
      </c>
      <c r="D14" s="3641">
        <v>7115.4473150444883</v>
      </c>
      <c r="E14" s="3634">
        <f t="shared" si="0"/>
        <v>8.9999999999999976E-3</v>
      </c>
      <c r="F14" s="3390">
        <v>0.10063275488420058</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1859225.6479675556</v>
      </c>
      <c r="E16" s="3634">
        <f t="shared" si="0"/>
        <v>3.9999999999999983E-3</v>
      </c>
      <c r="F16" s="3390">
        <v>11.686561215796059</v>
      </c>
    </row>
    <row r="17" spans="2:11" ht="24" customHeight="1" x14ac:dyDescent="0.2">
      <c r="B17" s="2453" t="s">
        <v>1176</v>
      </c>
      <c r="C17" s="2454" t="s">
        <v>1177</v>
      </c>
      <c r="D17" s="3641">
        <v>816610.94492302625</v>
      </c>
      <c r="E17" s="3634">
        <f t="shared" si="0"/>
        <v>5.0299999999999989E-3</v>
      </c>
      <c r="F17" s="3390">
        <v>6.4547262260844338</v>
      </c>
    </row>
    <row r="18" spans="2:11" ht="24" customHeight="1" x14ac:dyDescent="0.2">
      <c r="B18" s="2453" t="s">
        <v>1178</v>
      </c>
      <c r="C18" s="2454" t="s">
        <v>1179</v>
      </c>
      <c r="D18" s="3641">
        <v>178870.59906449125</v>
      </c>
      <c r="E18" s="3636">
        <f t="shared" si="0"/>
        <v>4.1000000000000003E-3</v>
      </c>
      <c r="F18" s="3392">
        <v>1.1524377168297937</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10.477848666158099</v>
      </c>
    </row>
    <row r="22" spans="2:11" ht="24" customHeight="1" x14ac:dyDescent="0.2">
      <c r="B22" s="2457" t="s">
        <v>1184</v>
      </c>
      <c r="C22" s="2454" t="s">
        <v>1185</v>
      </c>
      <c r="D22" s="3641">
        <v>506303.36774652638</v>
      </c>
      <c r="E22" s="3634">
        <f t="shared" si="0"/>
        <v>3.113580698197024E-3</v>
      </c>
      <c r="F22" s="3390">
        <v>2.477225760817868</v>
      </c>
    </row>
    <row r="23" spans="2:11" ht="24" customHeight="1" thickBot="1" x14ac:dyDescent="0.25">
      <c r="B23" s="406" t="s">
        <v>1186</v>
      </c>
      <c r="C23" s="407" t="s">
        <v>1187</v>
      </c>
      <c r="D23" s="3643">
        <v>462845.95320150087</v>
      </c>
      <c r="E23" s="3638">
        <f t="shared" si="0"/>
        <v>1.1000000000000003E-2</v>
      </c>
      <c r="F23" s="3394">
        <v>8.0006229053402311</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25150343.190000001</v>
      </c>
      <c r="N9" s="4167">
        <v>9481740.879999999</v>
      </c>
      <c r="O9" s="4167">
        <v>361991.26999999996</v>
      </c>
      <c r="P9" s="4168">
        <v>1932446.82</v>
      </c>
      <c r="Q9" s="4168">
        <v>1688046.8900000001</v>
      </c>
      <c r="R9" s="4168">
        <v>298406.22500000003</v>
      </c>
      <c r="S9" s="4168">
        <v>1002653.9900000001</v>
      </c>
      <c r="T9" s="4168">
        <v>829756.54</v>
      </c>
      <c r="U9" s="4168">
        <v>2761524.1578699998</v>
      </c>
      <c r="V9" s="4168">
        <v>38754849.68</v>
      </c>
      <c r="W9" s="4168">
        <v>24508.338400000004</v>
      </c>
      <c r="X9" s="4169">
        <v>172418</v>
      </c>
    </row>
    <row r="10" spans="2:24" ht="18" customHeight="1" thickTop="1" x14ac:dyDescent="0.2">
      <c r="B10" s="430" t="s">
        <v>1226</v>
      </c>
      <c r="C10" s="374"/>
      <c r="D10" s="431"/>
      <c r="E10" s="431"/>
      <c r="F10" s="4137">
        <f>IF(SUM(F11:F14)=0,"NO",SUM(F11:F14))</f>
        <v>5016.0219440978763</v>
      </c>
      <c r="G10" s="4138">
        <f>IF(SUM($F10)=0,"NA",I10/$F10*1000)</f>
        <v>1.8827792478288665</v>
      </c>
      <c r="H10" s="4139">
        <f>IF(SUM($F10)=0,"NA",J10/$F10*1000)</f>
        <v>7.6500530570626821E-2</v>
      </c>
      <c r="I10" s="3161">
        <f>IF(SUM(I11:I14)=0,"NO",SUM(I11:I14))</f>
        <v>9.4440620230016883</v>
      </c>
      <c r="J10" s="416">
        <f>IF(SUM(J11:J14)=0,"NO",SUM(J11:J14))</f>
        <v>0.38372834007739459</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2720.3998302773534</v>
      </c>
      <c r="G11" s="4141">
        <f>IF(SUM($F11)=0,"NA",I11/$F11*1000)</f>
        <v>1.8666666666666667</v>
      </c>
      <c r="H11" s="4142">
        <f>IF(SUM($F11)=0,"NA",J11/$F11*1000)</f>
        <v>7.1657142857142864E-2</v>
      </c>
      <c r="I11" s="3291">
        <v>5.0780796831843933</v>
      </c>
      <c r="J11" s="3292">
        <v>0.19493607926673151</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924.72877495825446</v>
      </c>
      <c r="G12" s="4143">
        <f t="shared" ref="G12:G28" si="0">IF(SUM($F12)=0,"NA",I12/$F12*1000)</f>
        <v>1.8666666666666669</v>
      </c>
      <c r="H12" s="4142">
        <f t="shared" ref="H12:H28" si="1">IF(SUM($F12)=0,"NA",J12/$F12*1000)</f>
        <v>8.3599999999999994E-2</v>
      </c>
      <c r="I12" s="3149">
        <v>1.7261603799220753</v>
      </c>
      <c r="J12" s="3292">
        <v>7.7307325586510073E-2</v>
      </c>
      <c r="L12" s="1323" t="s">
        <v>1231</v>
      </c>
      <c r="M12" s="4165">
        <v>0.17071577535758739</v>
      </c>
      <c r="N12" s="4165">
        <v>0.18620043642472245</v>
      </c>
      <c r="O12" s="4165">
        <v>0.1830989828067425</v>
      </c>
      <c r="P12" s="4166">
        <v>0.14876621931945422</v>
      </c>
      <c r="Q12" s="4166">
        <v>0.18756106901697872</v>
      </c>
      <c r="R12" s="4166">
        <v>0.15846436126534841</v>
      </c>
      <c r="S12" s="4166">
        <v>0.81499999999999984</v>
      </c>
      <c r="T12" s="4166">
        <v>0.22881361566680422</v>
      </c>
      <c r="U12" s="4166">
        <v>0.1570825123361754</v>
      </c>
      <c r="V12" s="4166">
        <v>0.33317113307404778</v>
      </c>
      <c r="W12" s="4166">
        <v>6.5124098371870512E-2</v>
      </c>
      <c r="X12" s="4140">
        <v>0.17278690456011941</v>
      </c>
    </row>
    <row r="13" spans="2:24" ht="18" customHeight="1" thickBot="1" x14ac:dyDescent="0.25">
      <c r="B13" s="432" t="s">
        <v>1232</v>
      </c>
      <c r="C13" s="433" t="s">
        <v>205</v>
      </c>
      <c r="D13" s="433" t="s">
        <v>205</v>
      </c>
      <c r="E13" s="433" t="s">
        <v>205</v>
      </c>
      <c r="F13" s="4140">
        <v>43.808583016456836</v>
      </c>
      <c r="G13" s="4143">
        <f t="shared" si="0"/>
        <v>1.9599999999999995</v>
      </c>
      <c r="H13" s="4142">
        <f t="shared" si="1"/>
        <v>5.9714285714285706E-2</v>
      </c>
      <c r="I13" s="3149">
        <v>8.5864822712255373E-2</v>
      </c>
      <c r="J13" s="3292">
        <v>2.6159982429827078E-3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1327.0847558458113</v>
      </c>
      <c r="G14" s="4145">
        <f t="shared" si="0"/>
        <v>1.9244868317059456</v>
      </c>
      <c r="H14" s="4146">
        <f t="shared" si="1"/>
        <v>8.2036159711429427E-2</v>
      </c>
      <c r="I14" s="3168">
        <f>IF(SUM(I15:I19)=0,"NO",SUM(I15:I19))</f>
        <v>2.5539571371829637</v>
      </c>
      <c r="J14" s="3064">
        <f>IF(SUM(J15:J19)=0,"NO",SUM(J15:J19))</f>
        <v>0.1088689369811703</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165.59009708964581</v>
      </c>
      <c r="G15" s="4147">
        <f t="shared" si="0"/>
        <v>1.8666666666666665</v>
      </c>
      <c r="H15" s="4148">
        <f t="shared" si="1"/>
        <v>9.5542857142857165E-2</v>
      </c>
      <c r="I15" s="3293">
        <v>0.30910151456733881</v>
      </c>
      <c r="J15" s="3292">
        <v>1.5820950990507877E-2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189.90633806269784</v>
      </c>
      <c r="G16" s="4149">
        <f t="shared" si="0"/>
        <v>1.8666666666666665</v>
      </c>
      <c r="H16" s="4150">
        <f t="shared" si="1"/>
        <v>7.1657142857142864E-2</v>
      </c>
      <c r="I16" s="3294">
        <v>0.35449183105036924</v>
      </c>
      <c r="J16" s="3292">
        <v>1.3608145596035605E-2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29.161929008109897</v>
      </c>
      <c r="G17" s="4149">
        <f t="shared" si="0"/>
        <v>1.8666666666666665</v>
      </c>
      <c r="H17" s="4150">
        <f t="shared" si="1"/>
        <v>7.1657142857142864E-2</v>
      </c>
      <c r="I17" s="3294">
        <v>5.4435600815138471E-2</v>
      </c>
      <c r="J17" s="3292">
        <v>2.0896605129239894E-3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822.13135290124796</v>
      </c>
      <c r="G18" s="4149">
        <f t="shared" si="0"/>
        <v>1.96</v>
      </c>
      <c r="H18" s="4150">
        <f t="shared" si="1"/>
        <v>8.3600000000000008E-2</v>
      </c>
      <c r="I18" s="3294">
        <v>1.6113774516864459</v>
      </c>
      <c r="J18" s="3292">
        <v>6.8730181102544335E-2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120.29503878410975</v>
      </c>
      <c r="G19" s="4149">
        <f t="shared" si="0"/>
        <v>1.8666666666666665</v>
      </c>
      <c r="H19" s="4150">
        <f t="shared" si="1"/>
        <v>7.1657142857142864E-2</v>
      </c>
      <c r="I19" s="3294">
        <v>0.22455073906367151</v>
      </c>
      <c r="J19" s="3292">
        <v>8.6199987791584932E-3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248.17483544557976</v>
      </c>
      <c r="G20" s="4153">
        <f t="shared" si="0"/>
        <v>1.8666666666666667</v>
      </c>
      <c r="H20" s="4154">
        <f t="shared" si="1"/>
        <v>0.10748571428571427</v>
      </c>
      <c r="I20" s="3187">
        <f>I21</f>
        <v>0.46325969283174889</v>
      </c>
      <c r="J20" s="442">
        <f>J21</f>
        <v>2.6675249455607741E-2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248.17483544557976</v>
      </c>
      <c r="G21" s="4156">
        <f t="shared" si="0"/>
        <v>1.8666666666666667</v>
      </c>
      <c r="H21" s="4146">
        <f t="shared" si="1"/>
        <v>0.10748571428571427</v>
      </c>
      <c r="I21" s="3168">
        <f>I22</f>
        <v>0.46325969283174889</v>
      </c>
      <c r="J21" s="3064">
        <f>J22</f>
        <v>2.6675249455607741E-2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248.17483544557976</v>
      </c>
      <c r="G22" s="4158">
        <f t="shared" si="0"/>
        <v>1.8666666666666667</v>
      </c>
      <c r="H22" s="4159">
        <f t="shared" si="1"/>
        <v>0.10748571428571427</v>
      </c>
      <c r="I22" s="3295">
        <v>0.46325969283174889</v>
      </c>
      <c r="J22" s="3296">
        <v>2.6675249455607741E-2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619.7758646399999</v>
      </c>
      <c r="G26" s="4163">
        <f t="shared" si="0"/>
        <v>1.8666666666666667</v>
      </c>
      <c r="H26" s="4164">
        <f t="shared" si="1"/>
        <v>5.9714285714285706E-2</v>
      </c>
      <c r="I26" s="3297">
        <v>1.1569149473279998</v>
      </c>
      <c r="J26" s="3298">
        <v>3.7009473059931415E-2</v>
      </c>
      <c r="L26" s="159"/>
    </row>
    <row r="27" spans="2:24" ht="18" customHeight="1" x14ac:dyDescent="0.2">
      <c r="B27" s="439" t="s">
        <v>1242</v>
      </c>
      <c r="C27" s="440"/>
      <c r="D27" s="441"/>
      <c r="E27" s="441"/>
      <c r="F27" s="4152">
        <f>IF(SUM(F28:F29)=0,"NO",SUM(F28:F29))</f>
        <v>251.53798422430026</v>
      </c>
      <c r="G27" s="4153">
        <f t="shared" si="0"/>
        <v>1.8669100012264428</v>
      </c>
      <c r="H27" s="4154">
        <f t="shared" si="1"/>
        <v>0.10770367252711344</v>
      </c>
      <c r="I27" s="3187">
        <f>IF(SUM(I28:I29)=0,"NO",SUM(I28:I29))</f>
        <v>0.46959877843668535</v>
      </c>
      <c r="J27" s="442">
        <f>IF(SUM(J28:J29)=0,"NO",SUM(J28:J29))</f>
        <v>2.709156468102426E-2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0.65579876419398919</v>
      </c>
      <c r="G28" s="4149">
        <f t="shared" si="0"/>
        <v>1.96</v>
      </c>
      <c r="H28" s="4150">
        <f t="shared" si="1"/>
        <v>0.19108571428571422</v>
      </c>
      <c r="I28" s="3294">
        <v>1.2853655778202187E-3</v>
      </c>
      <c r="J28" s="3292">
        <v>1.253137752836971E-4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250.88218546010626</v>
      </c>
      <c r="G29" s="4149">
        <f t="shared" ref="G29" si="2">IF(SUM($F29)=0,"NA",I29/$F29*1000)</f>
        <v>1.8666666666666671</v>
      </c>
      <c r="H29" s="4150">
        <f t="shared" ref="H29" si="3">IF(SUM($F29)=0,"NA",J29/$F29*1000)</f>
        <v>0.10748571428571428</v>
      </c>
      <c r="I29" s="3294">
        <v>0.46831341285886513</v>
      </c>
      <c r="J29" s="3292">
        <v>2.6966250905740563E-2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1072.8425829711978</v>
      </c>
    </row>
    <row r="11" spans="2:5" s="83" customFormat="1" ht="18" customHeight="1" x14ac:dyDescent="0.2">
      <c r="B11" s="1858" t="s">
        <v>1361</v>
      </c>
      <c r="C11" s="4175">
        <v>2483927.9998225244</v>
      </c>
      <c r="D11" s="3534">
        <f>IF(SUM(C11)=0,"NA",E11*1000/(44/12)/C11)</f>
        <v>0.10799999999999998</v>
      </c>
      <c r="E11" s="3395">
        <v>983.6354879297196</v>
      </c>
    </row>
    <row r="12" spans="2:5" s="83" customFormat="1" ht="18" customHeight="1" x14ac:dyDescent="0.2">
      <c r="B12" s="1858" t="s">
        <v>1362</v>
      </c>
      <c r="C12" s="4175">
        <v>196997.63351080939</v>
      </c>
      <c r="D12" s="3534">
        <f t="shared" ref="D12:D16" si="0">IF(SUM(C12)=0,"NA",E12*1000/(44/12)/C12)</f>
        <v>0.12349999999999996</v>
      </c>
      <c r="E12" s="3395">
        <v>89.207095041478155</v>
      </c>
    </row>
    <row r="13" spans="2:5" s="83" customFormat="1" ht="18" customHeight="1" x14ac:dyDescent="0.2">
      <c r="B13" s="853" t="s">
        <v>1363</v>
      </c>
      <c r="C13" s="4176">
        <v>1032066.2225865339</v>
      </c>
      <c r="D13" s="4177">
        <f t="shared" si="0"/>
        <v>0.2</v>
      </c>
      <c r="E13" s="3396">
        <v>756.84856323012491</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80660.306232489762</v>
      </c>
      <c r="D10" s="4269">
        <f t="shared" ref="D10:H10" si="0">IF(SUM(D11,D14,D17,D20,D23,D26,D29:D30)=0,"NO",SUM(D11,D14,D17,D20,D23,D26,D29:D30))</f>
        <v>744.64760208758366</v>
      </c>
      <c r="E10" s="4269">
        <f t="shared" si="0"/>
        <v>17.795434673715192</v>
      </c>
      <c r="F10" s="4269">
        <f t="shared" si="0"/>
        <v>977.37376633331246</v>
      </c>
      <c r="G10" s="4269">
        <f t="shared" si="0"/>
        <v>25935.551649328369</v>
      </c>
      <c r="H10" s="4270">
        <f t="shared" si="0"/>
        <v>780.97333369252385</v>
      </c>
      <c r="I10" s="4271">
        <f>IF(SUM(C10:E10)=0,"NO",SUM(C10)+28*SUM(D10)+265*SUM(E10))</f>
        <v>106226.22927947663</v>
      </c>
      <c r="J10" s="4259"/>
    </row>
    <row r="11" spans="2:10" ht="18" customHeight="1" x14ac:dyDescent="0.2">
      <c r="B11" s="464" t="s">
        <v>1252</v>
      </c>
      <c r="C11" s="4272">
        <f>IF(SUM(C12:C13)=0,"NO",SUM(C12:C13))</f>
        <v>-44102.758532752043</v>
      </c>
      <c r="D11" s="4272">
        <f t="shared" ref="D11:H11" si="1">IF(SUM(D12:D13)=0,"NO",SUM(D12:D13))</f>
        <v>257.77347567563527</v>
      </c>
      <c r="E11" s="4272">
        <f t="shared" si="1"/>
        <v>5.1629339198005981</v>
      </c>
      <c r="F11" s="4272">
        <f t="shared" si="1"/>
        <v>278.06078730567071</v>
      </c>
      <c r="G11" s="4272">
        <f t="shared" si="1"/>
        <v>7404.9647712290953</v>
      </c>
      <c r="H11" s="4273">
        <f t="shared" si="1"/>
        <v>233.3989063853459</v>
      </c>
      <c r="I11" s="4274">
        <f t="shared" ref="I11:I32" si="2">IF(SUM(C11:E11)=0,"NO",SUM(C11)+28*SUM(D11)+265*SUM(E11))</f>
        <v>-35516.923725087094</v>
      </c>
    </row>
    <row r="12" spans="2:10" ht="18" customHeight="1" x14ac:dyDescent="0.2">
      <c r="B12" s="465" t="s">
        <v>1253</v>
      </c>
      <c r="C12" s="4275">
        <f>IF(SUM(Table4.A!U11,'Table4(IV)'!J12)=0,"NO",SUM(Table4.A!U11,'Table4(IV)'!J12))</f>
        <v>-19342.564250303611</v>
      </c>
      <c r="D12" s="4275">
        <f>'Table4(IV)'!K12</f>
        <v>256.07613223204396</v>
      </c>
      <c r="E12" s="4275">
        <f>IF(SUM('Table4(III)'!I12,'Table4(IV)'!L12)=0,"NO",SUM('Table4(III)'!I12,'Table4(IV)'!L12))</f>
        <v>4.5203347549902171</v>
      </c>
      <c r="F12" s="4276">
        <v>276.90769266100563</v>
      </c>
      <c r="G12" s="4276">
        <v>7362.533429515217</v>
      </c>
      <c r="H12" s="4277">
        <v>228.78818028205345</v>
      </c>
      <c r="I12" s="4278">
        <f t="shared" si="2"/>
        <v>-10974.543837733972</v>
      </c>
    </row>
    <row r="13" spans="2:10" ht="18" customHeight="1" thickBot="1" x14ac:dyDescent="0.25">
      <c r="B13" s="466" t="s">
        <v>1254</v>
      </c>
      <c r="C13" s="4279">
        <f>IF(SUM(Table4.A!U16,'Table4(IV)'!J19)=0,"NO",SUM(Table4.A!U16,'Table4(IV)'!J19))</f>
        <v>-24760.194282448432</v>
      </c>
      <c r="D13" s="4279">
        <f>'Table4(IV)'!K19</f>
        <v>1.6973434435913237</v>
      </c>
      <c r="E13" s="4279">
        <f>IF(SUM('Table4(III)'!I13,'Table4(IV)'!L19)=0,"NO",SUM('Table4(III)'!I13,'Table4(IV)'!L19))</f>
        <v>0.64259916481038126</v>
      </c>
      <c r="F13" s="4280">
        <v>1.15309464466509</v>
      </c>
      <c r="G13" s="4280">
        <v>42.43134171387846</v>
      </c>
      <c r="H13" s="4281">
        <v>4.6107261032924551</v>
      </c>
      <c r="I13" s="4282">
        <f t="shared" si="2"/>
        <v>-24542.379887353123</v>
      </c>
    </row>
    <row r="14" spans="2:10" ht="18" customHeight="1" x14ac:dyDescent="0.2">
      <c r="B14" s="464" t="s">
        <v>1255</v>
      </c>
      <c r="C14" s="4272">
        <f>IF(SUM(C15:C16)=0,"NO",SUM(C15:C16))</f>
        <v>12987.761389425392</v>
      </c>
      <c r="D14" s="4272">
        <f t="shared" ref="D14" si="3">IF(SUM(D15:D16)=0,"NO",SUM(D15:D16))</f>
        <v>4.0222718333672605</v>
      </c>
      <c r="E14" s="4272">
        <f t="shared" ref="E14" si="4">IF(SUM(E15:E16)=0,"NO",SUM(E15:E16))</f>
        <v>0.1166791453199196</v>
      </c>
      <c r="F14" s="4272">
        <f t="shared" ref="F14" si="5">IF(SUM(F15:F16)=0,"NO",SUM(F15:F16))</f>
        <v>3.0286749221485625</v>
      </c>
      <c r="G14" s="4272">
        <f t="shared" ref="G14" si="6">IF(SUM(G15:G16)=0,"NO",SUM(G15:G16))</f>
        <v>118.61977582661783</v>
      </c>
      <c r="H14" s="4273">
        <f t="shared" ref="H14" si="7">IF(SUM(H15:H16)=0,"NO",SUM(H15:H16))</f>
        <v>14.338654220799958</v>
      </c>
      <c r="I14" s="4283">
        <f t="shared" si="2"/>
        <v>13131.304974269455</v>
      </c>
    </row>
    <row r="15" spans="2:10" ht="18" customHeight="1" x14ac:dyDescent="0.2">
      <c r="B15" s="465" t="s">
        <v>1256</v>
      </c>
      <c r="C15" s="4275">
        <f>IF(SUM(Table4.B!S11,'Table4(IV)'!J26)=0,"NO",SUM(Table4.B!S11,'Table4(IV)'!J26))</f>
        <v>6378.8035164078783</v>
      </c>
      <c r="D15" s="4275" t="str">
        <f>'Table4(IV)'!K26</f>
        <v>IE</v>
      </c>
      <c r="E15" s="4275" t="str">
        <f>'Table4(IV)'!L26</f>
        <v>IE</v>
      </c>
      <c r="F15" s="4276" t="s">
        <v>274</v>
      </c>
      <c r="G15" s="4276" t="s">
        <v>274</v>
      </c>
      <c r="H15" s="4277" t="s">
        <v>274</v>
      </c>
      <c r="I15" s="4278">
        <f t="shared" si="2"/>
        <v>6378.8035164078783</v>
      </c>
    </row>
    <row r="16" spans="2:10" ht="18" customHeight="1" thickBot="1" x14ac:dyDescent="0.25">
      <c r="B16" s="466" t="s">
        <v>1257</v>
      </c>
      <c r="C16" s="4279">
        <f>IF(SUM(Table4.B!S13,'Table4(IV)'!J31)=0,"IE",SUM(Table4.B!S13,'Table4(IV)'!J31))</f>
        <v>6608.9578730175144</v>
      </c>
      <c r="D16" s="4279">
        <f>'Table4(IV)'!K31</f>
        <v>4.0222718333672605</v>
      </c>
      <c r="E16" s="4279">
        <f>IF(SUM('Table4(III)'!I21,'Table4(IV)'!L31)=0,"IE",SUM('Table4(III)'!I21,'Table4(IV)'!L31))</f>
        <v>0.1166791453199196</v>
      </c>
      <c r="F16" s="4280">
        <v>3.0286749221485625</v>
      </c>
      <c r="G16" s="4280">
        <v>118.61977582661783</v>
      </c>
      <c r="H16" s="4281">
        <v>14.338654220799958</v>
      </c>
      <c r="I16" s="4282">
        <f t="shared" si="2"/>
        <v>6752.5014578615765</v>
      </c>
    </row>
    <row r="17" spans="2:9" ht="18" customHeight="1" x14ac:dyDescent="0.2">
      <c r="B17" s="464" t="s">
        <v>1258</v>
      </c>
      <c r="C17" s="4272">
        <f>IF(SUM(C18:C19)=0,"NO",SUM(C18:C19))</f>
        <v>111265.70832686298</v>
      </c>
      <c r="D17" s="4272">
        <f t="shared" ref="D17" si="8">IF(SUM(D18:D19)=0,"NO",SUM(D18:D19))</f>
        <v>399.05273191921395</v>
      </c>
      <c r="E17" s="4272">
        <f t="shared" ref="E17" si="9">IF(SUM(E18:E19)=0,"NO",SUM(E18:E19))</f>
        <v>11.93036286830718</v>
      </c>
      <c r="F17" s="4272">
        <f t="shared" ref="F17" si="10">IF(SUM(F18:F19)=0,"NO",SUM(F18:F19))</f>
        <v>664.73660758500239</v>
      </c>
      <c r="G17" s="4272">
        <f t="shared" ref="G17" si="11">IF(SUM(G18:G19)=0,"NO",SUM(G18:G19))</f>
        <v>17601.923807838572</v>
      </c>
      <c r="H17" s="4273">
        <f t="shared" ref="H17" si="12">IF(SUM(H18:H19)=0,"NO",SUM(H18:H19))</f>
        <v>516.10666463573375</v>
      </c>
      <c r="I17" s="4283">
        <f t="shared" si="2"/>
        <v>125600.73098070237</v>
      </c>
    </row>
    <row r="18" spans="2:9" ht="18" customHeight="1" x14ac:dyDescent="0.2">
      <c r="B18" s="465" t="s">
        <v>1259</v>
      </c>
      <c r="C18" s="4275">
        <f>IF(SUM(Table4.C!S11,'Table4(IV)'!J37)=0,"IE",SUM(Table4.C!S11,'Table4(IV)'!J37))</f>
        <v>20456.794819047216</v>
      </c>
      <c r="D18" s="4275">
        <f>'Table4(IV)'!K37</f>
        <v>282.76946668505764</v>
      </c>
      <c r="E18" s="4275">
        <f>IF(SUM('Table4(III)'!I29,'Table4(IV)'!L37)=0,"NO",SUM('Table4(III)'!I29,'Table4(IV)'!L37))</f>
        <v>9.5584248080111962</v>
      </c>
      <c r="F18" s="4276">
        <v>576.21768613403287</v>
      </c>
      <c r="G18" s="4276">
        <v>14161.381310201152</v>
      </c>
      <c r="H18" s="4277">
        <v>105.2196897262597</v>
      </c>
      <c r="I18" s="4278">
        <f t="shared" si="2"/>
        <v>30907.322460351796</v>
      </c>
    </row>
    <row r="19" spans="2:9" ht="18" customHeight="1" thickBot="1" x14ac:dyDescent="0.25">
      <c r="B19" s="466" t="s">
        <v>1260</v>
      </c>
      <c r="C19" s="4279">
        <f>IF(SUM(Table4.C!S15,'Table4(IV)'!J42)=0,"IE",SUM(Table4.C!S15,'Table4(IV)'!J42))</f>
        <v>90808.913507815756</v>
      </c>
      <c r="D19" s="4279">
        <f>'Table4(IV)'!K42</f>
        <v>116.28326523415633</v>
      </c>
      <c r="E19" s="4279">
        <f>IF(SUM('Table4(III)'!I30,'Table4(IV)'!L42)=0,"NO",SUM('Table4(III)'!I30,'Table4(IV)'!L42))</f>
        <v>2.3719380602959834</v>
      </c>
      <c r="F19" s="4280">
        <v>88.518921450969501</v>
      </c>
      <c r="G19" s="4280">
        <v>3440.5424976374197</v>
      </c>
      <c r="H19" s="4281">
        <v>410.88697490947408</v>
      </c>
      <c r="I19" s="4282">
        <f t="shared" si="2"/>
        <v>94693.408520350567</v>
      </c>
    </row>
    <row r="20" spans="2:9" ht="18" customHeight="1" x14ac:dyDescent="0.2">
      <c r="B20" s="464" t="s">
        <v>1261</v>
      </c>
      <c r="C20" s="4272">
        <f>IF(SUM(C21:C22)=0,"NO",SUM(C21:C22))</f>
        <v>1391.6380789291641</v>
      </c>
      <c r="D20" s="4272">
        <f t="shared" ref="D20" si="13">IF(SUM(D21:D22)=0,"NO",SUM(D21:D22))</f>
        <v>79.115017054107511</v>
      </c>
      <c r="E20" s="4272">
        <f t="shared" ref="E20" si="14">IF(SUM(E21:E22)=0,"NO",SUM(E21:E22))</f>
        <v>0.38669636438774935</v>
      </c>
      <c r="F20" s="4272">
        <f t="shared" ref="F20" si="15">IF(SUM(F21:F22)=0,"NO",SUM(F21:F22))</f>
        <v>28.020676526054118</v>
      </c>
      <c r="G20" s="4272">
        <f t="shared" ref="G20" si="16">IF(SUM(G21:G22)=0,"NO",SUM(G21:G22))</f>
        <v>671.90555042712106</v>
      </c>
      <c r="H20" s="4273">
        <f t="shared" ref="H20" si="17">IF(SUM(H21:H22)=0,"NO",SUM(H21:H22))</f>
        <v>0.43113939485740282</v>
      </c>
      <c r="I20" s="4283">
        <f t="shared" si="2"/>
        <v>3709.3330930069283</v>
      </c>
    </row>
    <row r="21" spans="2:9" ht="18" customHeight="1" x14ac:dyDescent="0.2">
      <c r="B21" s="465" t="s">
        <v>1262</v>
      </c>
      <c r="C21" s="4275">
        <f>IF(SUM(Table4.D!S11,'Table4(IV)'!J49)=0,"IE",SUM(Table4.D!S11,'Table4(IV)'!J49))</f>
        <v>1227.3387834820583</v>
      </c>
      <c r="D21" s="4275">
        <f>IF(SUM('Table4(IV)'!K49,'Table4(II)'!J270)=0,"NO",SUM('Table4(IV)'!K49,'Table4(II)'!J270))</f>
        <v>71.592606963135296</v>
      </c>
      <c r="E21" s="4275">
        <f>IF(SUM('Table4(II)'!I270,'Table4(III)'!I38,'Table4(IV)'!L49)=0,"NO",SUM('Table4(II)'!I270,'Table4(III)'!I38,'Table4(IV)'!L49))</f>
        <v>0.38669636438774935</v>
      </c>
      <c r="F21" s="4276">
        <v>28.020676526054118</v>
      </c>
      <c r="G21" s="4276">
        <v>671.90555042712106</v>
      </c>
      <c r="H21" s="4277">
        <v>0.43113939485740282</v>
      </c>
      <c r="I21" s="4278">
        <f t="shared" si="2"/>
        <v>3334.4063150126003</v>
      </c>
    </row>
    <row r="22" spans="2:9" ht="18" customHeight="1" thickBot="1" x14ac:dyDescent="0.25">
      <c r="B22" s="466" t="s">
        <v>1263</v>
      </c>
      <c r="C22" s="4279">
        <f>IF(SUM(Table4.D!S23,'Table4(II)'!H320,'Table4(IV)'!J54)=0,"NO",SUM(Table4.D!S23,'Table4(II)'!H320,'Table4(IV)'!J54))</f>
        <v>164.29929544710581</v>
      </c>
      <c r="D22" s="4279">
        <f>IF(SUM('Table4(IV)'!K54,'Table4(II)'!J320)=0,"NO",SUM('Table4(IV)'!K54,'Table4(II)'!J320))</f>
        <v>7.5224100909722216</v>
      </c>
      <c r="E22" s="4279" t="str">
        <f>IF(SUM('Table4(II)'!I320,'Table4(III)'!I39,'Table4(IV)'!L54)=0,"NO",SUM('Table4(II)'!I320,'Table4(III)'!I39,'Table4(IV)'!L54))</f>
        <v>NO</v>
      </c>
      <c r="F22" s="4280" t="s">
        <v>274</v>
      </c>
      <c r="G22" s="4280" t="s">
        <v>274</v>
      </c>
      <c r="H22" s="4281" t="s">
        <v>274</v>
      </c>
      <c r="I22" s="4282">
        <f t="shared" si="2"/>
        <v>374.92677799432801</v>
      </c>
    </row>
    <row r="23" spans="2:9" ht="18" customHeight="1" x14ac:dyDescent="0.2">
      <c r="B23" s="464" t="s">
        <v>1264</v>
      </c>
      <c r="C23" s="4272">
        <f>IF(SUM(C24:C25)=0,"NO",SUM(C24:C25))</f>
        <v>6613.0693315321951</v>
      </c>
      <c r="D23" s="4272">
        <f t="shared" ref="D23" si="18">IF(SUM(D24:D25)=0,"NO",SUM(D24:D25))</f>
        <v>4.6841056052596812</v>
      </c>
      <c r="E23" s="4272">
        <f t="shared" ref="E23" si="19">IF(SUM(E24:E25)=0,"NO",SUM(E24:E25))</f>
        <v>0.10424491224689181</v>
      </c>
      <c r="F23" s="4272">
        <f>IF(SUM(F24:F25)=0,"NO",SUM(F24:F25))</f>
        <v>3.5270199944366052</v>
      </c>
      <c r="G23" s="4272">
        <f t="shared" ref="G23" si="20">IF(SUM(G24:G25)=0,"NO",SUM(G24:G25))</f>
        <v>138.13774400696377</v>
      </c>
      <c r="H23" s="4273">
        <f t="shared" ref="H23" si="21">IF(SUM(H24:H25)=0,"NO",SUM(H24:H25))</f>
        <v>16.697969055786828</v>
      </c>
      <c r="I23" s="4283">
        <f t="shared" si="2"/>
        <v>6771.8491902248925</v>
      </c>
    </row>
    <row r="24" spans="2:9" ht="18" customHeight="1" thickBot="1" x14ac:dyDescent="0.25">
      <c r="B24" s="465" t="s">
        <v>1265</v>
      </c>
      <c r="C24" s="4275">
        <f>IF(SUM(Table4.E!S11,'Table4(IV)'!J60)=0,"IE",SUM(Table4.E!S11,'Table4(IV)'!J60))</f>
        <v>32.293902602705295</v>
      </c>
      <c r="D24" s="4275" t="str">
        <f>'Table4(IV)'!K60</f>
        <v>IE</v>
      </c>
      <c r="E24" s="4275">
        <f>IF(SUM('Table4(III)'!I47,'Table4(IV)'!L60)=0,"IE",SUM('Table4(III)'!I47,'Table4(IV)'!L60))</f>
        <v>1.0542118215060871E-3</v>
      </c>
      <c r="F24" s="4280" t="s">
        <v>274</v>
      </c>
      <c r="G24" s="4280" t="s">
        <v>274</v>
      </c>
      <c r="H24" s="4281" t="s">
        <v>274</v>
      </c>
      <c r="I24" s="4278">
        <f t="shared" si="2"/>
        <v>32.573268735404405</v>
      </c>
    </row>
    <row r="25" spans="2:9" ht="18" customHeight="1" thickBot="1" x14ac:dyDescent="0.25">
      <c r="B25" s="466" t="s">
        <v>1266</v>
      </c>
      <c r="C25" s="4279">
        <f>IF(SUM(Table4.E!S13,'Table4(IV)'!J65)=0,"IE",SUM(Table4.E!S13,'Table4(IV)'!J65))</f>
        <v>6580.7754289294899</v>
      </c>
      <c r="D25" s="4279">
        <f>'Table4(IV)'!K65</f>
        <v>4.6841056052596812</v>
      </c>
      <c r="E25" s="4279">
        <f>IF(SUM('Table4(III)'!I48,'Table4(IV)'!L65)=0,"NO",SUM('Table4(III)'!I48,'Table4(IV)'!L65))</f>
        <v>0.10319070042538572</v>
      </c>
      <c r="F25" s="4280">
        <v>3.5270199944366052</v>
      </c>
      <c r="G25" s="4280">
        <v>138.13774400696377</v>
      </c>
      <c r="H25" s="4281">
        <v>16.697969055786828</v>
      </c>
      <c r="I25" s="4282">
        <f t="shared" si="2"/>
        <v>6739.2759214894877</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-7505.3279406263191</v>
      </c>
      <c r="D29" s="4288"/>
      <c r="E29" s="4288"/>
      <c r="F29" s="4288"/>
      <c r="G29" s="4288"/>
      <c r="H29" s="4289"/>
      <c r="I29" s="4290">
        <f t="shared" si="2"/>
        <v>-7505.3279406263191</v>
      </c>
    </row>
    <row r="30" spans="2:9" ht="18" customHeight="1" x14ac:dyDescent="0.2">
      <c r="B30" s="1167" t="s">
        <v>1271</v>
      </c>
      <c r="C30" s="4291">
        <f>IF(SUM(C31:C32)=0,"NO",SUM(C31:C32))</f>
        <v>10.215579118396668</v>
      </c>
      <c r="D30" s="4291" t="str">
        <f t="shared" ref="D30" si="27">IF(SUM(D31:D32)=0,"NO",SUM(D31:D32))</f>
        <v>NO</v>
      </c>
      <c r="E30" s="4291">
        <f t="shared" ref="E30" si="28">IF(SUM(E31:E32)=0,"NO",SUM(E31:E32))</f>
        <v>9.4517463652857153E-2</v>
      </c>
      <c r="F30" s="4291" t="str">
        <f t="shared" ref="F30" si="29">IF(SUM(F31:F32)=0,"NO",SUM(F31:F32))</f>
        <v>NO</v>
      </c>
      <c r="G30" s="4291" t="str">
        <f t="shared" ref="G30" si="30">IF(SUM(G31:G32)=0,"NO",SUM(G31:G32))</f>
        <v>NO</v>
      </c>
      <c r="H30" s="4292" t="str">
        <f t="shared" ref="H30" si="31">IF(SUM(H31:H32)=0,"NO",SUM(H31:H32))</f>
        <v>NO</v>
      </c>
      <c r="I30" s="4293">
        <f t="shared" si="2"/>
        <v>35.262706986403813</v>
      </c>
    </row>
    <row r="31" spans="2:9" ht="18" customHeight="1" x14ac:dyDescent="0.2">
      <c r="B31" s="2693" t="s">
        <v>1272</v>
      </c>
      <c r="C31" s="4294" t="s">
        <v>199</v>
      </c>
      <c r="D31" s="4294" t="s">
        <v>199</v>
      </c>
      <c r="E31" s="4294">
        <v>9.4517463652857153E-2</v>
      </c>
      <c r="F31" s="4294" t="s">
        <v>199</v>
      </c>
      <c r="G31" s="4294" t="s">
        <v>199</v>
      </c>
      <c r="H31" s="4295" t="s">
        <v>199</v>
      </c>
      <c r="I31" s="4296">
        <f t="shared" si="2"/>
        <v>25.047127868007145</v>
      </c>
    </row>
    <row r="32" spans="2:9" ht="18" customHeight="1" thickBot="1" x14ac:dyDescent="0.25">
      <c r="B32" s="2692" t="s">
        <v>1273</v>
      </c>
      <c r="C32" s="4297">
        <v>10.215579118396668</v>
      </c>
      <c r="D32" s="4297" t="s">
        <v>199</v>
      </c>
      <c r="E32" s="4297" t="s">
        <v>199</v>
      </c>
      <c r="F32" s="4298" t="s">
        <v>199</v>
      </c>
      <c r="G32" s="4298" t="s">
        <v>199</v>
      </c>
      <c r="H32" s="4298" t="s">
        <v>199</v>
      </c>
      <c r="I32" s="4282">
        <f t="shared" si="2"/>
        <v>10.215579118396668</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-25307.494230402513</v>
      </c>
      <c r="D35" s="4297" t="s">
        <v>199</v>
      </c>
      <c r="E35" s="4297" t="s">
        <v>199</v>
      </c>
      <c r="F35" s="4297" t="s">
        <v>199</v>
      </c>
      <c r="G35" s="4297" t="s">
        <v>199</v>
      </c>
      <c r="H35" s="4297" t="s">
        <v>199</v>
      </c>
      <c r="I35" s="4302">
        <f t="shared" ref="I35" si="32">IF(SUM(C35:E35)=0,"NO",SUM(C35)+28*SUM(D35)+265*SUM(E35))</f>
        <v>-25307.494230402513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L8" sqref="L8"/>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367255.89690506988</v>
      </c>
      <c r="D10" s="4489">
        <f t="shared" ref="D10:I10" si="0">IF(SUM(D11,D37,D47)=0,"NO",SUM(D11,D37,D47))</f>
        <v>1391.6572113588334</v>
      </c>
      <c r="E10" s="4489">
        <f t="shared" si="0"/>
        <v>12.602072855927196</v>
      </c>
      <c r="F10" s="4489">
        <f t="shared" si="0"/>
        <v>2138.0752347124071</v>
      </c>
      <c r="G10" s="4489">
        <f t="shared" si="0"/>
        <v>3483.2039315229672</v>
      </c>
      <c r="H10" s="4489">
        <f t="shared" si="0"/>
        <v>718.39943684459274</v>
      </c>
      <c r="I10" s="4490">
        <f t="shared" si="0"/>
        <v>786.68068136979321</v>
      </c>
      <c r="J10" s="4427">
        <f t="shared" ref="J10:J40" si="1">IF(SUM(C10:E10)=0,"NO",SUM(C10,IFERROR(28*D10,0),IFERROR(265*E10,0)))</f>
        <v>409561.84812993795</v>
      </c>
    </row>
    <row r="11" spans="2:10" s="83" customFormat="1" ht="18" customHeight="1" thickBot="1" x14ac:dyDescent="0.25">
      <c r="B11" s="18" t="s">
        <v>174</v>
      </c>
      <c r="C11" s="3010">
        <f>IF(SUM(C12,C16,C24,C30,C34)=0,"NO",SUM(C12,C16,C24,C30,C34))</f>
        <v>360209.50711034512</v>
      </c>
      <c r="D11" s="3010">
        <f t="shared" ref="D11:I11" si="2">IF(SUM(D12,D16,D24,D30,D34)=0,"NO",SUM(D12,D16,D24,D30,D34))</f>
        <v>85.401700769998442</v>
      </c>
      <c r="E11" s="3010">
        <f t="shared" si="2"/>
        <v>12.520905762294518</v>
      </c>
      <c r="F11" s="3010">
        <f t="shared" si="2"/>
        <v>2135.5646607404187</v>
      </c>
      <c r="G11" s="3010">
        <f t="shared" si="2"/>
        <v>3468.6442024854341</v>
      </c>
      <c r="H11" s="3010">
        <f t="shared" si="2"/>
        <v>515.52809230195373</v>
      </c>
      <c r="I11" s="3011">
        <f t="shared" si="2"/>
        <v>786.68068136979321</v>
      </c>
      <c r="J11" s="3012">
        <f t="shared" si="1"/>
        <v>365918.79475891311</v>
      </c>
    </row>
    <row r="12" spans="2:10" s="83" customFormat="1" ht="18" customHeight="1" x14ac:dyDescent="0.2">
      <c r="B12" s="26" t="s">
        <v>175</v>
      </c>
      <c r="C12" s="3010">
        <f>IF(SUM(C13:C15)=0,"NO",SUM(C13:C15))</f>
        <v>219705.33865122739</v>
      </c>
      <c r="D12" s="3010">
        <f t="shared" ref="D12:I12" si="3">IF(SUM(D13:D15)=0,"NO",SUM(D13:D15))</f>
        <v>12.694811733811814</v>
      </c>
      <c r="E12" s="3010">
        <f t="shared" si="3"/>
        <v>3.645083868973102</v>
      </c>
      <c r="F12" s="3010">
        <f t="shared" si="3"/>
        <v>913.9187146702086</v>
      </c>
      <c r="G12" s="3010">
        <f t="shared" si="3"/>
        <v>171.09080987577903</v>
      </c>
      <c r="H12" s="3010">
        <f>IF(SUM(H13:H15)=0,"NO",SUM(H13:H15))</f>
        <v>39.685506325829856</v>
      </c>
      <c r="I12" s="3011">
        <f t="shared" si="3"/>
        <v>652.51231076667</v>
      </c>
      <c r="J12" s="3012">
        <f t="shared" si="1"/>
        <v>221026.74060505198</v>
      </c>
    </row>
    <row r="13" spans="2:10" s="83" customFormat="1" ht="18" customHeight="1" x14ac:dyDescent="0.2">
      <c r="B13" s="20" t="s">
        <v>176</v>
      </c>
      <c r="C13" s="3013">
        <f>'Table1.A(a)s1'!H24</f>
        <v>200199.55586612341</v>
      </c>
      <c r="D13" s="3013">
        <f>'Table1.A(a)s1'!I24</f>
        <v>6.2407310712073745</v>
      </c>
      <c r="E13" s="3013">
        <f>'Table1.A(a)s1'!J24</f>
        <v>3.2132799383533142</v>
      </c>
      <c r="F13" s="3014">
        <v>615.56022232773262</v>
      </c>
      <c r="G13" s="3014">
        <v>87.724819236851999</v>
      </c>
      <c r="H13" s="3014">
        <v>6.4576030469388703</v>
      </c>
      <c r="I13" s="3015">
        <v>636.78789175536338</v>
      </c>
      <c r="J13" s="3016">
        <f t="shared" si="1"/>
        <v>201225.81551978085</v>
      </c>
    </row>
    <row r="14" spans="2:10" s="83" customFormat="1" ht="18" customHeight="1" x14ac:dyDescent="0.2">
      <c r="B14" s="20" t="s">
        <v>177</v>
      </c>
      <c r="C14" s="3013">
        <f>'Table1.A(a)s1'!H53</f>
        <v>4907.4504676359265</v>
      </c>
      <c r="D14" s="3013">
        <f>'Table1.A(a)s1'!I53</f>
        <v>6.2566134699094902E-2</v>
      </c>
      <c r="E14" s="3013">
        <f>'Table1.A(a)s1'!J53</f>
        <v>4.0743923730934307E-2</v>
      </c>
      <c r="F14" s="3014">
        <v>33.043457978380758</v>
      </c>
      <c r="G14" s="3014">
        <v>3.9568223487315617</v>
      </c>
      <c r="H14" s="3014">
        <v>7.8174604122771774E-2</v>
      </c>
      <c r="I14" s="3015">
        <v>3.2457493429922026</v>
      </c>
      <c r="J14" s="3016">
        <f t="shared" si="1"/>
        <v>4919.9994591961986</v>
      </c>
    </row>
    <row r="15" spans="2:10" s="83" customFormat="1" ht="18" customHeight="1" thickBot="1" x14ac:dyDescent="0.25">
      <c r="B15" s="21" t="s">
        <v>178</v>
      </c>
      <c r="C15" s="3017">
        <f>'Table1.A(a)s1'!H60</f>
        <v>14598.332317468043</v>
      </c>
      <c r="D15" s="3017">
        <f>'Table1.A(a)s1'!I60</f>
        <v>6.391514527905346</v>
      </c>
      <c r="E15" s="3017">
        <f>'Table1.A(a)s1'!J60</f>
        <v>0.39106000688885328</v>
      </c>
      <c r="F15" s="3018">
        <v>265.31503436409525</v>
      </c>
      <c r="G15" s="3018">
        <v>79.409168290195453</v>
      </c>
      <c r="H15" s="3018">
        <v>33.149728674768212</v>
      </c>
      <c r="I15" s="3019">
        <v>12.478669668314467</v>
      </c>
      <c r="J15" s="3020">
        <f t="shared" si="1"/>
        <v>14880.925626074939</v>
      </c>
    </row>
    <row r="16" spans="2:10" s="83" customFormat="1" ht="18" customHeight="1" x14ac:dyDescent="0.2">
      <c r="B16" s="25" t="s">
        <v>179</v>
      </c>
      <c r="C16" s="3010">
        <f>IF(SUM(C17:C23)=0,"NO",SUM(C17:C23))</f>
        <v>40191.294818873052</v>
      </c>
      <c r="D16" s="3010">
        <f t="shared" ref="D16:I16" si="4">IF(SUM(D17:D23)=0,"NO",SUM(D17:D23))</f>
        <v>2.3473627845463243</v>
      </c>
      <c r="E16" s="3010">
        <f t="shared" si="4"/>
        <v>1.3342298221966118</v>
      </c>
      <c r="F16" s="3010">
        <f t="shared" si="4"/>
        <v>530.14131779061631</v>
      </c>
      <c r="G16" s="3010">
        <f t="shared" si="4"/>
        <v>170.00622083640209</v>
      </c>
      <c r="H16" s="3010">
        <f t="shared" si="4"/>
        <v>68.039810632417499</v>
      </c>
      <c r="I16" s="3011">
        <f t="shared" si="4"/>
        <v>99.305534481643591</v>
      </c>
      <c r="J16" s="3012">
        <f t="shared" si="1"/>
        <v>40610.591879722451</v>
      </c>
    </row>
    <row r="17" spans="2:10" s="83" customFormat="1" ht="18" customHeight="1" x14ac:dyDescent="0.2">
      <c r="B17" s="20" t="s">
        <v>180</v>
      </c>
      <c r="C17" s="3013">
        <f>'Table1.A(a)s2'!H17</f>
        <v>2573.2111314566109</v>
      </c>
      <c r="D17" s="3013">
        <f>'Table1.A(a)s2'!I17</f>
        <v>5.5926734335182721E-2</v>
      </c>
      <c r="E17" s="3013">
        <f>'Table1.A(a)s2'!J17</f>
        <v>3.1687363277597677E-2</v>
      </c>
      <c r="F17" s="3014">
        <v>27.14115092344754</v>
      </c>
      <c r="G17" s="3014">
        <v>4.6212880554843361</v>
      </c>
      <c r="H17" s="3014">
        <v>0.52220528156789836</v>
      </c>
      <c r="I17" s="3015">
        <v>11.398840053455219</v>
      </c>
      <c r="J17" s="3016">
        <f t="shared" si="1"/>
        <v>2583.1742312865595</v>
      </c>
    </row>
    <row r="18" spans="2:10" s="83" customFormat="1" ht="18" customHeight="1" x14ac:dyDescent="0.2">
      <c r="B18" s="20" t="s">
        <v>181</v>
      </c>
      <c r="C18" s="3013">
        <f>'Table1.A(a)s2'!H24</f>
        <v>13867.544056210947</v>
      </c>
      <c r="D18" s="3013">
        <f>'Table1.A(a)s2'!I24</f>
        <v>0.26550517664676743</v>
      </c>
      <c r="E18" s="3013">
        <f>'Table1.A(a)s2'!J24</f>
        <v>0.15465014104088276</v>
      </c>
      <c r="F18" s="3014">
        <v>97.858635070469958</v>
      </c>
      <c r="G18" s="3014">
        <v>15.677976501783462</v>
      </c>
      <c r="H18" s="3014">
        <v>2.2889740137668579</v>
      </c>
      <c r="I18" s="3015">
        <v>56.063410983527838</v>
      </c>
      <c r="J18" s="3016">
        <f t="shared" si="1"/>
        <v>13915.96048853289</v>
      </c>
    </row>
    <row r="19" spans="2:10" s="83" customFormat="1" ht="18" customHeight="1" x14ac:dyDescent="0.2">
      <c r="B19" s="20" t="s">
        <v>182</v>
      </c>
      <c r="C19" s="3013">
        <f>'Table1.A(a)s2'!H31</f>
        <v>6570.5784458041981</v>
      </c>
      <c r="D19" s="3013">
        <f>'Table1.A(a)s2'!I31</f>
        <v>0.22639885085377853</v>
      </c>
      <c r="E19" s="3013">
        <f>'Table1.A(a)s2'!J31</f>
        <v>7.0444353591148021E-2</v>
      </c>
      <c r="F19" s="3014">
        <v>46.912907354186672</v>
      </c>
      <c r="G19" s="3014">
        <v>16.479126263179289</v>
      </c>
      <c r="H19" s="3014">
        <v>10.789520984315695</v>
      </c>
      <c r="I19" s="3015">
        <v>4.4312711152349591</v>
      </c>
      <c r="J19" s="3016">
        <f t="shared" si="1"/>
        <v>6595.5853673297579</v>
      </c>
    </row>
    <row r="20" spans="2:10" s="83" customFormat="1" ht="18" customHeight="1" x14ac:dyDescent="0.2">
      <c r="B20" s="20" t="s">
        <v>183</v>
      </c>
      <c r="C20" s="3013">
        <f>'Table1.A(a)s2'!H38</f>
        <v>1770.9591543256661</v>
      </c>
      <c r="D20" s="3013">
        <f>'Table1.A(a)s2'!I38</f>
        <v>0.24264111665164254</v>
      </c>
      <c r="E20" s="3013">
        <f>'Table1.A(a)s2'!J38</f>
        <v>0.16137317586815389</v>
      </c>
      <c r="F20" s="3014">
        <v>6.9711127892183722</v>
      </c>
      <c r="G20" s="3014">
        <v>5.9223303982804776</v>
      </c>
      <c r="H20" s="3014">
        <v>0.19346909786654781</v>
      </c>
      <c r="I20" s="3015">
        <v>2.6067714667339392</v>
      </c>
      <c r="J20" s="3016">
        <f t="shared" si="1"/>
        <v>1820.5169971969729</v>
      </c>
    </row>
    <row r="21" spans="2:10" s="83" customFormat="1" ht="18" customHeight="1" x14ac:dyDescent="0.2">
      <c r="B21" s="20" t="s">
        <v>184</v>
      </c>
      <c r="C21" s="3013">
        <f>'Table1.A(a)s2'!H45</f>
        <v>3309.006745054241</v>
      </c>
      <c r="D21" s="3013">
        <f>'Table1.A(a)s2'!I45</f>
        <v>0.93449619070877787</v>
      </c>
      <c r="E21" s="3013">
        <f>'Table1.A(a)s2'!J45</f>
        <v>0.60752144803479136</v>
      </c>
      <c r="F21" s="3014">
        <v>24.572835674882938</v>
      </c>
      <c r="G21" s="3014">
        <v>23.722453762561418</v>
      </c>
      <c r="H21" s="3014">
        <v>1.1273448615089536</v>
      </c>
      <c r="I21" s="3015">
        <v>6.7419671365595537</v>
      </c>
      <c r="J21" s="3016">
        <f t="shared" si="1"/>
        <v>3496.1658221233065</v>
      </c>
    </row>
    <row r="22" spans="2:10" s="83" customFormat="1" ht="18" customHeight="1" x14ac:dyDescent="0.2">
      <c r="B22" s="20" t="s">
        <v>185</v>
      </c>
      <c r="C22" s="3013">
        <f>'Table1.A(a)s2'!H52</f>
        <v>6117.5864879602923</v>
      </c>
      <c r="D22" s="3013">
        <f>'Table1.A(a)s2'!I52</f>
        <v>0.30835942225642404</v>
      </c>
      <c r="E22" s="3013">
        <f>'Table1.A(a)s2'!J52</f>
        <v>5.3581616885861105E-2</v>
      </c>
      <c r="F22" s="3014">
        <v>84.329527301314727</v>
      </c>
      <c r="G22" s="3014">
        <v>25.589152012181806</v>
      </c>
      <c r="H22" s="3014">
        <v>16.47035824604562</v>
      </c>
      <c r="I22" s="3015">
        <v>12.190907820977692</v>
      </c>
      <c r="J22" s="3016">
        <f t="shared" si="1"/>
        <v>6140.4196802582246</v>
      </c>
    </row>
    <row r="23" spans="2:10" s="83" customFormat="1" ht="18" customHeight="1" thickBot="1" x14ac:dyDescent="0.25">
      <c r="B23" s="3039" t="s">
        <v>186</v>
      </c>
      <c r="C23" s="3013">
        <f>'Table1.A(a)s2'!H59</f>
        <v>5982.4087980610984</v>
      </c>
      <c r="D23" s="3013">
        <f>'Table1.A(a)s2'!I59</f>
        <v>0.31403529309375094</v>
      </c>
      <c r="E23" s="3013">
        <f>'Table1.A(a)s2'!J59</f>
        <v>0.25497172349817698</v>
      </c>
      <c r="F23" s="3014">
        <v>242.35514867709614</v>
      </c>
      <c r="G23" s="3014">
        <v>77.9938938429313</v>
      </c>
      <c r="H23" s="3014">
        <v>36.647938147345926</v>
      </c>
      <c r="I23" s="3015">
        <v>5.8723659051543819</v>
      </c>
      <c r="J23" s="3016">
        <f t="shared" si="1"/>
        <v>6058.7692929947398</v>
      </c>
    </row>
    <row r="24" spans="2:10" s="83" customFormat="1" ht="18" customHeight="1" x14ac:dyDescent="0.2">
      <c r="B24" s="25" t="s">
        <v>187</v>
      </c>
      <c r="C24" s="3010">
        <f>IF(SUM(C25:C29)=0,"NO",SUM(C25:C29))</f>
        <v>80852.979449696941</v>
      </c>
      <c r="D24" s="3010">
        <f t="shared" ref="D24:I24" si="5">IF(SUM(D25:D29)=0,"NO",SUM(D25:D29))</f>
        <v>21.250291872052063</v>
      </c>
      <c r="E24" s="3010">
        <f t="shared" si="5"/>
        <v>6.8611210641272757</v>
      </c>
      <c r="F24" s="3010">
        <f t="shared" si="5"/>
        <v>328.61000146856833</v>
      </c>
      <c r="G24" s="3010">
        <f t="shared" si="5"/>
        <v>2340.3290352123486</v>
      </c>
      <c r="H24" s="3010">
        <f t="shared" si="5"/>
        <v>280.99451368768229</v>
      </c>
      <c r="I24" s="3011">
        <f t="shared" si="5"/>
        <v>26.988948170057611</v>
      </c>
      <c r="J24" s="3012">
        <f t="shared" si="1"/>
        <v>83266.18470410812</v>
      </c>
    </row>
    <row r="25" spans="2:10" s="83" customFormat="1" ht="18" customHeight="1" x14ac:dyDescent="0.2">
      <c r="B25" s="20" t="s">
        <v>188</v>
      </c>
      <c r="C25" s="1884">
        <f>'Table1.A(a)s3'!H16</f>
        <v>5631.9195275080992</v>
      </c>
      <c r="D25" s="1884">
        <f>'Table1.A(a)s3'!I16</f>
        <v>3.2313145981967759E-2</v>
      </c>
      <c r="E25" s="1884">
        <f>'Table1.A(a)s3'!J16</f>
        <v>4.7513134191234638E-2</v>
      </c>
      <c r="F25" s="3014">
        <v>19.099472849345826</v>
      </c>
      <c r="G25" s="3014">
        <v>12.713744879866649</v>
      </c>
      <c r="H25" s="3014">
        <v>1.2579521072800521</v>
      </c>
      <c r="I25" s="3015">
        <v>0.66441089578874535</v>
      </c>
      <c r="J25" s="3016">
        <f t="shared" si="1"/>
        <v>5645.4152761562718</v>
      </c>
    </row>
    <row r="26" spans="2:10" s="83" customFormat="1" ht="18" customHeight="1" x14ac:dyDescent="0.2">
      <c r="B26" s="20" t="s">
        <v>189</v>
      </c>
      <c r="C26" s="1884">
        <f>'Table1.A(a)s3'!H20</f>
        <v>70483.12326889293</v>
      </c>
      <c r="D26" s="1884">
        <f>'Table1.A(a)s3'!I20</f>
        <v>16.813597688741517</v>
      </c>
      <c r="E26" s="1884">
        <f>'Table1.A(a)s3'!J20</f>
        <v>5.9633929570165165</v>
      </c>
      <c r="F26" s="3014">
        <v>245.02952479631176</v>
      </c>
      <c r="G26" s="3014">
        <v>2097.7952212575551</v>
      </c>
      <c r="H26" s="3014">
        <v>240.09685969755392</v>
      </c>
      <c r="I26" s="3015">
        <v>13.843244077113678</v>
      </c>
      <c r="J26" s="3016">
        <f t="shared" si="1"/>
        <v>72534.203137787074</v>
      </c>
    </row>
    <row r="27" spans="2:10" s="83" customFormat="1" ht="18" customHeight="1" x14ac:dyDescent="0.2">
      <c r="B27" s="20" t="s">
        <v>190</v>
      </c>
      <c r="C27" s="1884">
        <f>'Table1.A(a)s3'!H81</f>
        <v>1896.0615838353001</v>
      </c>
      <c r="D27" s="1884">
        <f>'Table1.A(a)s3'!I81</f>
        <v>0.108501378188</v>
      </c>
      <c r="E27" s="1884">
        <f>'Table1.A(a)s3'!J81</f>
        <v>0.8137603364099999</v>
      </c>
      <c r="F27" s="3014">
        <v>41.501777156909995</v>
      </c>
      <c r="G27" s="3014">
        <v>5.4793195984940004</v>
      </c>
      <c r="H27" s="3014">
        <v>1.9258994628369996</v>
      </c>
      <c r="I27" s="3015">
        <v>1.5466205224166663</v>
      </c>
      <c r="J27" s="3016">
        <f t="shared" si="1"/>
        <v>2114.746111573214</v>
      </c>
    </row>
    <row r="28" spans="2:10" s="83" customFormat="1" ht="18" customHeight="1" x14ac:dyDescent="0.2">
      <c r="B28" s="20" t="s">
        <v>191</v>
      </c>
      <c r="C28" s="1884">
        <f>'Table1.A(a)s3'!H88</f>
        <v>2003.9659914091294</v>
      </c>
      <c r="D28" s="1884">
        <f>'Table1.A(a)s3'!I88</f>
        <v>4.142290838639533</v>
      </c>
      <c r="E28" s="1884">
        <f>'Table1.A(a)s3'!J88</f>
        <v>3.4781781383447077E-2</v>
      </c>
      <c r="F28" s="3014">
        <v>19.839366169302092</v>
      </c>
      <c r="G28" s="3014">
        <v>219.06981946836422</v>
      </c>
      <c r="H28" s="3014">
        <v>36.972711116140061</v>
      </c>
      <c r="I28" s="3015">
        <v>10.929293882044851</v>
      </c>
      <c r="J28" s="3016">
        <f t="shared" si="1"/>
        <v>2129.1673069576495</v>
      </c>
    </row>
    <row r="29" spans="2:10" s="83" customFormat="1" ht="18" customHeight="1" thickBot="1" x14ac:dyDescent="0.25">
      <c r="B29" s="22" t="s">
        <v>192</v>
      </c>
      <c r="C29" s="1888">
        <f>'Table1.A(a)s3'!H99</f>
        <v>837.90907805147526</v>
      </c>
      <c r="D29" s="1888">
        <f>'Table1.A(a)s3'!I99</f>
        <v>0.15358882050104805</v>
      </c>
      <c r="E29" s="1888">
        <f>'Table1.A(a)s3'!J99</f>
        <v>1.6728551260774525E-3</v>
      </c>
      <c r="F29" s="3021">
        <v>3.1398604966986325</v>
      </c>
      <c r="G29" s="3021">
        <v>5.2709300080688344</v>
      </c>
      <c r="H29" s="3021">
        <v>0.74109130387117594</v>
      </c>
      <c r="I29" s="3022">
        <v>5.3787926936684502E-3</v>
      </c>
      <c r="J29" s="3023">
        <f t="shared" si="1"/>
        <v>842.6528716339152</v>
      </c>
    </row>
    <row r="30" spans="2:10" ht="18" customHeight="1" x14ac:dyDescent="0.2">
      <c r="B30" s="26" t="s">
        <v>193</v>
      </c>
      <c r="C30" s="3010">
        <f>IF(SUM(C31:C33)=0,"NO",SUM(C31:C33))</f>
        <v>18814.077822321706</v>
      </c>
      <c r="D30" s="3010">
        <f t="shared" ref="D30" si="6">IF(SUM(D31:D33)=0,"NO",SUM(D31:D33))</f>
        <v>49.087281170128982</v>
      </c>
      <c r="E30" s="3010">
        <f t="shared" ref="E30" si="7">IF(SUM(E31:E33)=0,"NO",SUM(E31:E33))</f>
        <v>0.66256697571037104</v>
      </c>
      <c r="F30" s="3010">
        <f t="shared" ref="F30" si="8">IF(SUM(F31:F33)=0,"NO",SUM(F31:F33))</f>
        <v>358.33675697436524</v>
      </c>
      <c r="G30" s="3010">
        <f t="shared" ref="G30" si="9">IF(SUM(G31:G33)=0,"NO",SUM(G31:G33))</f>
        <v>782.82045830483264</v>
      </c>
      <c r="H30" s="3010">
        <f t="shared" ref="H30" si="10">IF(SUM(H31:H33)=0,"NO",SUM(H31:H33))</f>
        <v>126.35719127012314</v>
      </c>
      <c r="I30" s="3011">
        <f t="shared" ref="I30" si="11">IF(SUM(I31:I33)=0,"NO",SUM(I31:I33))</f>
        <v>7.6939125698418476</v>
      </c>
      <c r="J30" s="3024">
        <f t="shared" si="1"/>
        <v>20364.101943648566</v>
      </c>
    </row>
    <row r="31" spans="2:10" ht="18" customHeight="1" x14ac:dyDescent="0.2">
      <c r="B31" s="20" t="s">
        <v>194</v>
      </c>
      <c r="C31" s="3013">
        <f>'Table1.A(a)s4'!H17</f>
        <v>4623.8725658948006</v>
      </c>
      <c r="D31" s="3013">
        <f>'Table1.A(a)s4'!I17</f>
        <v>8.9172376979454626E-2</v>
      </c>
      <c r="E31" s="3013">
        <f>'Table1.A(a)s4'!J17</f>
        <v>8.9417113939653972E-2</v>
      </c>
      <c r="F31" s="3014">
        <v>31.046826763569079</v>
      </c>
      <c r="G31" s="3014">
        <v>9.2901625914977739</v>
      </c>
      <c r="H31" s="3014">
        <v>3.7734866316366098</v>
      </c>
      <c r="I31" s="3015">
        <v>2.4546549220199325</v>
      </c>
      <c r="J31" s="3016">
        <f t="shared" si="1"/>
        <v>4650.0649276442336</v>
      </c>
    </row>
    <row r="32" spans="2:10" ht="18" customHeight="1" x14ac:dyDescent="0.2">
      <c r="B32" s="20" t="s">
        <v>195</v>
      </c>
      <c r="C32" s="3013">
        <f>'Table1.A(a)s4'!H38</f>
        <v>8077.2838236623229</v>
      </c>
      <c r="D32" s="3013">
        <f>'Table1.A(a)s4'!I38</f>
        <v>48.474159424318358</v>
      </c>
      <c r="E32" s="3013">
        <f>'Table1.A(a)s4'!J38</f>
        <v>0.25533842627288161</v>
      </c>
      <c r="F32" s="3014">
        <v>11.382669604735574</v>
      </c>
      <c r="G32" s="3014">
        <v>645.18630954883281</v>
      </c>
      <c r="H32" s="3014">
        <v>74.636861197793891</v>
      </c>
      <c r="I32" s="3015">
        <v>0.54553650027805611</v>
      </c>
      <c r="J32" s="3016">
        <f t="shared" si="1"/>
        <v>9502.224970505551</v>
      </c>
    </row>
    <row r="33" spans="2:10" ht="18" customHeight="1" thickBot="1" x14ac:dyDescent="0.25">
      <c r="B33" s="20" t="s">
        <v>196</v>
      </c>
      <c r="C33" s="3013">
        <f>'Table1.A(a)s4'!H59</f>
        <v>6112.9214327645841</v>
      </c>
      <c r="D33" s="3013">
        <f>'Table1.A(a)s4'!I59</f>
        <v>0.52394936883116883</v>
      </c>
      <c r="E33" s="3013">
        <f>'Table1.A(a)s4'!J59</f>
        <v>0.31781143549783547</v>
      </c>
      <c r="F33" s="3014">
        <v>315.90726060606056</v>
      </c>
      <c r="G33" s="3014">
        <v>128.34398616450213</v>
      </c>
      <c r="H33" s="3014">
        <v>47.946843440692639</v>
      </c>
      <c r="I33" s="3015">
        <v>4.6937211475438589</v>
      </c>
      <c r="J33" s="3016">
        <f t="shared" si="1"/>
        <v>6211.8120454987829</v>
      </c>
    </row>
    <row r="34" spans="2:10" ht="18" customHeight="1" x14ac:dyDescent="0.2">
      <c r="B34" s="25" t="s">
        <v>197</v>
      </c>
      <c r="C34" s="3010">
        <f>IF(SUM(C35:C36)=0,"NO",SUM(C35:C36))</f>
        <v>645.81636822602309</v>
      </c>
      <c r="D34" s="3010">
        <f t="shared" ref="D34:E34" si="12">IF(SUM(D35:D36)=0,"NO",SUM(D35:D36))</f>
        <v>2.195320945925101E-2</v>
      </c>
      <c r="E34" s="3010">
        <f t="shared" si="12"/>
        <v>1.790403128715834E-2</v>
      </c>
      <c r="F34" s="3010">
        <f t="shared" ref="F34:I34" si="13">IF(SUM(F35:F36)=0,"NO",SUM(F35:F36))</f>
        <v>4.5578698366602035</v>
      </c>
      <c r="G34" s="3010">
        <f t="shared" si="13"/>
        <v>4.3976782560718481</v>
      </c>
      <c r="H34" s="3010">
        <f t="shared" si="13"/>
        <v>0.45107038590098236</v>
      </c>
      <c r="I34" s="3011">
        <f t="shared" si="13"/>
        <v>0.17997538158021345</v>
      </c>
      <c r="J34" s="3012">
        <f t="shared" si="1"/>
        <v>651.17562638197899</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645.81636822602309</v>
      </c>
      <c r="D36" s="3025">
        <f>'Table1.A(a)s4'!I108</f>
        <v>2.195320945925101E-2</v>
      </c>
      <c r="E36" s="3025">
        <f>'Table1.A(a)s4'!J108</f>
        <v>1.790403128715834E-2</v>
      </c>
      <c r="F36" s="3021">
        <v>4.5578698366602035</v>
      </c>
      <c r="G36" s="3021">
        <v>4.3976782560718481</v>
      </c>
      <c r="H36" s="3021">
        <v>0.45107038590098236</v>
      </c>
      <c r="I36" s="3022">
        <v>0.17997538158021345</v>
      </c>
      <c r="J36" s="3023">
        <f t="shared" si="1"/>
        <v>651.17562638197899</v>
      </c>
    </row>
    <row r="37" spans="2:10" ht="18" customHeight="1" thickBot="1" x14ac:dyDescent="0.25">
      <c r="B37" s="18" t="s">
        <v>201</v>
      </c>
      <c r="C37" s="3010">
        <f>IF(SUM(C38,C42)=0,"NO",SUM(C38,C42))</f>
        <v>7046.3897947247669</v>
      </c>
      <c r="D37" s="3010">
        <f t="shared" ref="D37:I37" si="14">IF(SUM(D38,D42)=0,"NO",SUM(D38,D42))</f>
        <v>1306.255510588835</v>
      </c>
      <c r="E37" s="3010">
        <f t="shared" si="14"/>
        <v>8.1167093632677129E-2</v>
      </c>
      <c r="F37" s="3010">
        <f t="shared" si="14"/>
        <v>2.5105739719884332</v>
      </c>
      <c r="G37" s="3010">
        <f t="shared" si="14"/>
        <v>14.559729037532914</v>
      </c>
      <c r="H37" s="3010">
        <f t="shared" si="14"/>
        <v>202.87134454263898</v>
      </c>
      <c r="I37" s="3011" t="str">
        <f t="shared" si="14"/>
        <v>NO</v>
      </c>
      <c r="J37" s="3012">
        <f t="shared" si="1"/>
        <v>43643.053371024806</v>
      </c>
    </row>
    <row r="38" spans="2:10" ht="18" customHeight="1" x14ac:dyDescent="0.2">
      <c r="B38" s="26" t="s">
        <v>202</v>
      </c>
      <c r="C38" s="3010">
        <f>IF(SUM(C39:C41)=0,"NO",SUM(C39:C41))</f>
        <v>1212.9142005812867</v>
      </c>
      <c r="D38" s="3010">
        <f t="shared" ref="D38" si="15">IF(SUM(D39:D41)=0,"NO",SUM(D39:D41))</f>
        <v>1100.0892930957061</v>
      </c>
      <c r="E38" s="3010">
        <f t="shared" ref="E38" si="16">IF(SUM(E39:E41)=0,"NO",SUM(E39:E41))</f>
        <v>1.2579774697436016E-4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32015.447743664005</v>
      </c>
    </row>
    <row r="39" spans="2:10" ht="18" customHeight="1" x14ac:dyDescent="0.2">
      <c r="B39" s="20" t="s">
        <v>203</v>
      </c>
      <c r="C39" s="3013">
        <f>'Table1.B.1'!G10</f>
        <v>1212.9142005812867</v>
      </c>
      <c r="D39" s="3013">
        <f>'Table1.B.1'!F10</f>
        <v>1100.0892930957061</v>
      </c>
      <c r="E39" s="3014">
        <v>1.2579774697436016E-4</v>
      </c>
      <c r="F39" s="3014" t="s">
        <v>199</v>
      </c>
      <c r="G39" s="3014" t="s">
        <v>199</v>
      </c>
      <c r="H39" s="3014" t="s">
        <v>199</v>
      </c>
      <c r="I39" s="2940"/>
      <c r="J39" s="3016">
        <f t="shared" si="1"/>
        <v>32015.447743664005</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5833.4755941434805</v>
      </c>
      <c r="D42" s="3010">
        <f t="shared" ref="D42:I42" si="21">IF(SUM(D43:D46)=0,"NO",SUM(D43:D46))</f>
        <v>206.16621749312901</v>
      </c>
      <c r="E42" s="4491">
        <f t="shared" si="21"/>
        <v>8.1041295885702774E-2</v>
      </c>
      <c r="F42" s="3010">
        <f t="shared" si="21"/>
        <v>2.5105739719884332</v>
      </c>
      <c r="G42" s="3010">
        <f t="shared" si="21"/>
        <v>14.559729037532914</v>
      </c>
      <c r="H42" s="3010">
        <f t="shared" si="21"/>
        <v>202.87134454263898</v>
      </c>
      <c r="I42" s="3011" t="str">
        <f t="shared" si="21"/>
        <v>NO</v>
      </c>
      <c r="J42" s="3012">
        <f t="shared" ref="J42:J59" si="22">IF(SUM(C42:E42)=0,"NO",SUM(C42,IFERROR(28*D42,0),IFERROR(265*E42,0)))</f>
        <v>11627.605627360805</v>
      </c>
    </row>
    <row r="43" spans="2:10" ht="18" customHeight="1" x14ac:dyDescent="0.2">
      <c r="B43" s="20" t="s">
        <v>208</v>
      </c>
      <c r="C43" s="3013">
        <f>'Table1.B.2'!I10</f>
        <v>398.12117440353597</v>
      </c>
      <c r="D43" s="3013">
        <f>'Table1.B.2'!J10</f>
        <v>3.0057938012096277</v>
      </c>
      <c r="E43" s="4492">
        <f>'Table1.B.2'!K10</f>
        <v>1.1986443012435894E-2</v>
      </c>
      <c r="F43" s="3014">
        <v>0.22130506666666672</v>
      </c>
      <c r="G43" s="3014">
        <v>1.2835693866666666</v>
      </c>
      <c r="H43" s="3014">
        <v>94.011306208333338</v>
      </c>
      <c r="I43" s="3015" t="s">
        <v>199</v>
      </c>
      <c r="J43" s="3016">
        <f t="shared" si="22"/>
        <v>485.45980823570108</v>
      </c>
    </row>
    <row r="44" spans="2:10" ht="18" customHeight="1" x14ac:dyDescent="0.2">
      <c r="B44" s="20" t="s">
        <v>209</v>
      </c>
      <c r="C44" s="3013">
        <f>SUM('Table1.B.2'!I21)</f>
        <v>27.60351769932694</v>
      </c>
      <c r="D44" s="3013">
        <f>'Table1.B.2'!J21</f>
        <v>144.56459190298517</v>
      </c>
      <c r="E44" s="4492">
        <f>'Table1.B.2'!K21</f>
        <v>5.4769184249978706E-4</v>
      </c>
      <c r="F44" s="3014">
        <v>1.0142441527773837E-2</v>
      </c>
      <c r="G44" s="3014">
        <v>5.8826160861088245E-2</v>
      </c>
      <c r="H44" s="3014">
        <v>86.07177369636571</v>
      </c>
      <c r="I44" s="3015" t="s">
        <v>199</v>
      </c>
      <c r="J44" s="3016">
        <f t="shared" si="22"/>
        <v>4075.557229321174</v>
      </c>
    </row>
    <row r="45" spans="2:10" ht="18" customHeight="1" x14ac:dyDescent="0.2">
      <c r="B45" s="20" t="s">
        <v>210</v>
      </c>
      <c r="C45" s="3013">
        <f>'Table1.B.2'!I31</f>
        <v>5407.7509020406178</v>
      </c>
      <c r="D45" s="3013">
        <f>'Table1.B.2'!J31</f>
        <v>58.595831788934227</v>
      </c>
      <c r="E45" s="4492">
        <f>'Table1.B.2'!K31</f>
        <v>6.8507161030767094E-2</v>
      </c>
      <c r="F45" s="3014">
        <v>2.2791264637939928</v>
      </c>
      <c r="G45" s="3014">
        <v>13.21733349000516</v>
      </c>
      <c r="H45" s="3014">
        <v>22.788264637939932</v>
      </c>
      <c r="I45" s="3015" t="s">
        <v>199</v>
      </c>
      <c r="J45" s="3016">
        <f t="shared" si="22"/>
        <v>7066.5885898039296</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11377.083790508199</v>
      </c>
      <c r="D52" s="3013">
        <f t="shared" ref="D52:I52" si="23">IF(SUM(D53:D54)=0,"NO",SUM(D53:D54))</f>
        <v>0.30310617725400008</v>
      </c>
      <c r="E52" s="3013">
        <f t="shared" si="23"/>
        <v>0.12637548478873684</v>
      </c>
      <c r="F52" s="3013">
        <f t="shared" si="23"/>
        <v>121.05226110545263</v>
      </c>
      <c r="G52" s="3013">
        <f t="shared" si="23"/>
        <v>16.125495730506422</v>
      </c>
      <c r="H52" s="3013">
        <f t="shared" si="23"/>
        <v>8.8393168316549477</v>
      </c>
      <c r="I52" s="3034">
        <f t="shared" si="23"/>
        <v>42.858101562153827</v>
      </c>
      <c r="J52" s="3016">
        <f t="shared" si="22"/>
        <v>11419.060266940325</v>
      </c>
    </row>
    <row r="53" spans="2:10" ht="18" customHeight="1" x14ac:dyDescent="0.2">
      <c r="B53" s="164" t="s">
        <v>218</v>
      </c>
      <c r="C53" s="3013">
        <f>Table1.D!G10</f>
        <v>8381.4122918399989</v>
      </c>
      <c r="D53" s="3013">
        <f>Table1.D!H10</f>
        <v>1.5065205000000002E-2</v>
      </c>
      <c r="E53" s="3013">
        <f>Table1.D!I10</f>
        <v>4.4078064144736841E-2</v>
      </c>
      <c r="F53" s="3014">
        <v>42.486436146052633</v>
      </c>
      <c r="G53" s="3014">
        <v>13.25766703236842</v>
      </c>
      <c r="H53" s="3014">
        <v>6.3979888590789473</v>
      </c>
      <c r="I53" s="3015">
        <v>0.98746524128000013</v>
      </c>
      <c r="J53" s="3016">
        <f t="shared" si="22"/>
        <v>8393.5148045783553</v>
      </c>
    </row>
    <row r="54" spans="2:10" ht="18" customHeight="1" x14ac:dyDescent="0.2">
      <c r="B54" s="164" t="s">
        <v>219</v>
      </c>
      <c r="C54" s="3013">
        <f>Table1.D!G14</f>
        <v>2995.6714986682</v>
      </c>
      <c r="D54" s="3013">
        <f>Table1.D!H14</f>
        <v>0.28804097225400005</v>
      </c>
      <c r="E54" s="3013">
        <f>Table1.D!I14</f>
        <v>8.2297420644000002E-2</v>
      </c>
      <c r="F54" s="3014">
        <v>78.565824959400004</v>
      </c>
      <c r="G54" s="3014">
        <v>2.8678286981380001</v>
      </c>
      <c r="H54" s="3014">
        <v>2.441327972576</v>
      </c>
      <c r="I54" s="3015">
        <v>41.870636320873828</v>
      </c>
      <c r="J54" s="3016">
        <f t="shared" si="22"/>
        <v>3025.5454623619721</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19104.041734213242</v>
      </c>
      <c r="D56" s="3035"/>
      <c r="E56" s="3035"/>
      <c r="F56" s="3035"/>
      <c r="G56" s="3035"/>
      <c r="H56" s="3035"/>
      <c r="I56" s="2976"/>
      <c r="J56" s="3020">
        <f t="shared" si="22"/>
        <v>19104.041734213242</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134350.244266997</v>
      </c>
      <c r="D10" s="3491" t="s">
        <v>199</v>
      </c>
      <c r="E10" s="3491">
        <v>26.294412850000001</v>
      </c>
      <c r="F10" s="3491">
        <v>731.17993766300003</v>
      </c>
      <c r="G10" s="3491" t="s">
        <v>199</v>
      </c>
      <c r="H10" s="3491">
        <v>0.49560478699999999</v>
      </c>
      <c r="I10" s="3491" t="s">
        <v>199</v>
      </c>
      <c r="J10" s="3491">
        <v>35.506225598</v>
      </c>
      <c r="K10" s="3491" t="s">
        <v>199</v>
      </c>
      <c r="L10" s="3491" t="s">
        <v>199</v>
      </c>
      <c r="M10" s="3492">
        <f>IF(SUM(C10:L10)=0,"NO",SUM(C10:L10))</f>
        <v>135143.72044789497</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12.727119944</v>
      </c>
      <c r="D12" s="3491" t="s">
        <v>199</v>
      </c>
      <c r="E12" s="3491">
        <v>39934.642055584001</v>
      </c>
      <c r="F12" s="3491" t="s">
        <v>274</v>
      </c>
      <c r="G12" s="3491" t="s">
        <v>199</v>
      </c>
      <c r="H12" s="3491" t="s">
        <v>274</v>
      </c>
      <c r="I12" s="3491" t="s">
        <v>199</v>
      </c>
      <c r="J12" s="3491" t="s">
        <v>274</v>
      </c>
      <c r="K12" s="3491" t="s">
        <v>199</v>
      </c>
      <c r="L12" s="3491" t="s">
        <v>199</v>
      </c>
      <c r="M12" s="3492">
        <f t="shared" si="0"/>
        <v>39947.369175528002</v>
      </c>
    </row>
    <row r="13" spans="2:13" ht="18" customHeight="1" x14ac:dyDescent="0.2">
      <c r="B13" s="2303" t="s">
        <v>1296</v>
      </c>
      <c r="C13" s="3491">
        <v>509.26013151400002</v>
      </c>
      <c r="D13" s="3491" t="s">
        <v>199</v>
      </c>
      <c r="E13" s="3491" t="s">
        <v>274</v>
      </c>
      <c r="F13" s="3491">
        <v>517807.30944675399</v>
      </c>
      <c r="G13" s="3491" t="s">
        <v>199</v>
      </c>
      <c r="H13" s="3491" t="s">
        <v>274</v>
      </c>
      <c r="I13" s="3491" t="s">
        <v>199</v>
      </c>
      <c r="J13" s="3491" t="s">
        <v>274</v>
      </c>
      <c r="K13" s="3491" t="s">
        <v>199</v>
      </c>
      <c r="L13" s="3491" t="s">
        <v>199</v>
      </c>
      <c r="M13" s="3492">
        <f t="shared" si="0"/>
        <v>518316.56957826798</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7.6128987060000002</v>
      </c>
      <c r="D15" s="3491" t="s">
        <v>199</v>
      </c>
      <c r="E15" s="3491">
        <v>0.63304705100000003</v>
      </c>
      <c r="F15" s="3491">
        <v>2.443871627</v>
      </c>
      <c r="G15" s="3491" t="s">
        <v>199</v>
      </c>
      <c r="H15" s="3491">
        <v>13317.267702622999</v>
      </c>
      <c r="I15" s="3491" t="s">
        <v>199</v>
      </c>
      <c r="J15" s="3491" t="s">
        <v>199</v>
      </c>
      <c r="K15" s="3491" t="s">
        <v>199</v>
      </c>
      <c r="L15" s="3491" t="s">
        <v>199</v>
      </c>
      <c r="M15" s="3492">
        <f t="shared" si="0"/>
        <v>13327.957520006999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9.1746876159999999</v>
      </c>
      <c r="D17" s="3491" t="s">
        <v>199</v>
      </c>
      <c r="E17" s="3491" t="s">
        <v>199</v>
      </c>
      <c r="F17" s="3491" t="s">
        <v>199</v>
      </c>
      <c r="G17" s="3491" t="s">
        <v>199</v>
      </c>
      <c r="H17" s="3491" t="s">
        <v>199</v>
      </c>
      <c r="I17" s="3491" t="s">
        <v>199</v>
      </c>
      <c r="J17" s="3491">
        <v>1391.5797448650001</v>
      </c>
      <c r="K17" s="3491" t="s">
        <v>199</v>
      </c>
      <c r="L17" s="3491" t="s">
        <v>199</v>
      </c>
      <c r="M17" s="3492">
        <f t="shared" si="0"/>
        <v>1400.7544324810001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134889.01910477699</v>
      </c>
      <c r="D20" s="3493" t="str">
        <f t="shared" ref="D20:L20" si="1">IF(SUM(D10:D19)=0,"NO",SUM(D10:D19))</f>
        <v>NO</v>
      </c>
      <c r="E20" s="3493">
        <f t="shared" si="1"/>
        <v>39961.569515485004</v>
      </c>
      <c r="F20" s="3493">
        <f t="shared" si="1"/>
        <v>518540.93325604399</v>
      </c>
      <c r="G20" s="3493" t="str">
        <f t="shared" si="1"/>
        <v>NO</v>
      </c>
      <c r="H20" s="3493">
        <f t="shared" si="1"/>
        <v>13317.763307409999</v>
      </c>
      <c r="I20" s="3493" t="str">
        <f t="shared" si="1"/>
        <v>NO</v>
      </c>
      <c r="J20" s="3493">
        <f t="shared" si="1"/>
        <v>1427.085970463</v>
      </c>
      <c r="K20" s="3493">
        <f t="shared" si="1"/>
        <v>60692.328845821001</v>
      </c>
      <c r="L20" s="3493" t="str">
        <f t="shared" si="1"/>
        <v>NO</v>
      </c>
      <c r="M20" s="3492">
        <f t="shared" si="0"/>
        <v>768828.7</v>
      </c>
    </row>
    <row r="21" spans="2:13" ht="18" customHeight="1" thickBot="1" x14ac:dyDescent="0.25">
      <c r="B21" s="2305" t="s">
        <v>1304</v>
      </c>
      <c r="C21" s="3494">
        <f>IF(SUM(C20)=0,"NO",C20-M10)</f>
        <v>-254.70134311798029</v>
      </c>
      <c r="D21" s="3494" t="str">
        <f>IF(SUM(D20)=0,"NO",D20-M11)</f>
        <v>NO</v>
      </c>
      <c r="E21" s="3494">
        <f>IF(SUM(E20)=0,"NO",E20-M12)</f>
        <v>14.200339957002143</v>
      </c>
      <c r="F21" s="3494">
        <f>IF(SUM(F20)=0,"NO",F20-M13)</f>
        <v>224.36367777601117</v>
      </c>
      <c r="G21" s="3494" t="str">
        <f>IF(SUM(G20)=0,"NO",G20-M14)</f>
        <v>NO</v>
      </c>
      <c r="H21" s="3494">
        <f>IF(SUM(H20)=0,"NO",H20-M15)</f>
        <v>-10.194212596999932</v>
      </c>
      <c r="I21" s="3494" t="str">
        <f>IF(SUM(I20)=0,"NO",I20-M16)</f>
        <v>NO</v>
      </c>
      <c r="J21" s="3494">
        <f>IF(SUM(J20)=0,"NO",J20-M17)</f>
        <v>26.331537981999872</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135026.74208093889</v>
      </c>
      <c r="E10" s="3498">
        <f t="shared" ref="E10:U10" si="0">IF(SUM(E11,E16)=0,"IE",SUM(E11,E16))</f>
        <v>134889.01910477737</v>
      </c>
      <c r="F10" s="3499">
        <f t="shared" si="0"/>
        <v>137.72297616150209</v>
      </c>
      <c r="G10" s="3500">
        <f t="shared" ref="G10:K11" si="1">IFERROR(IF(SUM($D10)=0,"NA",N10/$D10),"NA")</f>
        <v>7.6898191659756504E-2</v>
      </c>
      <c r="H10" s="3057">
        <f t="shared" si="1"/>
        <v>-1.0078889312227736E-2</v>
      </c>
      <c r="I10" s="3057">
        <f t="shared" si="1"/>
        <v>6.6819302347528781E-2</v>
      </c>
      <c r="J10" s="3057">
        <f t="shared" si="1"/>
        <v>8.3005917084225875E-3</v>
      </c>
      <c r="K10" s="3057">
        <f t="shared" si="1"/>
        <v>1.2892073768381277E-2</v>
      </c>
      <c r="L10" s="3057">
        <f>IFERROR(IF(SUM(E10)=0,"NA",S10/E10),"NA")</f>
        <v>1.2256836469584605E-3</v>
      </c>
      <c r="M10" s="3106">
        <f>IFERROR(IF(SUM(F10)=0,"NA",T10/F10),"NA")</f>
        <v>-0.15448032368381573</v>
      </c>
      <c r="N10" s="3501">
        <f t="shared" si="0"/>
        <v>10383.312291732547</v>
      </c>
      <c r="O10" s="3502">
        <f t="shared" si="0"/>
        <v>-1360.919587624506</v>
      </c>
      <c r="P10" s="3502">
        <f t="shared" si="0"/>
        <v>9022.3927041080424</v>
      </c>
      <c r="Q10" s="3502">
        <f t="shared" si="0"/>
        <v>1120.8018557323567</v>
      </c>
      <c r="R10" s="3502">
        <f t="shared" si="0"/>
        <v>1740.7747196116566</v>
      </c>
      <c r="S10" s="3502">
        <f t="shared" si="0"/>
        <v>165.33126487099298</v>
      </c>
      <c r="T10" s="3503">
        <f t="shared" si="0"/>
        <v>-21.275489936127279</v>
      </c>
      <c r="U10" s="4260">
        <f t="shared" si="0"/>
        <v>-44102.758532752043</v>
      </c>
      <c r="W10" s="2422"/>
    </row>
    <row r="11" spans="2:23" ht="18" customHeight="1" x14ac:dyDescent="0.2">
      <c r="B11" s="492" t="s">
        <v>1253</v>
      </c>
      <c r="C11" s="2282"/>
      <c r="D11" s="3504">
        <f>IF(SUM(D12:D15)=0,"IE",SUM(D12:D15))</f>
        <v>126254.36133955199</v>
      </c>
      <c r="E11" s="3505">
        <f t="shared" ref="E11:U11" si="2">IF(SUM(E12:E15)=0,"IE",SUM(E12:E15))</f>
        <v>126254.36133955199</v>
      </c>
      <c r="F11" s="3506" t="str">
        <f t="shared" si="2"/>
        <v>IE</v>
      </c>
      <c r="G11" s="3500">
        <f t="shared" si="1"/>
        <v>3.5460740742360018E-2</v>
      </c>
      <c r="H11" s="3057">
        <f t="shared" si="1"/>
        <v>-1.0772219794470714E-2</v>
      </c>
      <c r="I11" s="3057">
        <f t="shared" si="1"/>
        <v>2.4688520947889314E-2</v>
      </c>
      <c r="J11" s="3057">
        <f t="shared" si="1"/>
        <v>-3.4663687461055489E-3</v>
      </c>
      <c r="K11" s="3057">
        <f t="shared" si="1"/>
        <v>2.6370148258893149E-3</v>
      </c>
      <c r="L11" s="3057">
        <f t="shared" ref="L11:L28" si="3">IFERROR(IF(SUM(E11)=0,"NA",S11/E11),"NA")</f>
        <v>1.7923506771214216E-2</v>
      </c>
      <c r="M11" s="3106" t="str">
        <f t="shared" ref="M11:M28" si="4">IFERROR(IF(SUM(F11)=0,"NA",T11/F11),"NA")</f>
        <v>NA</v>
      </c>
      <c r="N11" s="3087">
        <f t="shared" si="2"/>
        <v>4477.0731750540954</v>
      </c>
      <c r="O11" s="3087">
        <f t="shared" si="2"/>
        <v>-1360.0397303601801</v>
      </c>
      <c r="P11" s="3087">
        <f t="shared" si="2"/>
        <v>3117.033444693916</v>
      </c>
      <c r="Q11" s="3087">
        <f t="shared" si="2"/>
        <v>-437.64417220693974</v>
      </c>
      <c r="R11" s="3507">
        <f t="shared" si="2"/>
        <v>332.93462268558534</v>
      </c>
      <c r="S11" s="3507">
        <f t="shared" si="2"/>
        <v>2262.9209003647866</v>
      </c>
      <c r="T11" s="3507" t="str">
        <f t="shared" si="2"/>
        <v>IE</v>
      </c>
      <c r="U11" s="4261">
        <f t="shared" si="2"/>
        <v>-19342.564250303611</v>
      </c>
      <c r="W11" s="2423"/>
    </row>
    <row r="12" spans="2:23" ht="18" customHeight="1" x14ac:dyDescent="0.2">
      <c r="B12" s="490"/>
      <c r="C12" s="498" t="s">
        <v>1339</v>
      </c>
      <c r="D12" s="3509">
        <f>IF(SUM(E12:F12)=0,E12,SUM(E12:F12))</f>
        <v>17555.500470429353</v>
      </c>
      <c r="E12" s="3510">
        <v>17555.500470429353</v>
      </c>
      <c r="F12" s="3496" t="s">
        <v>274</v>
      </c>
      <c r="G12" s="3500">
        <f>IFERROR(IF(SUM($D12)=0,"NA",N12/$D12),"NA")</f>
        <v>0.25502395574511355</v>
      </c>
      <c r="H12" s="3057" t="str">
        <f>IFERROR(IF(SUM($D12)=0,"NA",O12/$D12),"NA")</f>
        <v>NA</v>
      </c>
      <c r="I12" s="3057">
        <f>IFERROR(IF(SUM($D12)=0,"NA",P12/$D12),"NA")</f>
        <v>0.25502395574511355</v>
      </c>
      <c r="J12" s="3057">
        <f>IFERROR(IF(SUM($D12)=0,"NA",Q12/$D12),"NA")</f>
        <v>-2.7060298882733411E-2</v>
      </c>
      <c r="K12" s="3057">
        <f>IFERROR(IF(SUM($D12)=0,"NA",R12/$D12),"NA")</f>
        <v>1.4749381021955514E-2</v>
      </c>
      <c r="L12" s="3057">
        <f t="shared" si="3"/>
        <v>9.5372242637850921E-2</v>
      </c>
      <c r="M12" s="3106" t="str">
        <f t="shared" si="4"/>
        <v>NA</v>
      </c>
      <c r="N12" s="2917">
        <v>4477.0731750540954</v>
      </c>
      <c r="O12" s="2917" t="s">
        <v>274</v>
      </c>
      <c r="P12" s="3087">
        <f>IF(SUM(N12:O12)=0,N12,SUM(N12:O12))</f>
        <v>4477.0731750540954</v>
      </c>
      <c r="Q12" s="2917">
        <v>-475.05708976578529</v>
      </c>
      <c r="R12" s="2918">
        <v>258.93276546948181</v>
      </c>
      <c r="S12" s="2918">
        <v>1674.3074504946942</v>
      </c>
      <c r="T12" s="2918" t="s">
        <v>274</v>
      </c>
      <c r="U12" s="4262">
        <f>IF(SUM(P12:T12)=0,P12,SUM(P12:T12)*-44/12)</f>
        <v>-21762.606437925784</v>
      </c>
      <c r="W12" s="2424"/>
    </row>
    <row r="13" spans="2:23" ht="18" customHeight="1" x14ac:dyDescent="0.2">
      <c r="B13" s="490"/>
      <c r="C13" s="498" t="s">
        <v>1340</v>
      </c>
      <c r="D13" s="3509">
        <f t="shared" ref="D13:D15" si="5">IF(SUM(E13:F13)=0,E13,SUM(E13:F13))</f>
        <v>681.45988290815194</v>
      </c>
      <c r="E13" s="3510">
        <v>681.45988290815194</v>
      </c>
      <c r="F13" s="3496" t="s">
        <v>274</v>
      </c>
      <c r="G13" s="3500" t="str">
        <f t="shared" ref="G13:K28" si="6">IFERROR(IF(SUM($D13)=0,"NA",N13/$D13),"NA")</f>
        <v>NA</v>
      </c>
      <c r="H13" s="3057">
        <f t="shared" si="6"/>
        <v>-0.55425082813981197</v>
      </c>
      <c r="I13" s="3057">
        <f t="shared" si="6"/>
        <v>-0.55425082813981197</v>
      </c>
      <c r="J13" s="3057">
        <f t="shared" si="6"/>
        <v>0.53048448395986625</v>
      </c>
      <c r="K13" s="3057">
        <f t="shared" si="6"/>
        <v>0.39537821465890227</v>
      </c>
      <c r="L13" s="3057">
        <f t="shared" si="3"/>
        <v>0.86375363338802247</v>
      </c>
      <c r="M13" s="3106" t="str">
        <f t="shared" si="4"/>
        <v>NA</v>
      </c>
      <c r="N13" s="2917" t="s">
        <v>274</v>
      </c>
      <c r="O13" s="2917">
        <v>-377.69970444590251</v>
      </c>
      <c r="P13" s="3087">
        <f t="shared" ref="P13:P15" si="7">IF(SUM(N13:O13)=0,N13,SUM(N13:O13))</f>
        <v>-377.69970444590251</v>
      </c>
      <c r="Q13" s="2917">
        <v>361.50389432388187</v>
      </c>
      <c r="R13" s="2918">
        <v>269.43439186588972</v>
      </c>
      <c r="S13" s="2918">
        <v>588.61344987009261</v>
      </c>
      <c r="T13" s="2918" t="s">
        <v>274</v>
      </c>
      <c r="U13" s="4262">
        <f t="shared" ref="U13:U15" si="8">IF(SUM(P13:T13)=0,P13,SUM(P13:T13)*-44/12)</f>
        <v>-3086.7907825845264</v>
      </c>
      <c r="W13" s="2424"/>
    </row>
    <row r="14" spans="2:23" ht="18" customHeight="1" x14ac:dyDescent="0.2">
      <c r="B14" s="490"/>
      <c r="C14" s="498" t="s">
        <v>1341</v>
      </c>
      <c r="D14" s="3509">
        <f t="shared" si="5"/>
        <v>108017.40098621449</v>
      </c>
      <c r="E14" s="3510">
        <v>108017.40098621449</v>
      </c>
      <c r="F14" s="3496" t="s">
        <v>274</v>
      </c>
      <c r="G14" s="3500" t="str">
        <f t="shared" si="6"/>
        <v>NA</v>
      </c>
      <c r="H14" s="3057">
        <f t="shared" si="6"/>
        <v>-1.0670044714203219E-3</v>
      </c>
      <c r="I14" s="3057">
        <f t="shared" si="6"/>
        <v>-1.0670044714203219E-3</v>
      </c>
      <c r="J14" s="3057">
        <f t="shared" si="6"/>
        <v>-2.636713784137496E-3</v>
      </c>
      <c r="K14" s="3057">
        <f t="shared" si="6"/>
        <v>-1.80926899615672E-3</v>
      </c>
      <c r="L14" s="3057" t="str">
        <f t="shared" si="3"/>
        <v>NA</v>
      </c>
      <c r="M14" s="3106" t="str">
        <f t="shared" si="4"/>
        <v>NA</v>
      </c>
      <c r="N14" s="2917" t="s">
        <v>274</v>
      </c>
      <c r="O14" s="2917">
        <v>-115.25504984349276</v>
      </c>
      <c r="P14" s="3087">
        <f t="shared" si="7"/>
        <v>-115.25504984349276</v>
      </c>
      <c r="Q14" s="2917">
        <v>-284.81097010705889</v>
      </c>
      <c r="R14" s="2918">
        <v>-195.43253464978619</v>
      </c>
      <c r="S14" s="2918" t="s">
        <v>205</v>
      </c>
      <c r="T14" s="2918" t="s">
        <v>205</v>
      </c>
      <c r="U14" s="4262">
        <f t="shared" si="8"/>
        <v>2183.4947002012391</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-867.08497607078482</v>
      </c>
      <c r="P15" s="3087">
        <f t="shared" si="7"/>
        <v>-867.08497607078482</v>
      </c>
      <c r="Q15" s="2917">
        <v>-39.28000665797741</v>
      </c>
      <c r="R15" s="2918" t="s">
        <v>205</v>
      </c>
      <c r="S15" s="2918" t="s">
        <v>205</v>
      </c>
      <c r="T15" s="2918" t="s">
        <v>205</v>
      </c>
      <c r="U15" s="4262">
        <f t="shared" si="8"/>
        <v>3323.3382700054613</v>
      </c>
      <c r="W15" s="2424"/>
    </row>
    <row r="16" spans="2:23" ht="18" customHeight="1" x14ac:dyDescent="0.2">
      <c r="B16" s="475" t="s">
        <v>1343</v>
      </c>
      <c r="C16" s="494"/>
      <c r="D16" s="3509">
        <f>IF(SUM(D17,D19,D23,D25,D27)=0,"IE",SUM(D17,D19,D23,D25,D27))</f>
        <v>8772.3807413868872</v>
      </c>
      <c r="E16" s="3512">
        <f t="shared" ref="E16:T16" si="9">IF(SUM(E17,E19,E23,E25,E27)=0,"IE",SUM(E17,E19,E23,E25,E27))</f>
        <v>8634.6577652253854</v>
      </c>
      <c r="F16" s="3513">
        <f t="shared" si="9"/>
        <v>137.72297616150209</v>
      </c>
      <c r="G16" s="3500">
        <f t="shared" si="6"/>
        <v>0.67327664983960711</v>
      </c>
      <c r="H16" s="3057">
        <f t="shared" si="6"/>
        <v>-1.0029857233338122E-4</v>
      </c>
      <c r="I16" s="3057">
        <f t="shared" si="6"/>
        <v>0.6731763512672736</v>
      </c>
      <c r="J16" s="3057">
        <f t="shared" si="6"/>
        <v>0.17765371498147156</v>
      </c>
      <c r="K16" s="3057">
        <f t="shared" si="6"/>
        <v>0.16048552136868333</v>
      </c>
      <c r="L16" s="3057">
        <f t="shared" si="3"/>
        <v>-0.24292678326423994</v>
      </c>
      <c r="M16" s="3106">
        <f t="shared" si="4"/>
        <v>-0.15448032368381573</v>
      </c>
      <c r="N16" s="3057">
        <f t="shared" si="9"/>
        <v>5906.2391166784519</v>
      </c>
      <c r="O16" s="3057">
        <f t="shared" si="9"/>
        <v>-0.87985726432595301</v>
      </c>
      <c r="P16" s="3057">
        <f t="shared" si="9"/>
        <v>5905.3592594141255</v>
      </c>
      <c r="Q16" s="3057">
        <f t="shared" si="9"/>
        <v>1558.4460279392963</v>
      </c>
      <c r="R16" s="3514">
        <f t="shared" si="9"/>
        <v>1407.8400969260713</v>
      </c>
      <c r="S16" s="3514">
        <f t="shared" si="9"/>
        <v>-2097.5896354937936</v>
      </c>
      <c r="T16" s="3514">
        <f t="shared" si="9"/>
        <v>-21.275489936127279</v>
      </c>
      <c r="U16" s="4262">
        <f>IF(SUM(U17,U19,U23,U25,U27)=0,"IE",SUM(U17,U19,U23,U25,U27))</f>
        <v>-24760.194282448432</v>
      </c>
      <c r="W16" s="2048"/>
    </row>
    <row r="17" spans="2:23" ht="18" customHeight="1" x14ac:dyDescent="0.2">
      <c r="B17" s="477" t="s">
        <v>1344</v>
      </c>
      <c r="C17" s="494"/>
      <c r="D17" s="3509">
        <f>D18</f>
        <v>55.14160580456528</v>
      </c>
      <c r="E17" s="3512">
        <f t="shared" ref="E17:U17" si="10">E18</f>
        <v>55.14160580456528</v>
      </c>
      <c r="F17" s="3513" t="str">
        <f t="shared" si="10"/>
        <v>NO</v>
      </c>
      <c r="G17" s="3500">
        <f t="shared" si="6"/>
        <v>1.3741434025889772</v>
      </c>
      <c r="H17" s="3057" t="str">
        <f t="shared" si="6"/>
        <v>NA</v>
      </c>
      <c r="I17" s="3057">
        <f t="shared" si="6"/>
        <v>1.3741434025889772</v>
      </c>
      <c r="J17" s="3057">
        <f t="shared" si="6"/>
        <v>4.8438248734182406E-2</v>
      </c>
      <c r="K17" s="3057">
        <f t="shared" si="6"/>
        <v>2.4310229096232407E-2</v>
      </c>
      <c r="L17" s="3057">
        <f t="shared" si="3"/>
        <v>-0.33043650424089077</v>
      </c>
      <c r="M17" s="3106" t="str">
        <f t="shared" si="4"/>
        <v>NA</v>
      </c>
      <c r="N17" s="3057">
        <f t="shared" si="10"/>
        <v>75.772473824505425</v>
      </c>
      <c r="O17" s="3057" t="str">
        <f t="shared" si="10"/>
        <v>IE</v>
      </c>
      <c r="P17" s="3057">
        <f t="shared" si="10"/>
        <v>75.772473824505425</v>
      </c>
      <c r="Q17" s="3057">
        <f t="shared" si="10"/>
        <v>2.6709628175637694</v>
      </c>
      <c r="R17" s="3514">
        <f t="shared" si="10"/>
        <v>1.3405050698431207</v>
      </c>
      <c r="S17" s="3514">
        <f t="shared" si="10"/>
        <v>-18.220799460289761</v>
      </c>
      <c r="T17" s="3514" t="str">
        <f t="shared" si="10"/>
        <v>NO</v>
      </c>
      <c r="U17" s="4262">
        <f t="shared" si="10"/>
        <v>-225.73152158928272</v>
      </c>
      <c r="W17" s="2048"/>
    </row>
    <row r="18" spans="2:23" ht="18" customHeight="1" x14ac:dyDescent="0.2">
      <c r="B18" s="478"/>
      <c r="C18" s="498" t="s">
        <v>409</v>
      </c>
      <c r="D18" s="3509">
        <f>IF(SUM(E18:F18)=0,E18,SUM(E18:F18))</f>
        <v>55.14160580456528</v>
      </c>
      <c r="E18" s="3510">
        <v>55.14160580456528</v>
      </c>
      <c r="F18" s="3496" t="s">
        <v>199</v>
      </c>
      <c r="G18" s="3500">
        <f t="shared" si="6"/>
        <v>1.3741434025889772</v>
      </c>
      <c r="H18" s="3057" t="str">
        <f t="shared" si="6"/>
        <v>NA</v>
      </c>
      <c r="I18" s="3057">
        <f t="shared" si="6"/>
        <v>1.3741434025889772</v>
      </c>
      <c r="J18" s="3057">
        <f t="shared" si="6"/>
        <v>4.8438248734182406E-2</v>
      </c>
      <c r="K18" s="3057">
        <f t="shared" si="6"/>
        <v>2.4310229096232407E-2</v>
      </c>
      <c r="L18" s="3057">
        <f t="shared" si="3"/>
        <v>-0.33043650424089077</v>
      </c>
      <c r="M18" s="3106" t="str">
        <f t="shared" si="4"/>
        <v>NA</v>
      </c>
      <c r="N18" s="2917">
        <v>75.772473824505425</v>
      </c>
      <c r="O18" s="2917" t="s">
        <v>274</v>
      </c>
      <c r="P18" s="3087">
        <f>IF(SUM(N18:O18)=0,N18,SUM(N18:O18))</f>
        <v>75.772473824505425</v>
      </c>
      <c r="Q18" s="2917">
        <v>2.6709628175637694</v>
      </c>
      <c r="R18" s="2918">
        <v>1.3405050698431207</v>
      </c>
      <c r="S18" s="2918">
        <v>-18.220799460289761</v>
      </c>
      <c r="T18" s="2918" t="s">
        <v>199</v>
      </c>
      <c r="U18" s="4262">
        <f t="shared" ref="U18" si="11">IF(SUM(P18:T18)=0,P18,SUM(P18:T18)*-44/12)</f>
        <v>-225.73152158928272</v>
      </c>
      <c r="W18" s="2424"/>
    </row>
    <row r="19" spans="2:23" ht="18" customHeight="1" x14ac:dyDescent="0.2">
      <c r="B19" s="477" t="s">
        <v>1345</v>
      </c>
      <c r="C19" s="494"/>
      <c r="D19" s="3504">
        <f>IF(SUM(D20:D22)=0,"IE",SUM(D20:D22))</f>
        <v>8533.6731004271569</v>
      </c>
      <c r="E19" s="3512">
        <f t="shared" ref="E19:U19" si="12">IF(SUM(E20:E22)=0,"IE",SUM(E20:E22))</f>
        <v>8533.6731004271569</v>
      </c>
      <c r="F19" s="3513" t="str">
        <f t="shared" si="12"/>
        <v>IE</v>
      </c>
      <c r="G19" s="3500">
        <f t="shared" si="6"/>
        <v>0.54744134498852559</v>
      </c>
      <c r="H19" s="3057">
        <f t="shared" si="6"/>
        <v>-1.0310416792060049E-4</v>
      </c>
      <c r="I19" s="3057">
        <f t="shared" si="6"/>
        <v>0.547338240820605</v>
      </c>
      <c r="J19" s="3057">
        <f t="shared" si="6"/>
        <v>0.19640880191421967</v>
      </c>
      <c r="K19" s="3057">
        <f t="shared" si="6"/>
        <v>0.16023386468447495</v>
      </c>
      <c r="L19" s="3057">
        <f t="shared" si="3"/>
        <v>-0.23981857327075842</v>
      </c>
      <c r="M19" s="3106" t="str">
        <f t="shared" si="4"/>
        <v>NA</v>
      </c>
      <c r="N19" s="3057">
        <f t="shared" si="12"/>
        <v>4671.6854797902442</v>
      </c>
      <c r="O19" s="3057">
        <f t="shared" si="12"/>
        <v>-0.87985726432595301</v>
      </c>
      <c r="P19" s="3057">
        <f t="shared" si="12"/>
        <v>4670.8056225259179</v>
      </c>
      <c r="Q19" s="3057">
        <f t="shared" si="12"/>
        <v>1676.0885095825022</v>
      </c>
      <c r="R19" s="3514">
        <f t="shared" si="12"/>
        <v>1367.383420835389</v>
      </c>
      <c r="S19" s="3514">
        <f t="shared" si="12"/>
        <v>-2046.5333077034902</v>
      </c>
      <c r="T19" s="3514" t="str">
        <f t="shared" si="12"/>
        <v>IE</v>
      </c>
      <c r="U19" s="4262">
        <f t="shared" si="12"/>
        <v>-20781.7288992145</v>
      </c>
      <c r="W19" s="2048"/>
    </row>
    <row r="20" spans="2:23" ht="18" customHeight="1" x14ac:dyDescent="0.2">
      <c r="B20" s="486"/>
      <c r="C20" s="498" t="s">
        <v>1346</v>
      </c>
      <c r="D20" s="3509">
        <f>IF(SUM(E20:F20)=0,E20,SUM(E20:F20))</f>
        <v>1806.6017924795979</v>
      </c>
      <c r="E20" s="3510">
        <v>1806.6017924795979</v>
      </c>
      <c r="F20" s="3496" t="s">
        <v>199</v>
      </c>
      <c r="G20" s="3500">
        <f t="shared" si="6"/>
        <v>1.2875778226545935</v>
      </c>
      <c r="H20" s="3057" t="str">
        <f t="shared" si="6"/>
        <v>NA</v>
      </c>
      <c r="I20" s="3057">
        <f t="shared" si="6"/>
        <v>1.2875778226545935</v>
      </c>
      <c r="J20" s="3057">
        <f t="shared" si="6"/>
        <v>5.413286048389282E-2</v>
      </c>
      <c r="K20" s="3057">
        <f t="shared" si="6"/>
        <v>2.8389366001912629E-2</v>
      </c>
      <c r="L20" s="3057">
        <f t="shared" si="3"/>
        <v>-0.4344038133465799</v>
      </c>
      <c r="M20" s="3106" t="str">
        <f t="shared" si="4"/>
        <v>NA</v>
      </c>
      <c r="N20" s="2917">
        <v>2326.1404023647665</v>
      </c>
      <c r="O20" s="2917" t="s">
        <v>274</v>
      </c>
      <c r="P20" s="3087">
        <f>IF(SUM(N20:O20)=0,N20,SUM(N20:O20))</f>
        <v>2326.1404023647665</v>
      </c>
      <c r="Q20" s="2917">
        <v>97.796522782248758</v>
      </c>
      <c r="R20" s="2918">
        <v>51.28827950641471</v>
      </c>
      <c r="S20" s="2918">
        <v>-784.79470785190392</v>
      </c>
      <c r="T20" s="2918" t="s">
        <v>199</v>
      </c>
      <c r="U20" s="4262">
        <f t="shared" ref="U20:U22" si="13">IF(SUM(P20:T20)=0,P20,SUM(P20:T20)*-44/12)</f>
        <v>-6198.2451549389289</v>
      </c>
      <c r="W20" s="2424"/>
    </row>
    <row r="21" spans="2:23" ht="18" customHeight="1" x14ac:dyDescent="0.2">
      <c r="B21" s="490"/>
      <c r="C21" s="498" t="s">
        <v>1347</v>
      </c>
      <c r="D21" s="3509">
        <f>IF(SUM(E21:F21)=0,E21,SUM(E21:F21))</f>
        <v>6727.071307947559</v>
      </c>
      <c r="E21" s="3510">
        <v>6727.071307947559</v>
      </c>
      <c r="F21" s="3496" t="s">
        <v>199</v>
      </c>
      <c r="G21" s="3500">
        <f t="shared" si="6"/>
        <v>0.34867254560753386</v>
      </c>
      <c r="H21" s="3057" t="str">
        <f t="shared" si="6"/>
        <v>NA</v>
      </c>
      <c r="I21" s="3057">
        <f t="shared" si="6"/>
        <v>0.34867254560753386</v>
      </c>
      <c r="J21" s="3057">
        <f t="shared" si="6"/>
        <v>0.23462296048845918</v>
      </c>
      <c r="K21" s="3057">
        <f t="shared" si="6"/>
        <v>0.19564162190076698</v>
      </c>
      <c r="L21" s="3057">
        <f t="shared" si="3"/>
        <v>-0.18756135353596318</v>
      </c>
      <c r="M21" s="3106" t="str">
        <f t="shared" si="4"/>
        <v>NA</v>
      </c>
      <c r="N21" s="2917">
        <v>2345.5450774254778</v>
      </c>
      <c r="O21" s="2917" t="s">
        <v>274</v>
      </c>
      <c r="P21" s="3087">
        <f t="shared" ref="P21:P28" si="14">IF(SUM(N21:O21)=0,N21,SUM(N21:O21))</f>
        <v>2345.5450774254778</v>
      </c>
      <c r="Q21" s="2917">
        <v>1578.3253856876277</v>
      </c>
      <c r="R21" s="2918">
        <v>1316.0951413289743</v>
      </c>
      <c r="S21" s="2918">
        <v>-1261.7385998515863</v>
      </c>
      <c r="T21" s="2918" t="s">
        <v>199</v>
      </c>
      <c r="U21" s="4262">
        <f t="shared" si="13"/>
        <v>-14586.832350165141</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-0.87985726432595301</v>
      </c>
      <c r="P22" s="3087">
        <f t="shared" si="14"/>
        <v>-0.87985726432595301</v>
      </c>
      <c r="Q22" s="2917">
        <v>-3.3398887374346209E-2</v>
      </c>
      <c r="R22" s="2918" t="s">
        <v>205</v>
      </c>
      <c r="S22" s="2918" t="s">
        <v>205</v>
      </c>
      <c r="T22" s="2918" t="s">
        <v>205</v>
      </c>
      <c r="U22" s="4262">
        <f t="shared" si="13"/>
        <v>3.3486058895677639</v>
      </c>
      <c r="W22" s="2424"/>
    </row>
    <row r="23" spans="2:23" ht="18" customHeight="1" x14ac:dyDescent="0.2">
      <c r="B23" s="477" t="s">
        <v>1348</v>
      </c>
      <c r="C23" s="494"/>
      <c r="D23" s="3509">
        <f>D24</f>
        <v>137.72297616150209</v>
      </c>
      <c r="E23" s="3512" t="str">
        <f t="shared" ref="E23" si="15">E24</f>
        <v>NO</v>
      </c>
      <c r="F23" s="3513">
        <f t="shared" ref="F23" si="16">F24</f>
        <v>137.72297616150209</v>
      </c>
      <c r="G23" s="3500">
        <f t="shared" si="6"/>
        <v>7.8199634515904881</v>
      </c>
      <c r="H23" s="3057" t="str">
        <f t="shared" si="6"/>
        <v>NA</v>
      </c>
      <c r="I23" s="3057">
        <f t="shared" si="6"/>
        <v>7.8199634515904881</v>
      </c>
      <c r="J23" s="3057">
        <f t="shared" si="6"/>
        <v>-0.89433294879509784</v>
      </c>
      <c r="K23" s="3057">
        <f t="shared" si="6"/>
        <v>0.27029616801088335</v>
      </c>
      <c r="L23" s="3057" t="str">
        <f t="shared" si="3"/>
        <v>NA</v>
      </c>
      <c r="M23" s="3106">
        <f t="shared" si="4"/>
        <v>-0.15448032368381573</v>
      </c>
      <c r="N23" s="3057">
        <f t="shared" ref="N23" si="17">N24</f>
        <v>1076.9886400272144</v>
      </c>
      <c r="O23" s="3057" t="str">
        <f t="shared" ref="O23" si="18">O24</f>
        <v>IE</v>
      </c>
      <c r="P23" s="3057">
        <f t="shared" ref="P23" si="19">P24</f>
        <v>1076.9886400272144</v>
      </c>
      <c r="Q23" s="3057">
        <f t="shared" ref="Q23" si="20">Q24</f>
        <v>-123.17019538735313</v>
      </c>
      <c r="R23" s="3514">
        <f t="shared" ref="R23" si="21">R24</f>
        <v>37.225992703508254</v>
      </c>
      <c r="S23" s="3514" t="str">
        <f t="shared" ref="S23" si="22">S24</f>
        <v>NO</v>
      </c>
      <c r="T23" s="3514">
        <f t="shared" ref="T23" si="23">T24</f>
        <v>-21.275489936127279</v>
      </c>
      <c r="U23" s="4262">
        <f t="shared" ref="U23" si="24">U24</f>
        <v>-3555.8194738265543</v>
      </c>
      <c r="W23" s="2048"/>
    </row>
    <row r="24" spans="2:23" ht="18" customHeight="1" x14ac:dyDescent="0.2">
      <c r="B24" s="478"/>
      <c r="C24" s="498" t="s">
        <v>409</v>
      </c>
      <c r="D24" s="3509">
        <f>IF(SUM(E24:F24)=0,E24,SUM(E24:F24))</f>
        <v>137.72297616150209</v>
      </c>
      <c r="E24" s="3510" t="s">
        <v>199</v>
      </c>
      <c r="F24" s="3496">
        <v>137.72297616150209</v>
      </c>
      <c r="G24" s="3500">
        <f t="shared" si="6"/>
        <v>7.8199634515904881</v>
      </c>
      <c r="H24" s="3057" t="str">
        <f t="shared" si="6"/>
        <v>NA</v>
      </c>
      <c r="I24" s="3057">
        <f t="shared" si="6"/>
        <v>7.8199634515904881</v>
      </c>
      <c r="J24" s="3057">
        <f t="shared" si="6"/>
        <v>-0.89433294879509784</v>
      </c>
      <c r="K24" s="3057">
        <f t="shared" si="6"/>
        <v>0.27029616801088335</v>
      </c>
      <c r="L24" s="3057" t="str">
        <f t="shared" si="3"/>
        <v>NA</v>
      </c>
      <c r="M24" s="3106">
        <f t="shared" si="4"/>
        <v>-0.15448032368381573</v>
      </c>
      <c r="N24" s="2917">
        <v>1076.9886400272144</v>
      </c>
      <c r="O24" s="2917" t="s">
        <v>274</v>
      </c>
      <c r="P24" s="3087">
        <f t="shared" si="14"/>
        <v>1076.9886400272144</v>
      </c>
      <c r="Q24" s="2917">
        <v>-123.17019538735313</v>
      </c>
      <c r="R24" s="2918">
        <v>37.225992703508254</v>
      </c>
      <c r="S24" s="2918" t="s">
        <v>199</v>
      </c>
      <c r="T24" s="2918">
        <v>-21.275489936127279</v>
      </c>
      <c r="U24" s="4262">
        <f t="shared" ref="U24" si="25">IF(SUM(P24:T24)=0,P24,SUM(P24:T24)*-44/12)</f>
        <v>-3555.8194738265543</v>
      </c>
      <c r="W24" s="2424"/>
    </row>
    <row r="25" spans="2:23" ht="18" customHeight="1" x14ac:dyDescent="0.2">
      <c r="B25" s="477" t="s">
        <v>1349</v>
      </c>
      <c r="C25" s="494"/>
      <c r="D25" s="3509">
        <f>D26</f>
        <v>45.843058993663718</v>
      </c>
      <c r="E25" s="3512">
        <f t="shared" ref="E25" si="26">E26</f>
        <v>45.843058993663718</v>
      </c>
      <c r="F25" s="3513" t="str">
        <f t="shared" ref="F25" si="27">F26</f>
        <v>NO</v>
      </c>
      <c r="G25" s="3500">
        <f t="shared" si="6"/>
        <v>1.7841855415406207</v>
      </c>
      <c r="H25" s="3057" t="str">
        <f t="shared" si="6"/>
        <v>NA</v>
      </c>
      <c r="I25" s="3057">
        <f t="shared" si="6"/>
        <v>1.7841855415406207</v>
      </c>
      <c r="J25" s="3057">
        <f t="shared" si="6"/>
        <v>6.2315887929254833E-2</v>
      </c>
      <c r="K25" s="3057">
        <f t="shared" si="6"/>
        <v>4.1231505026576284E-2</v>
      </c>
      <c r="L25" s="3057">
        <f t="shared" si="3"/>
        <v>-0.71625953962958688</v>
      </c>
      <c r="M25" s="3106" t="str">
        <f t="shared" si="4"/>
        <v>NA</v>
      </c>
      <c r="N25" s="3057">
        <f t="shared" ref="N25" si="28">N26</f>
        <v>81.792523036488518</v>
      </c>
      <c r="O25" s="3057" t="str">
        <f t="shared" ref="O25" si="29">O26</f>
        <v>IE</v>
      </c>
      <c r="P25" s="3057">
        <f t="shared" ref="P25" si="30">P26</f>
        <v>81.792523036488518</v>
      </c>
      <c r="Q25" s="3057">
        <f t="shared" ref="Q25" si="31">Q26</f>
        <v>2.8567509265833659</v>
      </c>
      <c r="R25" s="3514">
        <f t="shared" ref="R25" si="32">R26</f>
        <v>1.8901783173308788</v>
      </c>
      <c r="S25" s="3514">
        <f t="shared" ref="S25" si="33">S26</f>
        <v>-32.835528330013567</v>
      </c>
      <c r="T25" s="3514" t="str">
        <f t="shared" ref="T25" si="34">T26</f>
        <v>NO</v>
      </c>
      <c r="U25" s="4262">
        <f t="shared" ref="U25" si="35">U26</f>
        <v>-196.9143878180937</v>
      </c>
      <c r="W25" s="2048"/>
    </row>
    <row r="26" spans="2:23" ht="18" customHeight="1" x14ac:dyDescent="0.2">
      <c r="B26" s="478"/>
      <c r="C26" s="498" t="s">
        <v>409</v>
      </c>
      <c r="D26" s="3509">
        <f>IF(SUM(E26:F26)=0,E26,SUM(E26:F26))</f>
        <v>45.843058993663718</v>
      </c>
      <c r="E26" s="3510">
        <v>45.843058993663718</v>
      </c>
      <c r="F26" s="3496" t="s">
        <v>199</v>
      </c>
      <c r="G26" s="3500">
        <f t="shared" si="6"/>
        <v>1.7841855415406207</v>
      </c>
      <c r="H26" s="3057" t="str">
        <f t="shared" si="6"/>
        <v>NA</v>
      </c>
      <c r="I26" s="3057">
        <f t="shared" si="6"/>
        <v>1.7841855415406207</v>
      </c>
      <c r="J26" s="3057">
        <f t="shared" si="6"/>
        <v>6.2315887929254833E-2</v>
      </c>
      <c r="K26" s="3057">
        <f t="shared" si="6"/>
        <v>4.1231505026576284E-2</v>
      </c>
      <c r="L26" s="3057">
        <f t="shared" si="3"/>
        <v>-0.71625953962958688</v>
      </c>
      <c r="M26" s="3106" t="str">
        <f t="shared" si="4"/>
        <v>NA</v>
      </c>
      <c r="N26" s="2917">
        <v>81.792523036488518</v>
      </c>
      <c r="O26" s="2917" t="s">
        <v>274</v>
      </c>
      <c r="P26" s="3087">
        <f t="shared" si="14"/>
        <v>81.792523036488518</v>
      </c>
      <c r="Q26" s="2917">
        <v>2.8567509265833659</v>
      </c>
      <c r="R26" s="2918">
        <v>1.8901783173308788</v>
      </c>
      <c r="S26" s="2918">
        <v>-32.835528330013567</v>
      </c>
      <c r="T26" s="2918" t="s">
        <v>199</v>
      </c>
      <c r="U26" s="4262">
        <f t="shared" ref="U26" si="36">IF(SUM(P26:T26)=0,P26,SUM(P26:T26)*-44/12)</f>
        <v>-196.9143878180937</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39961.569515485135</v>
      </c>
      <c r="E10" s="3523">
        <f t="shared" ref="E10:F10" si="0">IF(SUM(E11,E13)=0,"IE",SUM(E11,E13))</f>
        <v>39958.569515485135</v>
      </c>
      <c r="F10" s="3524">
        <f t="shared" si="0"/>
        <v>3</v>
      </c>
      <c r="G10" s="3500">
        <f>IFERROR(IF(SUM($D10)=0,"NA",M10/$D10),"NA")</f>
        <v>1.2269864508913798E-3</v>
      </c>
      <c r="H10" s="3523">
        <f t="shared" ref="H10:J10" si="1">IFERROR(IF(SUM($D10)=0,"NA",N10/$D10),"NA")</f>
        <v>-3.3639954758296592E-2</v>
      </c>
      <c r="I10" s="3523">
        <f t="shared" si="1"/>
        <v>-3.2412968307405213E-2</v>
      </c>
      <c r="J10" s="3523">
        <f t="shared" si="1"/>
        <v>-5.4657405262425029E-3</v>
      </c>
      <c r="K10" s="3525">
        <f>IFERROR(IF(SUM(E10)=0,"NA",Q10/E10),"NA")</f>
        <v>-4.9826585648576734E-2</v>
      </c>
      <c r="L10" s="3524">
        <f>IFERROR(IF(SUM(F10)=0,"NA",R10/F10),"NA")</f>
        <v>-12.475</v>
      </c>
      <c r="M10" s="3526">
        <f>IF(SUM(M11,M13)=0,"IE",SUM(M11,M13))</f>
        <v>49.032304351854265</v>
      </c>
      <c r="N10" s="3523">
        <f t="shared" ref="N10:S10" si="2">IF(SUM(N11,N13)=0,"IE",SUM(N11,N13))</f>
        <v>-1344.3053905714441</v>
      </c>
      <c r="O10" s="3527">
        <f t="shared" si="2"/>
        <v>-1295.2730862195899</v>
      </c>
      <c r="P10" s="3523">
        <f t="shared" si="2"/>
        <v>-218.41956999304409</v>
      </c>
      <c r="Q10" s="3525">
        <f t="shared" si="2"/>
        <v>-1990.9990863579274</v>
      </c>
      <c r="R10" s="3525">
        <f t="shared" si="2"/>
        <v>-37.424999999999997</v>
      </c>
      <c r="S10" s="3528">
        <f t="shared" si="2"/>
        <v>12987.761389425392</v>
      </c>
      <c r="U10" s="2287"/>
    </row>
    <row r="11" spans="2:21" ht="18" customHeight="1" x14ac:dyDescent="0.2">
      <c r="B11" s="489" t="s">
        <v>1256</v>
      </c>
      <c r="C11" s="2282"/>
      <c r="D11" s="3529">
        <f>D12</f>
        <v>37697.216751571003</v>
      </c>
      <c r="E11" s="3057">
        <f t="shared" ref="E11" si="3">E12</f>
        <v>37697.216751571003</v>
      </c>
      <c r="F11" s="3057" t="str">
        <f t="shared" ref="F11" si="4">F12</f>
        <v>IE</v>
      </c>
      <c r="G11" s="3500">
        <f t="shared" ref="G11:G23" si="5">IFERROR(IF(SUM($D11)=0,"NA",M11/$D11),"NA")</f>
        <v>1.3006876522206612E-3</v>
      </c>
      <c r="H11" s="3057" t="str">
        <f t="shared" ref="H11:H23" si="6">IFERROR(IF(SUM($D11)=0,"NA",N11/$D11),"NA")</f>
        <v>NA</v>
      </c>
      <c r="I11" s="3057">
        <f t="shared" ref="I11:I23" si="7">IFERROR(IF(SUM($D11)=0,"NA",O11/$D11),"NA")</f>
        <v>1.3006876522206612E-3</v>
      </c>
      <c r="J11" s="3057" t="str">
        <f t="shared" ref="J11:J23" si="8">IFERROR(IF(SUM($D11)=0,"NA",P11/$D11),"NA")</f>
        <v>NA</v>
      </c>
      <c r="K11" s="3514">
        <f t="shared" ref="K11:K23" si="9">IFERROR(IF(SUM(E11)=0,"NA",Q11/E11),"NA")</f>
        <v>-4.7449285246512762E-2</v>
      </c>
      <c r="L11" s="3106" t="str">
        <f t="shared" ref="L11:L23" si="10">IFERROR(IF(SUM(F11)=0,"NA",R11/F11),"NA")</f>
        <v>NA</v>
      </c>
      <c r="M11" s="3530">
        <f t="shared" ref="M11" si="11">M12</f>
        <v>49.032304351854265</v>
      </c>
      <c r="N11" s="3531" t="str">
        <f t="shared" ref="N11" si="12">N12</f>
        <v>IE</v>
      </c>
      <c r="O11" s="3532">
        <f t="shared" ref="O11" si="13">O12</f>
        <v>49.032304351854265</v>
      </c>
      <c r="P11" s="3531" t="str">
        <f t="shared" ref="P11" si="14">P12</f>
        <v>NA</v>
      </c>
      <c r="Q11" s="3533">
        <f t="shared" ref="Q11" si="15">Q12</f>
        <v>-1788.7059906449117</v>
      </c>
      <c r="R11" s="3533" t="str">
        <f t="shared" ref="R11" si="16">R12</f>
        <v>IE</v>
      </c>
      <c r="S11" s="3534">
        <f t="shared" ref="S11" si="17">S12</f>
        <v>6378.8035164078783</v>
      </c>
      <c r="U11" s="2284"/>
    </row>
    <row r="12" spans="2:21" ht="18" customHeight="1" x14ac:dyDescent="0.2">
      <c r="B12" s="491"/>
      <c r="C12" s="498" t="s">
        <v>409</v>
      </c>
      <c r="D12" s="3509">
        <f>IF(SUM(E12:F12)=0,E12,SUM(E12:F12))</f>
        <v>37697.216751571003</v>
      </c>
      <c r="E12" s="3510">
        <v>37697.216751571003</v>
      </c>
      <c r="F12" s="3496" t="s">
        <v>274</v>
      </c>
      <c r="G12" s="3500">
        <f t="shared" si="5"/>
        <v>1.3006876522206612E-3</v>
      </c>
      <c r="H12" s="3057" t="str">
        <f t="shared" si="6"/>
        <v>NA</v>
      </c>
      <c r="I12" s="3057">
        <f t="shared" si="7"/>
        <v>1.3006876522206612E-3</v>
      </c>
      <c r="J12" s="3057" t="str">
        <f t="shared" si="8"/>
        <v>NA</v>
      </c>
      <c r="K12" s="3514">
        <f t="shared" si="9"/>
        <v>-4.7449285246512762E-2</v>
      </c>
      <c r="L12" s="3106" t="str">
        <f t="shared" si="10"/>
        <v>NA</v>
      </c>
      <c r="M12" s="2917">
        <v>49.032304351854265</v>
      </c>
      <c r="N12" s="2917" t="s">
        <v>274</v>
      </c>
      <c r="O12" s="3087">
        <f>IF(SUM(M12:N12)=0,M12,SUM(M12:N12))</f>
        <v>49.032304351854265</v>
      </c>
      <c r="P12" s="2917" t="s">
        <v>205</v>
      </c>
      <c r="Q12" s="2918">
        <v>-1788.7059906449117</v>
      </c>
      <c r="R12" s="2918" t="s">
        <v>274</v>
      </c>
      <c r="S12" s="3534">
        <f>IF(SUM(O12:R12)=0,Q12,SUM(O12:R12)*-44/12)</f>
        <v>6378.8035164078783</v>
      </c>
      <c r="U12" s="2424"/>
    </row>
    <row r="13" spans="2:21" ht="18" customHeight="1" x14ac:dyDescent="0.2">
      <c r="B13" s="475" t="s">
        <v>1375</v>
      </c>
      <c r="C13" s="494"/>
      <c r="D13" s="3529">
        <f>IF(SUM(D14,D16,D18,D20,D22)=0,"IE",SUM(D14,D16,D18,D20,D22))</f>
        <v>2264.3527639141316</v>
      </c>
      <c r="E13" s="3531">
        <f t="shared" ref="E13:F13" si="18">IF(SUM(E14,E16,E18,E20,E22)=0,"IE",SUM(E14,E16,E18,E20,E22))</f>
        <v>2261.3527639141316</v>
      </c>
      <c r="F13" s="3535">
        <f t="shared" si="18"/>
        <v>3</v>
      </c>
      <c r="G13" s="3500" t="str">
        <f t="shared" si="5"/>
        <v>NA</v>
      </c>
      <c r="H13" s="3057">
        <f t="shared" si="6"/>
        <v>-0.59368196157196584</v>
      </c>
      <c r="I13" s="3057">
        <f t="shared" si="7"/>
        <v>-0.59368196157196584</v>
      </c>
      <c r="J13" s="3057">
        <f t="shared" si="8"/>
        <v>-9.6460045216402932E-2</v>
      </c>
      <c r="K13" s="3514">
        <f t="shared" si="9"/>
        <v>-8.9456673430672706E-2</v>
      </c>
      <c r="L13" s="3106">
        <f t="shared" si="10"/>
        <v>-12.475</v>
      </c>
      <c r="M13" s="3530" t="str">
        <f>IF(SUM(M14,M16,M18,M20,M22)=0,"IE",SUM(M14,M16,M18,M20,M22))</f>
        <v>IE</v>
      </c>
      <c r="N13" s="3531">
        <f t="shared" ref="N13" si="19">IF(SUM(N14,N16,N18,N20,N22)=0,"IE",SUM(N14,N16,N18,N20,N22))</f>
        <v>-1344.3053905714441</v>
      </c>
      <c r="O13" s="3532">
        <f t="shared" ref="O13" si="20">IF(SUM(O14,O16,O18,O20,O22)=0,"IE",SUM(O14,O16,O18,O20,O22))</f>
        <v>-1344.3053905714441</v>
      </c>
      <c r="P13" s="3532">
        <f t="shared" ref="P13" si="21">IF(SUM(P14,P16,P18,P20,P22)=0,"IE",SUM(P14,P16,P18,P20,P22))</f>
        <v>-218.41956999304409</v>
      </c>
      <c r="Q13" s="3532">
        <f t="shared" ref="Q13" si="22">IF(SUM(Q14,Q16,Q18,Q20,Q22)=0,"IE",SUM(Q14,Q16,Q18,Q20,Q22))</f>
        <v>-202.29309571301559</v>
      </c>
      <c r="R13" s="3532">
        <f t="shared" ref="R13" si="23">IF(SUM(R14,R16,R18,R20,R22)=0,"IE",SUM(R14,R16,R18,R20,R22))</f>
        <v>-37.424999999999997</v>
      </c>
      <c r="S13" s="3534">
        <f t="shared" ref="S13" si="24">IF(SUM(S14,S16,S18,S20,S22)=0,"IE",SUM(S14,S16,S18,S20,S22))</f>
        <v>6608.9578730175144</v>
      </c>
      <c r="U13" s="493"/>
    </row>
    <row r="14" spans="2:21" ht="18" customHeight="1" x14ac:dyDescent="0.2">
      <c r="B14" s="477" t="s">
        <v>1376</v>
      </c>
      <c r="C14" s="494"/>
      <c r="D14" s="3529">
        <f>D15</f>
        <v>2251.6918228863196</v>
      </c>
      <c r="E14" s="3057">
        <f t="shared" ref="E14" si="25">E15</f>
        <v>2251.6918228863196</v>
      </c>
      <c r="F14" s="3057" t="str">
        <f t="shared" ref="F14" si="26">F15</f>
        <v>IE</v>
      </c>
      <c r="G14" s="3500" t="str">
        <f t="shared" si="5"/>
        <v>NA</v>
      </c>
      <c r="H14" s="3057">
        <f t="shared" si="6"/>
        <v>-0.59702015031890698</v>
      </c>
      <c r="I14" s="3057">
        <f t="shared" si="7"/>
        <v>-0.59702015031890698</v>
      </c>
      <c r="J14" s="3057">
        <f t="shared" si="8"/>
        <v>-9.7002426252569537E-2</v>
      </c>
      <c r="K14" s="3514">
        <f t="shared" si="9"/>
        <v>-7.7306014686229302E-2</v>
      </c>
      <c r="L14" s="3106" t="str">
        <f t="shared" si="10"/>
        <v>NA</v>
      </c>
      <c r="M14" s="3530" t="str">
        <f t="shared" ref="M14" si="27">M15</f>
        <v>IE</v>
      </c>
      <c r="N14" s="3531">
        <f t="shared" ref="N14" si="28">N15</f>
        <v>-1344.3053905714441</v>
      </c>
      <c r="O14" s="3532">
        <f t="shared" ref="O14" si="29">O15</f>
        <v>-1344.3053905714441</v>
      </c>
      <c r="P14" s="3531">
        <f t="shared" ref="P14" si="30">P15</f>
        <v>-218.41956999304409</v>
      </c>
      <c r="Q14" s="3533">
        <f t="shared" ref="Q14" si="31">Q15</f>
        <v>-174.06932112891226</v>
      </c>
      <c r="R14" s="3533" t="str">
        <f t="shared" ref="R14" si="32">R15</f>
        <v>IE</v>
      </c>
      <c r="S14" s="3534">
        <f t="shared" ref="S14" si="33">S15</f>
        <v>6368.2456995424691</v>
      </c>
      <c r="U14" s="493"/>
    </row>
    <row r="15" spans="2:21" ht="18" customHeight="1" x14ac:dyDescent="0.2">
      <c r="B15" s="491"/>
      <c r="C15" s="498" t="s">
        <v>409</v>
      </c>
      <c r="D15" s="3509">
        <f>IF(SUM(E15:F15)=0,E15,SUM(E15:F15))</f>
        <v>2251.6918228863196</v>
      </c>
      <c r="E15" s="3510">
        <v>2251.6918228863196</v>
      </c>
      <c r="F15" s="3496" t="s">
        <v>274</v>
      </c>
      <c r="G15" s="3500" t="str">
        <f t="shared" si="5"/>
        <v>NA</v>
      </c>
      <c r="H15" s="3057">
        <f t="shared" si="6"/>
        <v>-0.59702015031890698</v>
      </c>
      <c r="I15" s="3057">
        <f t="shared" si="7"/>
        <v>-0.59702015031890698</v>
      </c>
      <c r="J15" s="3057">
        <f t="shared" si="8"/>
        <v>-9.7002426252569537E-2</v>
      </c>
      <c r="K15" s="3514">
        <f t="shared" si="9"/>
        <v>-7.7306014686229302E-2</v>
      </c>
      <c r="L15" s="3106" t="str">
        <f t="shared" si="10"/>
        <v>NA</v>
      </c>
      <c r="M15" s="2917" t="s">
        <v>274</v>
      </c>
      <c r="N15" s="2917">
        <v>-1344.3053905714441</v>
      </c>
      <c r="O15" s="3087">
        <f>IF(SUM(M15:N15)=0,M15,SUM(M15:N15))</f>
        <v>-1344.3053905714441</v>
      </c>
      <c r="P15" s="2917">
        <v>-218.41956999304409</v>
      </c>
      <c r="Q15" s="2918">
        <v>-174.06932112891226</v>
      </c>
      <c r="R15" s="2918" t="s">
        <v>274</v>
      </c>
      <c r="S15" s="3534">
        <f>IF(SUM(O15:R15)=0,Q15,SUM(O15:R15)*-44/12)</f>
        <v>6368.2456995424691</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518540.93325604394</v>
      </c>
      <c r="E10" s="3523">
        <f t="shared" ref="E10:F10" si="0">IF(SUM(E11,E15)=0,"IE",SUM(E11,E15))</f>
        <v>518539.93325604394</v>
      </c>
      <c r="F10" s="3524">
        <f t="shared" si="0"/>
        <v>1</v>
      </c>
      <c r="G10" s="3500" t="str">
        <f>IFERROR(IF(SUM($D10)=0,"NA",M10/$D10),"NA")</f>
        <v>NA</v>
      </c>
      <c r="H10" s="3523">
        <f t="shared" ref="H10:J10" si="1">IFERROR(IF(SUM($D10)=0,"NA",N10/$D10),"NA")</f>
        <v>-4.5321963105344677E-2</v>
      </c>
      <c r="I10" s="3523">
        <f t="shared" si="1"/>
        <v>-4.5321963105344677E-2</v>
      </c>
      <c r="J10" s="3523">
        <f t="shared" si="1"/>
        <v>-5.6123289588559467E-3</v>
      </c>
      <c r="K10" s="3525">
        <f>IFERROR(IF(SUM(E10)=0,"NA",Q10/E10),"NA")</f>
        <v>-7.569239294071827E-3</v>
      </c>
      <c r="L10" s="3524">
        <f>IFERROR(IF(SUM(F10)=0,"NA",R10/F10),"NA")</f>
        <v>-8.7249999999999996</v>
      </c>
      <c r="M10" s="3526" t="str">
        <f>IF(SUM(M11,M15)=0,"IE",SUM(M11,M15))</f>
        <v>IE</v>
      </c>
      <c r="N10" s="3523">
        <f t="shared" ref="N10:S10" si="2">IF(SUM(N11,N15)=0,"IE",SUM(N11,N15))</f>
        <v>-23501.293045641421</v>
      </c>
      <c r="O10" s="3527">
        <f t="shared" si="2"/>
        <v>-23501.293045641421</v>
      </c>
      <c r="P10" s="3523">
        <f t="shared" si="2"/>
        <v>-2910.2222960650838</v>
      </c>
      <c r="Q10" s="3525">
        <f t="shared" si="2"/>
        <v>-3924.9528383470301</v>
      </c>
      <c r="R10" s="3525">
        <f t="shared" si="2"/>
        <v>-8.7249999999999996</v>
      </c>
      <c r="S10" s="3528">
        <f t="shared" si="2"/>
        <v>111265.70832686298</v>
      </c>
      <c r="U10" s="2287"/>
    </row>
    <row r="11" spans="2:21" ht="18" customHeight="1" x14ac:dyDescent="0.2">
      <c r="B11" s="483" t="s">
        <v>1259</v>
      </c>
      <c r="C11" s="473"/>
      <c r="D11" s="3539">
        <f>IF(SUM(D12:D14)=0,"IE",SUM(D12:D14))</f>
        <v>505486.13426402898</v>
      </c>
      <c r="E11" s="3505">
        <f t="shared" ref="E11:F11" si="3">IF(SUM(E12:E14)=0,"IE",SUM(E12:E14))</f>
        <v>505486.13426402898</v>
      </c>
      <c r="F11" s="3506" t="str">
        <f t="shared" si="3"/>
        <v>IE</v>
      </c>
      <c r="G11" s="3539" t="str">
        <f t="shared" ref="G11:G26" si="4">IFERROR(IF(SUM($D11)=0,"NA",M11/$D11),"NA")</f>
        <v>NA</v>
      </c>
      <c r="H11" s="3087">
        <f t="shared" ref="H11:H26" si="5">IFERROR(IF(SUM($D11)=0,"NA",N11/$D11),"NA")</f>
        <v>-4.8324596998897242E-3</v>
      </c>
      <c r="I11" s="3087">
        <f t="shared" ref="I11:I26" si="6">IFERROR(IF(SUM($D11)=0,"NA",O11/$D11),"NA")</f>
        <v>-4.8324596998897242E-3</v>
      </c>
      <c r="J11" s="3087">
        <f t="shared" ref="J11:J26" si="7">IFERROR(IF(SUM($D11)=0,"NA",P11/$D11),"NA")</f>
        <v>-1.6229354732359309E-4</v>
      </c>
      <c r="K11" s="3507">
        <f t="shared" ref="K11:K26" si="8">IFERROR(IF(SUM(E11)=0,"NA",Q11/E11),"NA")</f>
        <v>-6.0423959079522766E-3</v>
      </c>
      <c r="L11" s="3216" t="str">
        <f t="shared" ref="L11:L26" si="9">IFERROR(IF(SUM(F11)=0,"NA",R11/F11),"NA")</f>
        <v>NA</v>
      </c>
      <c r="M11" s="3087" t="str">
        <f>IF(SUM(M12:M14)=0,"IE",SUM(M12:M14))</f>
        <v>IE</v>
      </c>
      <c r="N11" s="3087">
        <f t="shared" ref="N11:O11" si="10">IF(SUM(N12:N14)=0,"IE",SUM(N12:N14))</f>
        <v>-2442.7413726839663</v>
      </c>
      <c r="O11" s="3087">
        <f t="shared" si="10"/>
        <v>-2442.7413726839663</v>
      </c>
      <c r="P11" s="3087">
        <f t="shared" ref="P11" si="11">IF(SUM(P12:P14)=0,"IE",SUM(P12:P14))</f>
        <v>-82.037137852599315</v>
      </c>
      <c r="Q11" s="3507">
        <f t="shared" ref="Q11" si="12">IF(SUM(Q12:Q14)=0,"IE",SUM(Q12:Q14))</f>
        <v>-3054.3473492035837</v>
      </c>
      <c r="R11" s="3507" t="str">
        <f t="shared" ref="R11" si="13">IF(SUM(R12:R14)=0,"IE",SUM(R12:R14))</f>
        <v>IE</v>
      </c>
      <c r="S11" s="3508">
        <f t="shared" ref="S11" si="14">IF(SUM(S12:S14)=0,"IE",SUM(S12:S14))</f>
        <v>20456.794819047216</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-5.1255887799458557E-3</v>
      </c>
      <c r="I12" s="3057">
        <f t="shared" si="6"/>
        <v>-5.1255887799458557E-3</v>
      </c>
      <c r="J12" s="3057">
        <f t="shared" si="7"/>
        <v>-1.0251177559891713E-3</v>
      </c>
      <c r="K12" s="3514">
        <f t="shared" si="8"/>
        <v>-4.1004710239566852E-3</v>
      </c>
      <c r="L12" s="3106" t="str">
        <f t="shared" si="9"/>
        <v>NA</v>
      </c>
      <c r="M12" s="2917" t="s">
        <v>274</v>
      </c>
      <c r="N12" s="2917">
        <v>-357.87233737949435</v>
      </c>
      <c r="O12" s="3087">
        <f>IF(SUM(M12:N12)=0,M12,SUM(M12:N12))</f>
        <v>-357.87233737949435</v>
      </c>
      <c r="P12" s="2917">
        <v>-71.574467475898885</v>
      </c>
      <c r="Q12" s="2918">
        <v>-286.29786990359554</v>
      </c>
      <c r="R12" s="2918" t="s">
        <v>274</v>
      </c>
      <c r="S12" s="3511">
        <f>IF(SUM(O12:R12)=0,Q12,SUM(O12:R12)*-44/12)</f>
        <v>2624.397140782959</v>
      </c>
      <c r="U12" s="2424"/>
    </row>
    <row r="13" spans="2:21" ht="18" customHeight="1" x14ac:dyDescent="0.2">
      <c r="B13" s="489"/>
      <c r="C13" s="474" t="s">
        <v>1392</v>
      </c>
      <c r="D13" s="3500">
        <f>IF(SUM(E13:F13)=0,E13,SUM(E13:F13))</f>
        <v>435665.40678396088</v>
      </c>
      <c r="E13" s="3510">
        <v>435665.40678396088</v>
      </c>
      <c r="F13" s="3496" t="s">
        <v>274</v>
      </c>
      <c r="G13" s="3500" t="str">
        <f t="shared" si="4"/>
        <v>NA</v>
      </c>
      <c r="H13" s="3057" t="str">
        <f t="shared" si="5"/>
        <v>NA</v>
      </c>
      <c r="I13" s="3057" t="str">
        <f t="shared" si="6"/>
        <v>NA</v>
      </c>
      <c r="J13" s="3057" t="str">
        <f t="shared" si="7"/>
        <v>NA</v>
      </c>
      <c r="K13" s="3514">
        <f t="shared" si="8"/>
        <v>-6.3536131999404237E-3</v>
      </c>
      <c r="L13" s="3106" t="str">
        <f t="shared" si="9"/>
        <v>NA</v>
      </c>
      <c r="M13" s="2917" t="s">
        <v>205</v>
      </c>
      <c r="N13" s="2917" t="s">
        <v>205</v>
      </c>
      <c r="O13" s="3087" t="str">
        <f>IF(SUM(M13:N13)=0,M13,SUM(M13:N13))</f>
        <v>NA</v>
      </c>
      <c r="P13" s="2917" t="s">
        <v>205</v>
      </c>
      <c r="Q13" s="2918">
        <v>-2768.049479299988</v>
      </c>
      <c r="R13" s="2918" t="s">
        <v>274</v>
      </c>
      <c r="S13" s="3511">
        <f>IF(SUM(O13:R13)=0,Q13,SUM(O13:R13)*-44/12)</f>
        <v>10149.51475743329</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-2084.8690353044722</v>
      </c>
      <c r="O14" s="3087">
        <f>IF(SUM(M14:N14)=0,M14,SUM(M14:N14))</f>
        <v>-2084.8690353044722</v>
      </c>
      <c r="P14" s="2917">
        <v>-10.46267037670043</v>
      </c>
      <c r="Q14" s="2918" t="s">
        <v>205</v>
      </c>
      <c r="R14" s="2918" t="s">
        <v>205</v>
      </c>
      <c r="S14" s="3511">
        <f>IF(SUM(O14:R14)=0,Q14,SUM(O14:R14)*-44/12)</f>
        <v>7682.8829208309653</v>
      </c>
      <c r="U14" s="2424"/>
    </row>
    <row r="15" spans="2:21" ht="18" customHeight="1" x14ac:dyDescent="0.2">
      <c r="B15" s="475" t="s">
        <v>1394</v>
      </c>
      <c r="C15" s="476"/>
      <c r="D15" s="3529">
        <f>IF(SUM(D16,D19,D21,D23,D25)=0,"IE",SUM(D16,D19,D21,D23,D25))</f>
        <v>13054.798992014959</v>
      </c>
      <c r="E15" s="3531">
        <f t="shared" ref="E15:F15" si="15">IF(SUM(E16,E19,E21,E23,E25)=0,"IE",SUM(E16,E19,E21,E23,E25))</f>
        <v>13053.798992014959</v>
      </c>
      <c r="F15" s="3535">
        <f t="shared" si="15"/>
        <v>1</v>
      </c>
      <c r="G15" s="3500" t="str">
        <f t="shared" si="4"/>
        <v>NA</v>
      </c>
      <c r="H15" s="3057">
        <f t="shared" si="5"/>
        <v>-1.6130889250641114</v>
      </c>
      <c r="I15" s="3057">
        <f t="shared" si="6"/>
        <v>-1.6130889250641114</v>
      </c>
      <c r="J15" s="3057">
        <f t="shared" si="7"/>
        <v>-0.21663950244981633</v>
      </c>
      <c r="K15" s="3514">
        <f t="shared" si="8"/>
        <v>-6.6693649080700426E-2</v>
      </c>
      <c r="L15" s="3106">
        <f t="shared" si="9"/>
        <v>-8.7249999999999996</v>
      </c>
      <c r="M15" s="3530" t="str">
        <f>IF(SUM(M16,M19,M21,M23,M25)=0,"IE",SUM(M16,M19,M21,M23,M25))</f>
        <v>IE</v>
      </c>
      <c r="N15" s="3531">
        <f t="shared" ref="N15:S15" si="16">IF(SUM(N16,N19,N21,N23,N25)=0,"IE",SUM(N16,N19,N21,N23,N25))</f>
        <v>-21058.551672957456</v>
      </c>
      <c r="O15" s="3532">
        <f t="shared" si="16"/>
        <v>-21058.551672957456</v>
      </c>
      <c r="P15" s="3532">
        <f t="shared" si="16"/>
        <v>-2828.1851582124846</v>
      </c>
      <c r="Q15" s="3532">
        <f t="shared" si="16"/>
        <v>-870.60548914344656</v>
      </c>
      <c r="R15" s="3532">
        <f t="shared" si="16"/>
        <v>-8.7249999999999996</v>
      </c>
      <c r="S15" s="3534">
        <f t="shared" si="16"/>
        <v>90808.913507815756</v>
      </c>
      <c r="U15" s="2048"/>
    </row>
    <row r="16" spans="2:21" ht="18" customHeight="1" x14ac:dyDescent="0.2">
      <c r="B16" s="490" t="s">
        <v>1395</v>
      </c>
      <c r="C16" s="476"/>
      <c r="D16" s="3539">
        <f>IF(SUM(D17:D18)=0,"IE",SUM(D17:D18))</f>
        <v>13005.921559478413</v>
      </c>
      <c r="E16" s="3505">
        <f t="shared" ref="E16:F16" si="17">IF(SUM(E17:E18)=0,"IE",SUM(E17:E18))</f>
        <v>13005.921559478413</v>
      </c>
      <c r="F16" s="3506" t="str">
        <f t="shared" si="17"/>
        <v>IE</v>
      </c>
      <c r="G16" s="3500" t="str">
        <f t="shared" si="4"/>
        <v>NA</v>
      </c>
      <c r="H16" s="3057">
        <f t="shared" si="5"/>
        <v>-1.6191510595118477</v>
      </c>
      <c r="I16" s="3057">
        <f t="shared" si="6"/>
        <v>-1.6191510595118477</v>
      </c>
      <c r="J16" s="3057">
        <f t="shared" si="7"/>
        <v>-0.21745365334387773</v>
      </c>
      <c r="K16" s="3514">
        <f t="shared" si="8"/>
        <v>-5.7836093250559321E-2</v>
      </c>
      <c r="L16" s="3106" t="str">
        <f t="shared" si="9"/>
        <v>NA</v>
      </c>
      <c r="M16" s="3057" t="str">
        <f>IF(SUM(M17:M18)=0,"IE",SUM(M17:M18))</f>
        <v>IE</v>
      </c>
      <c r="N16" s="3057">
        <f t="shared" ref="N16:O16" si="18">IF(SUM(N17:N18)=0,"IE",SUM(N17:N18))</f>
        <v>-21058.551672957456</v>
      </c>
      <c r="O16" s="3057">
        <f t="shared" si="18"/>
        <v>-21058.551672957456</v>
      </c>
      <c r="P16" s="3057">
        <f t="shared" ref="P16" si="19">IF(SUM(P17:P18)=0,"IE",SUM(P17:P18))</f>
        <v>-2828.1851582124846</v>
      </c>
      <c r="Q16" s="3514">
        <f t="shared" ref="Q16" si="20">IF(SUM(Q17:Q18)=0,"IE",SUM(Q17:Q18))</f>
        <v>-752.21169212345342</v>
      </c>
      <c r="R16" s="3514" t="str">
        <f t="shared" ref="R16" si="21">IF(SUM(R17:R18)=0,"IE",SUM(R17:R18))</f>
        <v>IE</v>
      </c>
      <c r="S16" s="3511">
        <f t="shared" ref="S16" si="22">IF(SUM(S17:S18)=0,"IE",SUM(S17:S18))</f>
        <v>90342.811252075786</v>
      </c>
      <c r="U16" s="2048"/>
    </row>
    <row r="17" spans="2:21" ht="18" customHeight="1" x14ac:dyDescent="0.2">
      <c r="B17" s="490"/>
      <c r="C17" s="474" t="s">
        <v>1396</v>
      </c>
      <c r="D17" s="3500">
        <f>IF(SUM(E17:F17)=0,E17,SUM(E17:F17))</f>
        <v>13005.921559478413</v>
      </c>
      <c r="E17" s="3510">
        <v>13005.921559478413</v>
      </c>
      <c r="F17" s="3496" t="s">
        <v>274</v>
      </c>
      <c r="G17" s="3500" t="str">
        <f t="shared" si="4"/>
        <v>NA</v>
      </c>
      <c r="H17" s="3057">
        <f t="shared" si="5"/>
        <v>-1.6184153774774728</v>
      </c>
      <c r="I17" s="3057">
        <f t="shared" si="6"/>
        <v>-1.6184153774774728</v>
      </c>
      <c r="J17" s="3057">
        <f t="shared" si="7"/>
        <v>-0.21738158220621565</v>
      </c>
      <c r="K17" s="3514">
        <f t="shared" si="8"/>
        <v>-5.7836093250559321E-2</v>
      </c>
      <c r="L17" s="3106" t="str">
        <f t="shared" si="9"/>
        <v>NA</v>
      </c>
      <c r="M17" s="2917" t="s">
        <v>274</v>
      </c>
      <c r="N17" s="2917">
        <v>-21048.983450125656</v>
      </c>
      <c r="O17" s="3087">
        <f>IF(SUM(M17:N17)=0,M17,SUM(M17:N17))</f>
        <v>-21048.983450125656</v>
      </c>
      <c r="P17" s="2917">
        <v>-2827.2478066493491</v>
      </c>
      <c r="Q17" s="2918">
        <v>-752.21169212345342</v>
      </c>
      <c r="R17" s="2918" t="s">
        <v>274</v>
      </c>
      <c r="S17" s="3511">
        <f>IF(SUM(O17:R17)=0,Q17,SUM(O17:R17)*-44/12)</f>
        <v>90304.290812627689</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-9.5682228318015845</v>
      </c>
      <c r="O18" s="3087">
        <f>IF(SUM(M18:N18)=0,M18,SUM(M18:N18))</f>
        <v>-9.5682228318015845</v>
      </c>
      <c r="P18" s="2917">
        <v>-0.93735156313533685</v>
      </c>
      <c r="Q18" s="2918" t="s">
        <v>205</v>
      </c>
      <c r="R18" s="2918" t="s">
        <v>205</v>
      </c>
      <c r="S18" s="3511">
        <f>IF(SUM(O18:R18)=0,Q18,SUM(O18:R18)*-44/12)</f>
        <v>38.520439448102046</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13317.763307409505</v>
      </c>
      <c r="E10" s="3523">
        <f>IF(SUM(E11,E23)=0,"IE",SUM(E11,E23))</f>
        <v>13253.588067300323</v>
      </c>
      <c r="F10" s="3524">
        <f>IF(SUM(F11,F23)=0,"IE",SUM(F11,F23))</f>
        <v>64.175240109181914</v>
      </c>
      <c r="G10" s="4317" t="str">
        <f>IFERROR(IF(SUM($D10)=0,"NA",M10/$D10),"NA")</f>
        <v>NA</v>
      </c>
      <c r="H10" s="4318">
        <f t="shared" ref="H10:J10" si="0">IFERROR(IF(SUM($D10)=0,"NA",N10/$D10),"NA")</f>
        <v>-2.4984833307179478E-2</v>
      </c>
      <c r="I10" s="4319">
        <f t="shared" si="0"/>
        <v>-2.4984833307179478E-2</v>
      </c>
      <c r="J10" s="4318">
        <f t="shared" si="0"/>
        <v>-1.5389677617051486E-3</v>
      </c>
      <c r="K10" s="4318">
        <f>IFERROR(IF(SUM(E10)=0,"NA",Q10/E10),"NA")</f>
        <v>-1.984364770355242E-3</v>
      </c>
      <c r="L10" s="4320" t="str">
        <f>IFERROR(IF(SUM(F10)=0,"NA",R10/F10),"NA")</f>
        <v>NA</v>
      </c>
      <c r="M10" s="4319" t="str">
        <f t="shared" ref="M10:S10" si="1">IF(SUM(M11,M23)=0,"IE",SUM(M11,M23))</f>
        <v>IE</v>
      </c>
      <c r="N10" s="4318">
        <f t="shared" si="1"/>
        <v>-332.7420962600977</v>
      </c>
      <c r="O10" s="4319">
        <f t="shared" si="1"/>
        <v>-332.7420962600977</v>
      </c>
      <c r="P10" s="4318">
        <f t="shared" si="1"/>
        <v>-20.495608388122964</v>
      </c>
      <c r="Q10" s="4321">
        <f t="shared" si="1"/>
        <v>-26.299953241551382</v>
      </c>
      <c r="R10" s="4321" t="str">
        <f t="shared" si="1"/>
        <v>IE</v>
      </c>
      <c r="S10" s="3528">
        <f t="shared" si="1"/>
        <v>1391.6380789291641</v>
      </c>
      <c r="U10" s="4322"/>
    </row>
    <row r="11" spans="1:23" ht="18" customHeight="1" x14ac:dyDescent="0.2">
      <c r="B11" s="491" t="s">
        <v>1262</v>
      </c>
      <c r="C11" s="473"/>
      <c r="D11" s="4323">
        <f>IF(SUM(D12,D14,D17)=0,"IE",SUM(D12,D14,D17))</f>
        <v>13244.098369145</v>
      </c>
      <c r="E11" s="3542">
        <f t="shared" ref="E11:S11" si="2">IF(SUM(E12,E14,E17)=0,"IE",SUM(E12,E14,E17))</f>
        <v>13179.923129035818</v>
      </c>
      <c r="F11" s="3543">
        <f t="shared" si="2"/>
        <v>64.175240109181914</v>
      </c>
      <c r="G11" s="4324" t="str">
        <f t="shared" ref="G11:G56" si="3">IFERROR(IF(SUM($D11)=0,"NA",M11/$D11),"NA")</f>
        <v>NA</v>
      </c>
      <c r="H11" s="4325">
        <f t="shared" ref="H11:H56" si="4">IFERROR(IF(SUM($D11)=0,"NA",N11/$D11),"NA")</f>
        <v>-2.1740490705852725E-2</v>
      </c>
      <c r="I11" s="4326">
        <f t="shared" ref="I11:I56" si="5">IFERROR(IF(SUM($D11)=0,"NA",O11/$D11),"NA")</f>
        <v>-2.1740490705852725E-2</v>
      </c>
      <c r="J11" s="4325">
        <f t="shared" ref="J11:J56" si="6">IFERROR(IF(SUM($D11)=0,"NA",P11/$D11),"NA")</f>
        <v>-1.5475276471724137E-3</v>
      </c>
      <c r="K11" s="4325">
        <f t="shared" ref="K11:K56" si="7">IFERROR(IF(SUM(E11)=0,"NA",Q11/E11),"NA")</f>
        <v>-1.995455738555234E-3</v>
      </c>
      <c r="L11" s="4327" t="str">
        <f t="shared" ref="L11:L56" si="8">IFERROR(IF(SUM(F11)=0,"NA",R11/F11),"NA")</f>
        <v>NA</v>
      </c>
      <c r="M11" s="4326" t="str">
        <f t="shared" si="2"/>
        <v>IE</v>
      </c>
      <c r="N11" s="4325">
        <f t="shared" si="2"/>
        <v>-287.93319750179609</v>
      </c>
      <c r="O11" s="4326">
        <f t="shared" si="2"/>
        <v>-287.93319750179609</v>
      </c>
      <c r="P11" s="4325">
        <f t="shared" si="2"/>
        <v>-20.495608388122964</v>
      </c>
      <c r="Q11" s="4328">
        <f t="shared" si="2"/>
        <v>-26.299953241551382</v>
      </c>
      <c r="R11" s="4328" t="str">
        <f t="shared" si="2"/>
        <v>IE</v>
      </c>
      <c r="S11" s="3544">
        <f t="shared" si="2"/>
        <v>1227.3387834820583</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729.28559083423193</v>
      </c>
      <c r="E14" s="3505">
        <f>IF(SUM(E15:E16)=0,"IE",SUM(E15:E16))</f>
        <v>729.28559083423193</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502.11540000000008</v>
      </c>
      <c r="E15" s="3510">
        <v>502.11540000000008</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12514.812778310768</v>
      </c>
      <c r="E17" s="3505">
        <f>IF(SUM(E18:E21)=0,"IE",SUM(E18:E21))</f>
        <v>12450.637538201587</v>
      </c>
      <c r="F17" s="3506">
        <f>IF(SUM(F18:F21)=0,"IE",SUM(F18:F21))</f>
        <v>64.175240109181914</v>
      </c>
      <c r="G17" s="3545" t="str">
        <f t="shared" si="3"/>
        <v>NA</v>
      </c>
      <c r="H17" s="3531">
        <f t="shared" si="4"/>
        <v>-2.3007391528925523E-2</v>
      </c>
      <c r="I17" s="3546">
        <f t="shared" si="5"/>
        <v>-2.3007391528925523E-2</v>
      </c>
      <c r="J17" s="3531">
        <f t="shared" si="6"/>
        <v>-1.6377079506649584E-3</v>
      </c>
      <c r="K17" s="3531">
        <f t="shared" si="7"/>
        <v>-2.1123378751374557E-3</v>
      </c>
      <c r="L17" s="3535" t="str">
        <f t="shared" si="8"/>
        <v>NA</v>
      </c>
      <c r="M17" s="3505" t="str">
        <f t="shared" ref="M17:S17" si="16">IF(SUM(M18:M21)=0,"IE",SUM(M18:M21))</f>
        <v>IE</v>
      </c>
      <c r="N17" s="4325">
        <f t="shared" si="16"/>
        <v>-287.93319750179609</v>
      </c>
      <c r="O17" s="4326">
        <f t="shared" si="16"/>
        <v>-287.93319750179609</v>
      </c>
      <c r="P17" s="4325">
        <f t="shared" si="16"/>
        <v>-20.495608388122964</v>
      </c>
      <c r="Q17" s="4328">
        <f t="shared" si="16"/>
        <v>-26.299953241551382</v>
      </c>
      <c r="R17" s="4328" t="str">
        <f t="shared" si="16"/>
        <v>IE</v>
      </c>
      <c r="S17" s="4332">
        <f t="shared" si="16"/>
        <v>1227.3387834820583</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-1.9145768669187144E-2</v>
      </c>
      <c r="I18" s="3554">
        <f t="shared" si="5"/>
        <v>-1.9145768669187144E-2</v>
      </c>
      <c r="J18" s="3553">
        <f t="shared" si="6"/>
        <v>-3.8291537338374293E-3</v>
      </c>
      <c r="K18" s="3553">
        <f t="shared" si="7"/>
        <v>-1.5316614935349717E-2</v>
      </c>
      <c r="L18" s="3555" t="str">
        <f t="shared" si="8"/>
        <v>NA</v>
      </c>
      <c r="M18" s="3547" t="s">
        <v>274</v>
      </c>
      <c r="N18" s="3548">
        <v>-32.874941551939223</v>
      </c>
      <c r="O18" s="3087">
        <f>IF(SUM(M18:N18)=0,M18,SUM(M18:N18))</f>
        <v>-32.874941551939223</v>
      </c>
      <c r="P18" s="3548">
        <v>-6.5749883103878455</v>
      </c>
      <c r="Q18" s="3549">
        <v>-26.299953241551382</v>
      </c>
      <c r="R18" s="3556" t="s">
        <v>274</v>
      </c>
      <c r="S18" s="3511">
        <f>IF(SUM(O18:R18)=0,Q18,SUM(O18:R18)*-44/12)</f>
        <v>241.08290471422097</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-255.05825594985689</v>
      </c>
      <c r="O19" s="3087">
        <f t="shared" ref="O19:O22" si="18">IF(SUM(M19:N19)=0,M19,SUM(M19:N19))</f>
        <v>-255.05825594985689</v>
      </c>
      <c r="P19" s="3548">
        <v>-13.920620077735117</v>
      </c>
      <c r="Q19" s="3551" t="s">
        <v>205</v>
      </c>
      <c r="R19" s="3550" t="s">
        <v>205</v>
      </c>
      <c r="S19" s="3511">
        <f t="shared" ref="S19:S22" si="19">IF(SUM(O19:R19)=0,Q19,SUM(O19:R19)*-44/12)</f>
        <v>986.2558787678372</v>
      </c>
      <c r="T19" s="2519"/>
      <c r="U19" s="2699"/>
      <c r="V19" s="2519"/>
      <c r="W19" s="2519"/>
    </row>
    <row r="20" spans="1:23" ht="18" customHeight="1" x14ac:dyDescent="0.2">
      <c r="A20" s="2519"/>
      <c r="B20" s="2698"/>
      <c r="C20" s="4316" t="s">
        <v>1414</v>
      </c>
      <c r="D20" s="3500">
        <f t="shared" si="17"/>
        <v>10733.551004880646</v>
      </c>
      <c r="E20" s="4335">
        <v>10733.551004880646</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64.175240109181914</v>
      </c>
      <c r="E21" s="3505" t="str">
        <f t="shared" ref="E21:F21" si="20">E22</f>
        <v>IE</v>
      </c>
      <c r="F21" s="3506">
        <f t="shared" si="20"/>
        <v>64.175240109181914</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64.175240109181914</v>
      </c>
      <c r="E22" s="3510" t="s">
        <v>274</v>
      </c>
      <c r="F22" s="3496">
        <v>64.175240109181914</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73.664938264504741</v>
      </c>
      <c r="E23" s="3531">
        <f t="shared" ref="E23:F23" si="22">IF(SUM(E24,E35,E46)=0,"IE",SUM(E24,E35,E46))</f>
        <v>73.664938264504741</v>
      </c>
      <c r="F23" s="3535" t="str">
        <f t="shared" si="22"/>
        <v>IE</v>
      </c>
      <c r="G23" s="3545" t="str">
        <f t="shared" si="3"/>
        <v>NA</v>
      </c>
      <c r="H23" s="3531">
        <f t="shared" si="4"/>
        <v>-0.60827986575389059</v>
      </c>
      <c r="I23" s="3546">
        <f t="shared" si="5"/>
        <v>-0.60827986575389059</v>
      </c>
      <c r="J23" s="3531" t="str">
        <f t="shared" si="6"/>
        <v>NA</v>
      </c>
      <c r="K23" s="3531" t="str">
        <f t="shared" si="7"/>
        <v>NA</v>
      </c>
      <c r="L23" s="3535" t="str">
        <f t="shared" si="8"/>
        <v>NA</v>
      </c>
      <c r="M23" s="3531" t="str">
        <f t="shared" ref="M23" si="23">IF(SUM(M24,M35,M46)=0,"IE",SUM(M24,M35,M46))</f>
        <v>IE</v>
      </c>
      <c r="N23" s="3531">
        <f t="shared" ref="N23" si="24">IF(SUM(N24,N35,N46)=0,"IE",SUM(N24,N35,N46))</f>
        <v>-44.808898758301581</v>
      </c>
      <c r="O23" s="3546">
        <f t="shared" ref="O23" si="25">IF(SUM(O24,O35,O46)=0,"IE",SUM(O24,O35,O46))</f>
        <v>-44.808898758301581</v>
      </c>
      <c r="P23" s="3531" t="str">
        <f>IF(SUM(P24,P35,P46)=0,"NO",SUM(P24,P35,P46))</f>
        <v>NO</v>
      </c>
      <c r="Q23" s="3530" t="str">
        <f>IF(SUM(Q24,Q35,Q46)=0,"NO",SUM(Q24,Q35,Q46))</f>
        <v>NO</v>
      </c>
      <c r="R23" s="3530" t="str">
        <f>IF(SUM(R24,R35,R46)=0,"NO",SUM(R24,R35,R46))</f>
        <v>NO</v>
      </c>
      <c r="S23" s="3534">
        <f t="shared" ref="S23" si="26">IF(SUM(S24,S35,S46)=0,"IE",SUM(S24,S35,S46))</f>
        <v>164.29929544710581</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73.664938264504741</v>
      </c>
      <c r="E35" s="3531">
        <f>IF(SUM(E36,E38,E40,E42,E44)=0,"IE",SUM(E36,E38,E40,E42,E44))</f>
        <v>73.664938264504741</v>
      </c>
      <c r="F35" s="3535" t="str">
        <f>IF(SUM(F36,F38,F40,F42,F44)=0,"IE",SUM(F36,F38,F40,F42,F44))</f>
        <v>IE</v>
      </c>
      <c r="G35" s="3545" t="str">
        <f t="shared" si="3"/>
        <v>NA</v>
      </c>
      <c r="H35" s="3531">
        <f t="shared" si="4"/>
        <v>-0.60827986575389059</v>
      </c>
      <c r="I35" s="3546">
        <f t="shared" si="5"/>
        <v>-0.60827986575389059</v>
      </c>
      <c r="J35" s="3531" t="str">
        <f t="shared" si="6"/>
        <v>NA</v>
      </c>
      <c r="K35" s="3531" t="str">
        <f t="shared" si="7"/>
        <v>NA</v>
      </c>
      <c r="L35" s="3535" t="str">
        <f t="shared" si="8"/>
        <v>NA</v>
      </c>
      <c r="M35" s="3531" t="str">
        <f t="shared" ref="M35:S35" si="48">IF(SUM(M36,M38,M40,M42,M44)=0,"IE",SUM(M36,M38,M40,M42,M44))</f>
        <v>IE</v>
      </c>
      <c r="N35" s="3531">
        <f t="shared" si="48"/>
        <v>-44.808898758301581</v>
      </c>
      <c r="O35" s="3546">
        <f t="shared" si="48"/>
        <v>-44.808898758301581</v>
      </c>
      <c r="P35" s="3531" t="str">
        <f>IF(SUM(P36,P38,P40,P42,P44)=0,"NO",SUM(P36,P38,P40,P42,P44))</f>
        <v>NO</v>
      </c>
      <c r="Q35" s="3530" t="str">
        <f>IF(SUM(Q36,Q38,Q40,Q42,Q44)=0,"NO",SUM(Q36,Q38,Q40,Q42,Q44))</f>
        <v>NO</v>
      </c>
      <c r="R35" s="3530" t="str">
        <f>IF(SUM(R36,R38,R40,R42,R44)=0,"NO",SUM(R36,R38,R40,R42,R44))</f>
        <v>NO</v>
      </c>
      <c r="S35" s="3534">
        <f t="shared" si="48"/>
        <v>164.29929544710581</v>
      </c>
      <c r="U35" s="493"/>
    </row>
    <row r="36" spans="2:21" ht="18" customHeight="1" x14ac:dyDescent="0.2">
      <c r="B36" s="495" t="s">
        <v>1424</v>
      </c>
      <c r="C36" s="476"/>
      <c r="D36" s="3500">
        <f>D37</f>
        <v>73.664938264504741</v>
      </c>
      <c r="E36" s="3505">
        <f t="shared" ref="E36:F36" si="49">E37</f>
        <v>73.664938264504741</v>
      </c>
      <c r="F36" s="3506" t="str">
        <f t="shared" si="49"/>
        <v>IE</v>
      </c>
      <c r="G36" s="3500" t="str">
        <f t="shared" si="3"/>
        <v>NA</v>
      </c>
      <c r="H36" s="3057">
        <f t="shared" si="4"/>
        <v>-0.60827986575389059</v>
      </c>
      <c r="I36" s="3057">
        <f t="shared" si="5"/>
        <v>-0.60827986575389059</v>
      </c>
      <c r="J36" s="3057" t="str">
        <f t="shared" si="6"/>
        <v>NA</v>
      </c>
      <c r="K36" s="3514" t="str">
        <f t="shared" si="7"/>
        <v>NA</v>
      </c>
      <c r="L36" s="3106" t="str">
        <f t="shared" si="8"/>
        <v>NA</v>
      </c>
      <c r="M36" s="4170" t="str">
        <f t="shared" ref="M36:S36" si="50">M37</f>
        <v>IE</v>
      </c>
      <c r="N36" s="3057">
        <f t="shared" si="50"/>
        <v>-44.808898758301581</v>
      </c>
      <c r="O36" s="3057">
        <f t="shared" si="50"/>
        <v>-44.808898758301581</v>
      </c>
      <c r="P36" s="3057" t="str">
        <f t="shared" si="50"/>
        <v>NA</v>
      </c>
      <c r="Q36" s="3514" t="str">
        <f t="shared" si="50"/>
        <v>NA</v>
      </c>
      <c r="R36" s="3514" t="str">
        <f t="shared" si="50"/>
        <v>NA</v>
      </c>
      <c r="S36" s="3511">
        <f t="shared" si="50"/>
        <v>164.29929544710581</v>
      </c>
      <c r="U36" s="4329"/>
    </row>
    <row r="37" spans="2:21" ht="18" customHeight="1" x14ac:dyDescent="0.2">
      <c r="B37" s="1478"/>
      <c r="C37" s="4330" t="s">
        <v>409</v>
      </c>
      <c r="D37" s="3500">
        <f>IF(SUM(E37:F37)=0,E37,SUM(E37:F37))</f>
        <v>73.664938264504741</v>
      </c>
      <c r="E37" s="3510">
        <v>73.664938264504741</v>
      </c>
      <c r="F37" s="3496" t="s">
        <v>274</v>
      </c>
      <c r="G37" s="3545" t="str">
        <f t="shared" si="3"/>
        <v>NA</v>
      </c>
      <c r="H37" s="3531">
        <f t="shared" si="4"/>
        <v>-0.60827986575389059</v>
      </c>
      <c r="I37" s="3546">
        <f t="shared" si="5"/>
        <v>-0.60827986575389059</v>
      </c>
      <c r="J37" s="3531" t="str">
        <f t="shared" si="6"/>
        <v>NA</v>
      </c>
      <c r="K37" s="3531" t="str">
        <f t="shared" si="7"/>
        <v>NA</v>
      </c>
      <c r="L37" s="3535" t="str">
        <f t="shared" si="8"/>
        <v>NA</v>
      </c>
      <c r="M37" s="3547" t="s">
        <v>274</v>
      </c>
      <c r="N37" s="3548">
        <v>-44.808898758301581</v>
      </c>
      <c r="O37" s="3087">
        <f t="shared" ref="O37" si="51">IF(SUM(M37:N37)=0,M37,SUM(M37:N37))</f>
        <v>-44.808898758301581</v>
      </c>
      <c r="P37" s="3548" t="s">
        <v>205</v>
      </c>
      <c r="Q37" s="3549" t="s">
        <v>205</v>
      </c>
      <c r="R37" s="3549" t="s">
        <v>205</v>
      </c>
      <c r="S37" s="3511">
        <f t="shared" ref="S37" si="52">IF(SUM(O37:R37)=0,Q37,SUM(O37:R37)*-44/12)</f>
        <v>164.29929544710581</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1508.4273613159326</v>
      </c>
      <c r="E10" s="3523">
        <f t="shared" ref="E10:F10" si="0">IF(SUM(E11,E13)=0,"IE",SUM(E11,E13))</f>
        <v>1427.0859704622139</v>
      </c>
      <c r="F10" s="3524">
        <f t="shared" si="0"/>
        <v>81.341390853718778</v>
      </c>
      <c r="G10" s="3522" t="str">
        <f>IFERROR(IF(SUM($D10)=0,"NA",M10/$D10),"NA")</f>
        <v>NA</v>
      </c>
      <c r="H10" s="3523">
        <f t="shared" ref="H10:J10" si="1">IFERROR(IF(SUM($D10)=0,"NA",N10/$D10),"NA")</f>
        <v>-1.2441138276603778</v>
      </c>
      <c r="I10" s="3523">
        <f t="shared" si="1"/>
        <v>-1.2441138276603778</v>
      </c>
      <c r="J10" s="3523">
        <f t="shared" si="1"/>
        <v>6.1331695874554504E-2</v>
      </c>
      <c r="K10" s="3525">
        <f>IFERROR(IF(SUM(E10)=0,"NA",Q10/E10),"NA")</f>
        <v>-4.8579334464298018E-2</v>
      </c>
      <c r="L10" s="3524">
        <f>IFERROR(IF(SUM(F10)=0,"NA",R10/F10),"NA")</f>
        <v>0.61350627350734865</v>
      </c>
      <c r="M10" s="3526" t="str">
        <f>IF(SUM(M11,M13)=0,"IE",SUM(M11,M13))</f>
        <v>IE</v>
      </c>
      <c r="N10" s="3523">
        <f t="shared" ref="N10:S10" si="2">IF(SUM(N11,N13)=0,"IE",SUM(N11,N13))</f>
        <v>-1876.6553382344084</v>
      </c>
      <c r="O10" s="3527">
        <f t="shared" si="2"/>
        <v>-1876.6553382344084</v>
      </c>
      <c r="P10" s="3523">
        <f t="shared" si="2"/>
        <v>92.514408173085513</v>
      </c>
      <c r="Q10" s="3525">
        <f t="shared" si="2"/>
        <v>-69.326886668391211</v>
      </c>
      <c r="R10" s="3525">
        <f t="shared" si="2"/>
        <v>49.903453584569739</v>
      </c>
      <c r="S10" s="3528">
        <f t="shared" si="2"/>
        <v>6613.0693315321951</v>
      </c>
      <c r="U10" s="2287"/>
    </row>
    <row r="11" spans="2:21" ht="18" customHeight="1" x14ac:dyDescent="0.2">
      <c r="B11" s="483" t="s">
        <v>1265</v>
      </c>
      <c r="C11" s="2282"/>
      <c r="D11" s="3529">
        <f>D12</f>
        <v>1057.735235222</v>
      </c>
      <c r="E11" s="3057">
        <f t="shared" ref="E11:F11" si="3">E12</f>
        <v>1057.735235222</v>
      </c>
      <c r="F11" s="3057" t="str">
        <f t="shared" si="3"/>
        <v>IE</v>
      </c>
      <c r="G11" s="3500" t="str">
        <f t="shared" ref="G11:G24" si="4">IFERROR(IF(SUM($D11)=0,"NA",M11/$D11),"NA")</f>
        <v>NA</v>
      </c>
      <c r="H11" s="3057">
        <f t="shared" ref="H11:H24" si="5">IFERROR(IF(SUM($D11)=0,"NA",N11/$D11),"NA")</f>
        <v>-4.1633424364025569E-3</v>
      </c>
      <c r="I11" s="3057">
        <f t="shared" ref="I11:I24" si="6">IFERROR(IF(SUM($D11)=0,"NA",O11/$D11),"NA")</f>
        <v>-4.1633424364025569E-3</v>
      </c>
      <c r="J11" s="3057">
        <f t="shared" ref="J11:J24" si="7">IFERROR(IF(SUM($D11)=0,"NA",P11/$D11),"NA")</f>
        <v>-8.3266848728051179E-4</v>
      </c>
      <c r="K11" s="3514">
        <f t="shared" ref="K11:K24" si="8">IFERROR(IF(SUM(E11)=0,"NA",Q11/E11),"NA")</f>
        <v>-3.3306739491220472E-3</v>
      </c>
      <c r="L11" s="3106" t="str">
        <f t="shared" ref="L11:L24" si="9">IFERROR(IF(SUM(F11)=0,"NA",R11/F11),"NA")</f>
        <v>NA</v>
      </c>
      <c r="M11" s="3530" t="str">
        <f t="shared" ref="M11:S11" si="10">M12</f>
        <v>IE</v>
      </c>
      <c r="N11" s="3531">
        <f t="shared" si="10"/>
        <v>-4.4037139912779928</v>
      </c>
      <c r="O11" s="3532">
        <f t="shared" si="10"/>
        <v>-4.4037139912779928</v>
      </c>
      <c r="P11" s="3531">
        <f t="shared" si="10"/>
        <v>-0.88074279825559909</v>
      </c>
      <c r="Q11" s="3533">
        <f t="shared" si="10"/>
        <v>-3.5229711930223964</v>
      </c>
      <c r="R11" s="3533" t="str">
        <f t="shared" si="10"/>
        <v>IE</v>
      </c>
      <c r="S11" s="3534">
        <f t="shared" si="10"/>
        <v>32.293902602705295</v>
      </c>
      <c r="U11" s="2423"/>
    </row>
    <row r="12" spans="2:21" ht="18" customHeight="1" x14ac:dyDescent="0.2">
      <c r="B12" s="491"/>
      <c r="C12" s="4330" t="s">
        <v>409</v>
      </c>
      <c r="D12" s="3500">
        <f>IF(SUM(E12:F12)=0,E12,SUM(E12:F12))</f>
        <v>1057.735235222</v>
      </c>
      <c r="E12" s="3510">
        <v>1057.735235222</v>
      </c>
      <c r="F12" s="3496" t="s">
        <v>274</v>
      </c>
      <c r="G12" s="3500" t="str">
        <f t="shared" si="4"/>
        <v>NA</v>
      </c>
      <c r="H12" s="3057">
        <f t="shared" si="5"/>
        <v>-4.1633424364025569E-3</v>
      </c>
      <c r="I12" s="3057">
        <f t="shared" si="6"/>
        <v>-4.1633424364025569E-3</v>
      </c>
      <c r="J12" s="3057">
        <f t="shared" si="7"/>
        <v>-8.3266848728051179E-4</v>
      </c>
      <c r="K12" s="3514">
        <f t="shared" si="8"/>
        <v>-3.3306739491220472E-3</v>
      </c>
      <c r="L12" s="3106" t="str">
        <f t="shared" si="9"/>
        <v>NA</v>
      </c>
      <c r="M12" s="2917" t="s">
        <v>274</v>
      </c>
      <c r="N12" s="2917">
        <v>-4.4037139912779928</v>
      </c>
      <c r="O12" s="3087">
        <f>IF(SUM(M12:N12)=0,M12,SUM(M12:N12))</f>
        <v>-4.4037139912779928</v>
      </c>
      <c r="P12" s="2917">
        <v>-0.88074279825559909</v>
      </c>
      <c r="Q12" s="2918">
        <v>-3.5229711930223964</v>
      </c>
      <c r="R12" s="2918" t="s">
        <v>274</v>
      </c>
      <c r="S12" s="3511">
        <f>IF(SUM(O12:R12)=0,Q12,SUM(O12:R12)*-44/12)</f>
        <v>32.293902602705295</v>
      </c>
      <c r="U12" s="2424"/>
    </row>
    <row r="13" spans="2:21" ht="18" customHeight="1" x14ac:dyDescent="0.2">
      <c r="B13" s="483" t="s">
        <v>1266</v>
      </c>
      <c r="C13" s="494"/>
      <c r="D13" s="3529">
        <f>IF(SUM(D14,D17,D19,D21,D23)=0,"IE",SUM(D14,D17,D19,D21,D23))</f>
        <v>450.69212609393264</v>
      </c>
      <c r="E13" s="3531">
        <f t="shared" ref="E13:S13" si="11">IF(SUM(E14,E17,E19,E21,E23)=0,"IE",SUM(E14,E17,E19,E21,E23))</f>
        <v>369.35073524021385</v>
      </c>
      <c r="F13" s="3535">
        <f t="shared" si="11"/>
        <v>81.341390853718778</v>
      </c>
      <c r="G13" s="3500" t="str">
        <f t="shared" si="4"/>
        <v>NA</v>
      </c>
      <c r="H13" s="3057">
        <f t="shared" si="5"/>
        <v>-4.1541698109296865</v>
      </c>
      <c r="I13" s="3057">
        <f t="shared" si="6"/>
        <v>-4.1541698109296865</v>
      </c>
      <c r="J13" s="3057">
        <f t="shared" si="7"/>
        <v>0.20722605424856216</v>
      </c>
      <c r="K13" s="3514">
        <f t="shared" si="8"/>
        <v>-0.1781610518050602</v>
      </c>
      <c r="L13" s="3106">
        <f t="shared" si="9"/>
        <v>0.61350627350734865</v>
      </c>
      <c r="M13" s="3057" t="str">
        <f t="shared" si="11"/>
        <v>IE</v>
      </c>
      <c r="N13" s="3057">
        <f t="shared" si="11"/>
        <v>-1872.2516242431304</v>
      </c>
      <c r="O13" s="3057">
        <f t="shared" si="11"/>
        <v>-1872.2516242431304</v>
      </c>
      <c r="P13" s="3057">
        <f t="shared" si="11"/>
        <v>93.39515097134111</v>
      </c>
      <c r="Q13" s="3514">
        <f t="shared" si="11"/>
        <v>-65.803915475368811</v>
      </c>
      <c r="R13" s="3514">
        <f t="shared" si="11"/>
        <v>49.903453584569739</v>
      </c>
      <c r="S13" s="3511">
        <f t="shared" si="11"/>
        <v>6580.7754289294899</v>
      </c>
      <c r="U13" s="2048"/>
    </row>
    <row r="14" spans="2:21" ht="18" customHeight="1" x14ac:dyDescent="0.2">
      <c r="B14" s="485" t="s">
        <v>1440</v>
      </c>
      <c r="C14" s="494"/>
      <c r="D14" s="3539">
        <f>IF(SUM(D15:D16)=0,"IE",SUM(D15:D16))</f>
        <v>450.69212609393264</v>
      </c>
      <c r="E14" s="3505">
        <f t="shared" ref="E14:F14" si="12">IF(SUM(E15:E16)=0,"IE",SUM(E15:E16))</f>
        <v>369.35073524021385</v>
      </c>
      <c r="F14" s="3506">
        <f t="shared" si="12"/>
        <v>81.341390853718778</v>
      </c>
      <c r="G14" s="3500" t="str">
        <f t="shared" si="4"/>
        <v>NA</v>
      </c>
      <c r="H14" s="3057">
        <f t="shared" si="5"/>
        <v>-4.1541698109296865</v>
      </c>
      <c r="I14" s="3057">
        <f t="shared" si="6"/>
        <v>-4.1541698109296865</v>
      </c>
      <c r="J14" s="3057">
        <f t="shared" si="7"/>
        <v>0.20722605424856216</v>
      </c>
      <c r="K14" s="3514">
        <f t="shared" si="8"/>
        <v>-0.1781610518050602</v>
      </c>
      <c r="L14" s="3106">
        <f t="shared" si="9"/>
        <v>0.61350627350734865</v>
      </c>
      <c r="M14" s="3057" t="str">
        <f>IF(SUM(M15:M16)=0,"IE",SUM(M15:M16))</f>
        <v>IE</v>
      </c>
      <c r="N14" s="3057">
        <f t="shared" ref="N14:S14" si="13">IF(SUM(N15:N16)=0,"IE",SUM(N15:N16))</f>
        <v>-1872.2516242431304</v>
      </c>
      <c r="O14" s="3057">
        <f t="shared" si="13"/>
        <v>-1872.2516242431304</v>
      </c>
      <c r="P14" s="3057">
        <f t="shared" si="13"/>
        <v>93.39515097134111</v>
      </c>
      <c r="Q14" s="3514">
        <f t="shared" si="13"/>
        <v>-65.803915475368811</v>
      </c>
      <c r="R14" s="3514">
        <f t="shared" si="13"/>
        <v>49.903453584569739</v>
      </c>
      <c r="S14" s="3511">
        <f t="shared" si="13"/>
        <v>6580.7754289294899</v>
      </c>
      <c r="U14" s="2048"/>
    </row>
    <row r="15" spans="2:21" ht="18" customHeight="1" x14ac:dyDescent="0.2">
      <c r="B15" s="486"/>
      <c r="C15" s="498" t="s">
        <v>1441</v>
      </c>
      <c r="D15" s="3500">
        <f>IF(SUM(E15:F15)=0,E15,SUM(E15:F15))</f>
        <v>81.341390853718778</v>
      </c>
      <c r="E15" s="3510" t="s">
        <v>199</v>
      </c>
      <c r="F15" s="3496">
        <v>81.341390853718778</v>
      </c>
      <c r="G15" s="3500" t="str">
        <f t="shared" si="4"/>
        <v>NA</v>
      </c>
      <c r="H15" s="3057">
        <f t="shared" si="5"/>
        <v>-12.908019700384621</v>
      </c>
      <c r="I15" s="3057">
        <f t="shared" si="6"/>
        <v>-12.908019700384621</v>
      </c>
      <c r="J15" s="3057">
        <f t="shared" si="7"/>
        <v>3.0065578461828677</v>
      </c>
      <c r="K15" s="3514" t="str">
        <f t="shared" si="8"/>
        <v>NA</v>
      </c>
      <c r="L15" s="3106">
        <f t="shared" si="9"/>
        <v>0.61350627350734865</v>
      </c>
      <c r="M15" s="2917" t="s">
        <v>274</v>
      </c>
      <c r="N15" s="2917">
        <v>-1049.9562755964873</v>
      </c>
      <c r="O15" s="3087">
        <f>IF(SUM(M15:N15)=0,M15,SUM(M15:N15))</f>
        <v>-1049.9562755964873</v>
      </c>
      <c r="P15" s="2917">
        <v>244.55759689067554</v>
      </c>
      <c r="Q15" s="2918" t="s">
        <v>199</v>
      </c>
      <c r="R15" s="2918">
        <v>49.903453584569739</v>
      </c>
      <c r="S15" s="3511">
        <f>IF(SUM(O15:R15)=0,Q15,SUM(O15:R15)*-44/12)</f>
        <v>2770.1491587778874</v>
      </c>
      <c r="U15" s="2048"/>
    </row>
    <row r="16" spans="2:21" ht="18" customHeight="1" x14ac:dyDescent="0.2">
      <c r="B16" s="484"/>
      <c r="C16" s="498" t="s">
        <v>1442</v>
      </c>
      <c r="D16" s="3500">
        <f>IF(SUM(E16:F16)=0,E16,SUM(E16:F16))</f>
        <v>369.35073524021385</v>
      </c>
      <c r="E16" s="3510">
        <v>369.35073524021385</v>
      </c>
      <c r="F16" s="3496" t="s">
        <v>274</v>
      </c>
      <c r="G16" s="3500" t="str">
        <f t="shared" si="4"/>
        <v>NA</v>
      </c>
      <c r="H16" s="3057">
        <f t="shared" si="5"/>
        <v>-2.2263265514060739</v>
      </c>
      <c r="I16" s="3057">
        <f t="shared" si="6"/>
        <v>-2.2263265514060739</v>
      </c>
      <c r="J16" s="3057">
        <f t="shared" si="7"/>
        <v>-0.40926531747939593</v>
      </c>
      <c r="K16" s="3514">
        <f t="shared" si="8"/>
        <v>-0.1781610518050602</v>
      </c>
      <c r="L16" s="3106" t="str">
        <f t="shared" si="9"/>
        <v>NA</v>
      </c>
      <c r="M16" s="2917" t="s">
        <v>274</v>
      </c>
      <c r="N16" s="2917">
        <v>-822.29534864664311</v>
      </c>
      <c r="O16" s="3087">
        <f>IF(SUM(M16:N16)=0,M16,SUM(M16:N16))</f>
        <v>-822.29534864664311</v>
      </c>
      <c r="P16" s="2917">
        <v>-151.16244591933443</v>
      </c>
      <c r="Q16" s="2918">
        <v>-65.803915475368811</v>
      </c>
      <c r="R16" s="2918" t="s">
        <v>274</v>
      </c>
      <c r="S16" s="3511">
        <f>IF(SUM(O16:R16)=0,Q16,SUM(O16:R16)*-44/12)</f>
        <v>3810.626270151603</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61.280814490794562</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61.280814490794562</v>
      </c>
    </row>
    <row r="270" spans="2:10" ht="18" customHeight="1" x14ac:dyDescent="0.2">
      <c r="B270" s="2842" t="s">
        <v>1550</v>
      </c>
      <c r="C270" s="2843"/>
      <c r="D270" s="2823"/>
      <c r="E270" s="2824"/>
      <c r="F270" s="2825"/>
      <c r="G270" s="2826"/>
      <c r="H270" s="2834" t="s">
        <v>221</v>
      </c>
      <c r="I270" s="2830" t="s">
        <v>221</v>
      </c>
      <c r="J270" s="3659">
        <f>J277</f>
        <v>53.758404399822339</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515.84408885827679</v>
      </c>
      <c r="E277" s="2770" t="s">
        <v>205</v>
      </c>
      <c r="F277" s="2768" t="s">
        <v>205</v>
      </c>
      <c r="G277" s="3653">
        <f>IF(SUM(D277)=0,"NA",J277*1000/D277)</f>
        <v>104.21444300894557</v>
      </c>
      <c r="H277" s="2793" t="str">
        <f t="shared" ref="H277:J277" si="1">H302</f>
        <v>NE</v>
      </c>
      <c r="I277" s="2792" t="str">
        <f t="shared" si="1"/>
        <v>NE</v>
      </c>
      <c r="J277" s="3652">
        <f t="shared" si="1"/>
        <v>53.758404399822339</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321.93721029458698</v>
      </c>
      <c r="E281" s="2770" t="str">
        <f t="shared" si="2"/>
        <v>NA</v>
      </c>
      <c r="F281" s="2768" t="str">
        <f t="shared" si="2"/>
        <v>NA</v>
      </c>
      <c r="G281" s="3653">
        <f t="shared" si="2"/>
        <v>117.05510302209402</v>
      </c>
      <c r="H281" s="2795" t="str">
        <f t="shared" ref="H281" si="3">H306</f>
        <v>NA</v>
      </c>
      <c r="I281" s="2773" t="str">
        <f t="shared" ref="I281:J281" si="4">I306</f>
        <v>NA</v>
      </c>
      <c r="J281" s="3662">
        <f t="shared" si="4"/>
        <v>37.684393317678428</v>
      </c>
    </row>
    <row r="282" spans="2:10" ht="18" customHeight="1" outlineLevel="1" x14ac:dyDescent="0.2">
      <c r="B282" s="2862" t="str">
        <f>B307</f>
        <v>Other Constructed Water Bodies</v>
      </c>
      <c r="C282" s="2850" t="str">
        <f t="shared" si="2"/>
        <v>Other Constructed Water Bodies</v>
      </c>
      <c r="D282" s="3647">
        <f t="shared" si="2"/>
        <v>193.90687856368982</v>
      </c>
      <c r="E282" s="2770" t="str">
        <f t="shared" si="2"/>
        <v>NA</v>
      </c>
      <c r="F282" s="2768" t="str">
        <f t="shared" si="2"/>
        <v>NA</v>
      </c>
      <c r="G282" s="3653">
        <f t="shared" si="2"/>
        <v>82.895517689767303</v>
      </c>
      <c r="H282" s="2860" t="str">
        <f t="shared" ref="H282" si="5">H307</f>
        <v>NA</v>
      </c>
      <c r="I282" s="2861" t="str">
        <f t="shared" ref="I282:J282" si="6">I307</f>
        <v>NA</v>
      </c>
      <c r="J282" s="3662">
        <f t="shared" si="6"/>
        <v>16.074011082143908</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53.758404399822339</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515.84408885827679</v>
      </c>
      <c r="E302" s="2770" t="s">
        <v>205</v>
      </c>
      <c r="F302" s="2768" t="s">
        <v>205</v>
      </c>
      <c r="G302" s="3653">
        <f>IF(SUM(D302)=0,"NA",J302*1000/D302)</f>
        <v>104.21444300894557</v>
      </c>
      <c r="H302" s="2793" t="s">
        <v>221</v>
      </c>
      <c r="I302" s="2792" t="s">
        <v>221</v>
      </c>
      <c r="J302" s="3652">
        <f t="shared" ref="J302" si="7">IF(SUM(J306:J307)=0,"NO",SUM(J306:J307))</f>
        <v>53.758404399822339</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321.93721029458698</v>
      </c>
      <c r="E306" s="2770" t="s">
        <v>205</v>
      </c>
      <c r="F306" s="2768" t="s">
        <v>205</v>
      </c>
      <c r="G306" s="3653">
        <f>IF(SUM(D306)=0,"NA",J306*1000/D306)</f>
        <v>117.05510302209402</v>
      </c>
      <c r="H306" s="2795" t="s">
        <v>205</v>
      </c>
      <c r="I306" s="2773" t="s">
        <v>205</v>
      </c>
      <c r="J306" s="3662">
        <v>37.684393317678428</v>
      </c>
    </row>
    <row r="307" spans="2:10" ht="18" customHeight="1" outlineLevel="2" x14ac:dyDescent="0.2">
      <c r="B307" s="2862" t="s">
        <v>1554</v>
      </c>
      <c r="C307" s="2850" t="s">
        <v>1554</v>
      </c>
      <c r="D307" s="3650">
        <v>193.90687856368982</v>
      </c>
      <c r="E307" s="2770" t="s">
        <v>205</v>
      </c>
      <c r="F307" s="2768" t="s">
        <v>205</v>
      </c>
      <c r="G307" s="3653">
        <f>IF(SUM(D307)=0,"NA",J307*1000/D307)</f>
        <v>82.895517689767303</v>
      </c>
      <c r="H307" s="2795" t="s">
        <v>205</v>
      </c>
      <c r="I307" s="2773" t="s">
        <v>205</v>
      </c>
      <c r="J307" s="3662">
        <v>16.074011082143908</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7.5224100909722216</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36.057418055555559</v>
      </c>
      <c r="E327" s="2791" t="str">
        <f t="shared" ref="E327:J327" si="8">E331</f>
        <v>NA</v>
      </c>
      <c r="F327" s="2792" t="str">
        <f t="shared" si="8"/>
        <v>NA</v>
      </c>
      <c r="G327" s="3655">
        <f t="shared" si="8"/>
        <v>208.62309329475698</v>
      </c>
      <c r="H327" s="2793" t="str">
        <f t="shared" si="8"/>
        <v>IE</v>
      </c>
      <c r="I327" s="2792" t="str">
        <f t="shared" si="8"/>
        <v>NA</v>
      </c>
      <c r="J327" s="3652">
        <f t="shared" si="8"/>
        <v>7.5224100909722216</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36.057418055555559</v>
      </c>
      <c r="E331" s="2770" t="str">
        <f t="shared" si="9"/>
        <v>NA</v>
      </c>
      <c r="F331" s="2768" t="str">
        <f t="shared" si="9"/>
        <v>NA</v>
      </c>
      <c r="G331" s="3653">
        <f t="shared" si="9"/>
        <v>208.62309329475698</v>
      </c>
      <c r="H331" s="2780" t="str">
        <f t="shared" si="9"/>
        <v>IE</v>
      </c>
      <c r="I331" s="2773" t="str">
        <f t="shared" si="9"/>
        <v>NA</v>
      </c>
      <c r="J331" s="3662">
        <f t="shared" si="9"/>
        <v>7.5224100909722216</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7.5224100909722216</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36.057418055555559</v>
      </c>
      <c r="E411" s="2791" t="str">
        <f t="shared" ref="E411:J411" si="10">E415</f>
        <v>NA</v>
      </c>
      <c r="F411" s="2792" t="str">
        <f t="shared" si="10"/>
        <v>NA</v>
      </c>
      <c r="G411" s="3655">
        <f t="shared" si="10"/>
        <v>208.62309329475698</v>
      </c>
      <c r="H411" s="2793" t="str">
        <f t="shared" si="10"/>
        <v>IE</v>
      </c>
      <c r="I411" s="2792" t="str">
        <f t="shared" si="10"/>
        <v>NA</v>
      </c>
      <c r="J411" s="3652">
        <f t="shared" si="10"/>
        <v>7.5224100909722216</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36.057418055555559</v>
      </c>
      <c r="E415" s="2770" t="str">
        <f>E427</f>
        <v>NA</v>
      </c>
      <c r="F415" s="2768" t="str">
        <f>F427</f>
        <v>NA</v>
      </c>
      <c r="G415" s="3653">
        <f t="shared" ref="G415:J415" si="11">G427</f>
        <v>208.62309329475698</v>
      </c>
      <c r="H415" s="2795" t="str">
        <f t="shared" si="11"/>
        <v>IE</v>
      </c>
      <c r="I415" s="2773" t="str">
        <f t="shared" si="11"/>
        <v>NA</v>
      </c>
      <c r="J415" s="3662">
        <f t="shared" si="11"/>
        <v>7.5224100909722216</v>
      </c>
    </row>
    <row r="416" spans="2:10" ht="18" customHeight="1" outlineLevel="2" x14ac:dyDescent="0.2">
      <c r="B416" s="2857" t="s">
        <v>1564</v>
      </c>
      <c r="C416" s="2843"/>
      <c r="D416" s="3649"/>
      <c r="E416" s="2824"/>
      <c r="F416" s="2825"/>
      <c r="G416" s="3656"/>
      <c r="H416" s="2834" t="s">
        <v>221</v>
      </c>
      <c r="I416" s="2830" t="s">
        <v>221</v>
      </c>
      <c r="J416" s="3659">
        <f>J423</f>
        <v>7.5224100909722216</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36.057418055555559</v>
      </c>
      <c r="E423" s="2791" t="str">
        <f t="shared" ref="E423:J423" si="12">E427</f>
        <v>NA</v>
      </c>
      <c r="F423" s="2792" t="str">
        <f t="shared" si="12"/>
        <v>NA</v>
      </c>
      <c r="G423" s="3655">
        <f t="shared" si="12"/>
        <v>208.62309329475698</v>
      </c>
      <c r="H423" s="2793" t="str">
        <f t="shared" si="12"/>
        <v>IE</v>
      </c>
      <c r="I423" s="2792" t="str">
        <f t="shared" si="12"/>
        <v>NA</v>
      </c>
      <c r="J423" s="3652">
        <f t="shared" si="12"/>
        <v>7.5224100909722216</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36.057418055555559</v>
      </c>
      <c r="E427" s="2770" t="s">
        <v>205</v>
      </c>
      <c r="F427" s="2768" t="s">
        <v>205</v>
      </c>
      <c r="G427" s="3653">
        <f>IF(SUM(D427)=0,"NA",J427*1000/D427)</f>
        <v>208.62309329475698</v>
      </c>
      <c r="H427" s="4306" t="s">
        <v>274</v>
      </c>
      <c r="I427" s="2773" t="s">
        <v>205</v>
      </c>
      <c r="J427" s="3662">
        <v>7.5224100909722216</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657059.85272163327</v>
      </c>
      <c r="D10" s="3577">
        <f>IF(SUM(D11,D20,D28,D37,D46,D55)=0,"NO",SUM(D11,D20,D28,D37,D46,D55))</f>
        <v>55556.60016816538</v>
      </c>
      <c r="E10" s="3592">
        <f t="shared" ref="E10:E12" si="0">IF(SUM(C10)=0,"NA",G10/C10*1000/(44/28))</f>
        <v>1.5134193036452639E-3</v>
      </c>
      <c r="F10" s="3593">
        <f t="shared" ref="F10:F11" si="1">IF(SUM(D10)=0,"NA",H10/D10*1000/(44/28))</f>
        <v>7.4999999999999997E-3</v>
      </c>
      <c r="G10" s="4464">
        <f>IF(SUM(G11,G20,G28,G37,G46,G55)=0,"NO",SUM(G11,G20,G28,G37,G46,G55))</f>
        <v>1.5626396731930818</v>
      </c>
      <c r="H10" s="4465">
        <f>IF(SUM(H11,H20,H28,H37,H46,H55)=0,"NO",SUM(H11,H20,H28,H37,H46,H55))</f>
        <v>0.65477421626766341</v>
      </c>
      <c r="I10" s="4466">
        <f t="shared" ref="I10:I11" si="2">IF(SUM(G10:H10)=0,"NO",SUM(G10:H10))</f>
        <v>2.2174138894607451</v>
      </c>
    </row>
    <row r="11" spans="2:10" ht="18" customHeight="1" x14ac:dyDescent="0.2">
      <c r="B11" s="2863" t="s">
        <v>1605</v>
      </c>
      <c r="C11" s="3578">
        <f>IF(SUM(C12:C13)=0,"NO",SUM(C12:C13))</f>
        <v>134889.01910477737</v>
      </c>
      <c r="D11" s="3579">
        <f>IF(SUM(D12:D13)=0,"NO",SUM(D12:D13))</f>
        <v>24760.446611650252</v>
      </c>
      <c r="E11" s="3594">
        <f t="shared" si="0"/>
        <v>2.4697928253724064E-3</v>
      </c>
      <c r="F11" s="3595">
        <f t="shared" si="1"/>
        <v>7.4999999999999997E-3</v>
      </c>
      <c r="G11" s="4467">
        <f>IF(SUM(G12:G13)=0,"NO",SUM(G12:G13))</f>
        <v>0.52351817823878666</v>
      </c>
      <c r="H11" s="4468">
        <f>IF(SUM(H12:H13)=0,"NO",SUM(H12:H13))</f>
        <v>0.29181954935159227</v>
      </c>
      <c r="I11" s="4469">
        <f t="shared" si="2"/>
        <v>0.81533772759037892</v>
      </c>
    </row>
    <row r="12" spans="2:10" ht="18" customHeight="1" x14ac:dyDescent="0.2">
      <c r="B12" s="917" t="s">
        <v>1606</v>
      </c>
      <c r="C12" s="3580">
        <f>Table4.A!E11</f>
        <v>126254.36133955199</v>
      </c>
      <c r="D12" s="3581">
        <f>H12/F12*1000/(44/28)</f>
        <v>7601.8268574921085</v>
      </c>
      <c r="E12" s="3596">
        <f t="shared" si="0"/>
        <v>5.5179443704716797E-4</v>
      </c>
      <c r="F12" s="3597">
        <v>7.4999999999999997E-3</v>
      </c>
      <c r="G12" s="4470">
        <v>0.10947585666302657</v>
      </c>
      <c r="H12" s="4471">
        <v>8.9592959391871285E-2</v>
      </c>
      <c r="I12" s="4472">
        <f>IF(SUM(G12:H12)=0,"NO",SUM(G12:H12))</f>
        <v>0.19906881605489785</v>
      </c>
    </row>
    <row r="13" spans="2:10" ht="18" customHeight="1" x14ac:dyDescent="0.2">
      <c r="B13" s="917" t="s">
        <v>1607</v>
      </c>
      <c r="C13" s="3582">
        <f>IF(SUM(C15:C19)=0,"NO",SUM(C15:C19))</f>
        <v>8634.6577652253854</v>
      </c>
      <c r="D13" s="3583">
        <f>IF(SUM(D15:D19)=0,"NO",SUM(D15:D19))</f>
        <v>17158.619754158142</v>
      </c>
      <c r="E13" s="3599">
        <f>IF(SUM(C13)=0,"NA",G13/C13*1000/(44/28))</f>
        <v>3.0514408854456238E-2</v>
      </c>
      <c r="F13" s="3598">
        <f>IF(SUM(D13)=0,"NA",H13/D13*1000/(44/28))</f>
        <v>7.5000000000000006E-3</v>
      </c>
      <c r="G13" s="4473">
        <f>IF(SUM(G15:G19)=0,"NO",SUM(G15:G19))</f>
        <v>0.4140423215757601</v>
      </c>
      <c r="H13" s="4474">
        <f>IF(SUM(H15:H19)=0,"NO",SUM(H15:H19))</f>
        <v>0.20222658995972098</v>
      </c>
      <c r="I13" s="4472">
        <f>IF(SUM(G13:H13)=0,"NO",SUM(G13:H13))</f>
        <v>0.61626891153548113</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55.14160580456528</v>
      </c>
      <c r="D15" s="3581">
        <f>H15/F15*1000/(44/28)</f>
        <v>95.447896166403922</v>
      </c>
      <c r="E15" s="3599">
        <f>IF(SUM(C15)=0,"NA",G15/C15*1000/(44/28))</f>
        <v>3.9789341019233218E-2</v>
      </c>
      <c r="F15" s="3597">
        <v>7.4999999999999997E-3</v>
      </c>
      <c r="G15" s="4477">
        <v>3.4477899621093936E-3</v>
      </c>
      <c r="H15" s="4478">
        <v>1.1249216333897602E-3</v>
      </c>
      <c r="I15" s="4472">
        <f>IF(SUM(G15:H15)=0,"NO",SUM(G15:H15))</f>
        <v>4.5727115954991536E-3</v>
      </c>
    </row>
    <row r="16" spans="2:10" ht="18" customHeight="1" x14ac:dyDescent="0.2">
      <c r="B16" s="518" t="s">
        <v>1609</v>
      </c>
      <c r="C16" s="3584">
        <f>Table4.A!E19</f>
        <v>8533.6731004271569</v>
      </c>
      <c r="D16" s="3581">
        <f>H16/F16*1000/(44/28)</f>
        <v>16900.136062266527</v>
      </c>
      <c r="E16" s="3599">
        <f t="shared" ref="E16:E21" si="3">IF(SUM(C16)=0,"NA",G16/C16*1000/(44/28))</f>
        <v>3.0169115609606237E-2</v>
      </c>
      <c r="F16" s="3597">
        <v>7.4999999999999997E-3</v>
      </c>
      <c r="G16" s="4477">
        <v>0.40456958196501597</v>
      </c>
      <c r="H16" s="4478">
        <v>0.19918017501956978</v>
      </c>
      <c r="I16" s="4472">
        <f t="shared" ref="I16:I21" si="4">IF(SUM(G16:H16)=0,"NO",SUM(G16:H16))</f>
        <v>0.60374975698458577</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45.843058993663718</v>
      </c>
      <c r="D18" s="3581">
        <f>H18/F18*1000/(44/28)</f>
        <v>163.03579572521372</v>
      </c>
      <c r="E18" s="3599">
        <f t="shared" si="3"/>
        <v>8.3634446554776185E-2</v>
      </c>
      <c r="F18" s="3597">
        <v>7.4999999999999997E-3</v>
      </c>
      <c r="G18" s="4477">
        <v>6.0249496486347448E-3</v>
      </c>
      <c r="H18" s="4478">
        <v>1.9214933067614472E-3</v>
      </c>
      <c r="I18" s="4472">
        <f t="shared" si="4"/>
        <v>7.9464429553961925E-3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2251.6918228863196</v>
      </c>
      <c r="D20" s="3589">
        <f>D21</f>
        <v>882.65212464853028</v>
      </c>
      <c r="E20" s="3602">
        <f t="shared" si="3"/>
        <v>9.0211791567654919E-3</v>
      </c>
      <c r="F20" s="3603">
        <f t="shared" si="5"/>
        <v>7.4999999999999997E-3</v>
      </c>
      <c r="G20" s="4482">
        <f>G21</f>
        <v>3.192029553441357E-2</v>
      </c>
      <c r="H20" s="4483">
        <f>H21</f>
        <v>1.0402685754786249E-2</v>
      </c>
      <c r="I20" s="4484">
        <f t="shared" si="4"/>
        <v>4.2322981289199819E-2</v>
      </c>
    </row>
    <row r="21" spans="2:9" ht="18" customHeight="1" x14ac:dyDescent="0.2">
      <c r="B21" s="917" t="s">
        <v>1614</v>
      </c>
      <c r="C21" s="3582">
        <f>IF(SUM(C23:C27)=0,"NO",SUM(C23:C27))</f>
        <v>2251.6918228863196</v>
      </c>
      <c r="D21" s="3583">
        <f>IF(SUM(D23:D27)=0,"NO",SUM(D23:D27))</f>
        <v>882.65212464853028</v>
      </c>
      <c r="E21" s="3599">
        <f t="shared" si="3"/>
        <v>9.0211791567654919E-3</v>
      </c>
      <c r="F21" s="3598">
        <f t="shared" si="5"/>
        <v>7.4999999999999997E-3</v>
      </c>
      <c r="G21" s="4473">
        <f>IF(SUM(G23:G27)=0,"NO",SUM(G23:G27))</f>
        <v>3.192029553441357E-2</v>
      </c>
      <c r="H21" s="4474">
        <f>IF(SUM(H23:H27)=0,"NO",SUM(H23:H27))</f>
        <v>1.0402685754786249E-2</v>
      </c>
      <c r="I21" s="4472">
        <f t="shared" si="4"/>
        <v>4.2322981289199819E-2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2251.6918228863196</v>
      </c>
      <c r="D23" s="3581">
        <f>H23/F23*1000/(44/28)</f>
        <v>882.65212464853028</v>
      </c>
      <c r="E23" s="3599">
        <f>IF(SUM(C23)=0,"NA",G23/C23*1000/(44/28))</f>
        <v>9.0211791567654919E-3</v>
      </c>
      <c r="F23" s="3597">
        <v>7.4999999999999997E-3</v>
      </c>
      <c r="G23" s="4477">
        <v>3.192029553441357E-2</v>
      </c>
      <c r="H23" s="4478">
        <v>1.0402685754786249E-2</v>
      </c>
      <c r="I23" s="4472">
        <f>IF(SUM(G23:H23)=0,"NO",SUM(G23:H23))</f>
        <v>4.2322981289199819E-2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518492.05582350737</v>
      </c>
      <c r="D28" s="3579">
        <f>IF(SUM(D29:D30)=0,"NO",SUM(D29:D30))</f>
        <v>29569.939683846194</v>
      </c>
      <c r="E28" s="3594">
        <f t="shared" si="6"/>
        <v>1.219475882562586E-3</v>
      </c>
      <c r="F28" s="3595">
        <f t="shared" si="7"/>
        <v>7.4999999999999997E-3</v>
      </c>
      <c r="G28" s="4467">
        <f>IF(SUM(G29:G30)=0,"NO",SUM(G29:G30))</f>
        <v>0.99359630444966773</v>
      </c>
      <c r="H28" s="4468">
        <f>IF(SUM(H29:H30)=0,"NO",SUM(H29:H30))</f>
        <v>0.34850286055961588</v>
      </c>
      <c r="I28" s="4484">
        <f t="shared" si="8"/>
        <v>1.3420991650092837</v>
      </c>
    </row>
    <row r="29" spans="2:9" ht="18" customHeight="1" x14ac:dyDescent="0.2">
      <c r="B29" s="917" t="s">
        <v>1621</v>
      </c>
      <c r="C29" s="3580">
        <f>Table4.C!E11</f>
        <v>505486.13426402898</v>
      </c>
      <c r="D29" s="3581">
        <f>H29/F29*1000/(44/28)</f>
        <v>25875.465012807716</v>
      </c>
      <c r="E29" s="3596">
        <f t="shared" si="6"/>
        <v>1.0326332446479853E-3</v>
      </c>
      <c r="F29" s="3597">
        <v>7.4999999999999997E-3</v>
      </c>
      <c r="G29" s="4470">
        <v>0.82025709377799205</v>
      </c>
      <c r="H29" s="4471">
        <v>0.30496083765094811</v>
      </c>
      <c r="I29" s="4472">
        <f t="shared" si="8"/>
        <v>1.1252179314289401</v>
      </c>
    </row>
    <row r="30" spans="2:9" ht="18" customHeight="1" x14ac:dyDescent="0.2">
      <c r="B30" s="917" t="s">
        <v>1622</v>
      </c>
      <c r="C30" s="3582">
        <f>IF(SUM(C32:C36)=0,"NO",SUM(C32:C36))</f>
        <v>13005.921559478413</v>
      </c>
      <c r="D30" s="3583">
        <f>IF(SUM(D32:D36)=0,"NO",SUM(D32:D36))</f>
        <v>3694.4746710384793</v>
      </c>
      <c r="E30" s="3599">
        <f>IF(SUM(C30)=0,"NA",G30/C30*1000/(44/28))</f>
        <v>8.4812729281025807E-3</v>
      </c>
      <c r="F30" s="3598">
        <f>IF(SUM(D30)=0,"NA",H30/D30*1000/(44/28))</f>
        <v>7.4999999999999997E-3</v>
      </c>
      <c r="G30" s="4473">
        <f>IF(SUM(G32:G36)=0,"NO",SUM(G32:G36))</f>
        <v>0.17333921067167565</v>
      </c>
      <c r="H30" s="4474">
        <f>IF(SUM(H32:H36)=0,"NO",SUM(H32:H36))</f>
        <v>4.3542022908667787E-2</v>
      </c>
      <c r="I30" s="4472">
        <f t="shared" si="8"/>
        <v>0.21688123358034345</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13005.921559478413</v>
      </c>
      <c r="D32" s="3581">
        <f>H32/F32*1000/(44/28)</f>
        <v>3694.4746710384793</v>
      </c>
      <c r="E32" s="3599">
        <f>IF(SUM(C32)=0,"NA",G32/C32*1000/(44/28))</f>
        <v>8.4812729281025807E-3</v>
      </c>
      <c r="F32" s="3597">
        <v>7.4999999999999997E-3</v>
      </c>
      <c r="G32" s="4477">
        <v>0.17333921067167565</v>
      </c>
      <c r="H32" s="4478">
        <v>4.3542022908667787E-2</v>
      </c>
      <c r="I32" s="4472">
        <f t="shared" si="8"/>
        <v>0.21688123358034345</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1427.0859704622139</v>
      </c>
      <c r="D46" s="3579">
        <f>IF(SUM(D47:D48)=0,"NO",SUM(D47:D48))</f>
        <v>343.56174802039999</v>
      </c>
      <c r="E46" s="3594">
        <f t="shared" si="11"/>
        <v>6.0666705543931552E-3</v>
      </c>
      <c r="F46" s="3595">
        <f t="shared" si="12"/>
        <v>7.4999999999999997E-3</v>
      </c>
      <c r="G46" s="4467">
        <f>IF(SUM(G47:G48)=0,"NO",SUM(G47:G48))</f>
        <v>1.3604894970213948E-2</v>
      </c>
      <c r="H46" s="4468">
        <f>IF(SUM(H47:H48)=0,"NO",SUM(H47:H48))</f>
        <v>4.049120601669E-3</v>
      </c>
      <c r="I46" s="4469">
        <f t="shared" si="8"/>
        <v>1.7654015571882949E-2</v>
      </c>
    </row>
    <row r="47" spans="2:9" ht="18" customHeight="1" x14ac:dyDescent="0.2">
      <c r="B47" s="917" t="s">
        <v>1637</v>
      </c>
      <c r="C47" s="3580">
        <f>Table4.E!E11</f>
        <v>1057.735235222</v>
      </c>
      <c r="D47" s="3581">
        <f>H47/F47*1000/(44/28)</f>
        <v>31.692806219935768</v>
      </c>
      <c r="E47" s="3596">
        <f t="shared" si="11"/>
        <v>4.0952216316280152E-4</v>
      </c>
      <c r="F47" s="3597">
        <v>7.4999999999999997E-3</v>
      </c>
      <c r="G47" s="4470">
        <v>6.8068946248541558E-4</v>
      </c>
      <c r="H47" s="4471">
        <v>3.7352235902067158E-4</v>
      </c>
      <c r="I47" s="4472">
        <f t="shared" si="8"/>
        <v>1.0542118215060871E-3</v>
      </c>
    </row>
    <row r="48" spans="2:9" ht="18" customHeight="1" x14ac:dyDescent="0.2">
      <c r="B48" s="917" t="s">
        <v>1638</v>
      </c>
      <c r="C48" s="3582">
        <f>IF(SUM(C50:C54)=0,"NO",SUM(C50:C54))</f>
        <v>369.35073524021385</v>
      </c>
      <c r="D48" s="3583">
        <f>IF(SUM(D50:D54)=0,"NO",SUM(D50:D54))</f>
        <v>311.8689418004642</v>
      </c>
      <c r="E48" s="3599">
        <f>IF(SUM(C48)=0,"NA",G48/C48*1000/(44/28))</f>
        <v>2.2267437503976049E-2</v>
      </c>
      <c r="F48" s="3598">
        <f>IF(SUM(D48)=0,"NA",H48/D48*1000/(44/28))</f>
        <v>7.4999999999999997E-3</v>
      </c>
      <c r="G48" s="4473">
        <f>IF(SUM(G50:G54)=0,"NO",SUM(G50:G54))</f>
        <v>1.2924205507728532E-2</v>
      </c>
      <c r="H48" s="4474">
        <f>IF(SUM(H50:H54)=0,"NO",SUM(H50:H54))</f>
        <v>3.6755982426483281E-3</v>
      </c>
      <c r="I48" s="4472">
        <f t="shared" si="8"/>
        <v>1.6599803750376861E-2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369.35073524021385</v>
      </c>
      <c r="D50" s="3581">
        <f>H50/F50*1000/(44/28)</f>
        <v>311.8689418004642</v>
      </c>
      <c r="E50" s="3599">
        <f>IF(SUM(C50)=0,"NA",G50/C50*1000/(44/28))</f>
        <v>2.2267437503976049E-2</v>
      </c>
      <c r="F50" s="3597">
        <v>7.4999999999999997E-3</v>
      </c>
      <c r="G50" s="4477">
        <v>1.2924205507728532E-2</v>
      </c>
      <c r="H50" s="4478">
        <v>3.6755982426483281E-3</v>
      </c>
      <c r="I50" s="4472">
        <f t="shared" si="8"/>
        <v>1.6599803750376861E-2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5056649.4040615689</v>
      </c>
      <c r="D10" s="3055" t="s">
        <v>97</v>
      </c>
      <c r="E10" s="615"/>
      <c r="F10" s="615"/>
      <c r="G10" s="615"/>
      <c r="H10" s="1938">
        <f>IF(SUM(H11:H15)=0,"NO",SUM(H11:H15))</f>
        <v>360209.50711034506</v>
      </c>
      <c r="I10" s="1938">
        <f t="shared" ref="I10:K10" si="0">IF(SUM(I11:I16)=0,"NO",SUM(I11:I16))</f>
        <v>85.401700769998428</v>
      </c>
      <c r="J10" s="1938">
        <f t="shared" si="0"/>
        <v>12.520905762294518</v>
      </c>
      <c r="K10" s="3064" t="str">
        <f t="shared" si="0"/>
        <v>NO</v>
      </c>
    </row>
    <row r="11" spans="2:11" ht="18" customHeight="1" x14ac:dyDescent="0.2">
      <c r="B11" s="282" t="s">
        <v>243</v>
      </c>
      <c r="C11" s="3065">
        <f>IF(SUM(C18,'Table1.A(a)s2'!C11,'Table1.A(a)s3'!C11,'Table1.A(a)s4'!C11,'Table1.A(a)s4'!C94)=0,"NO",SUM(C18,'Table1.A(a)s2'!C11,'Table1.A(a)s3'!C11,'Table1.A(a)s4'!C11,'Table1.A(a)s4'!C94))</f>
        <v>1666128.6622196829</v>
      </c>
      <c r="D11" s="3056" t="s">
        <v>244</v>
      </c>
      <c r="E11" s="1938">
        <f>IFERROR(H11*1000/$C11,"NA")</f>
        <v>68.105974499433245</v>
      </c>
      <c r="F11" s="1938">
        <f t="shared" ref="F11:G16" si="1">IFERROR(I11*1000000/$C11,"NA")</f>
        <v>13.951551623225988</v>
      </c>
      <c r="G11" s="1938">
        <f t="shared" si="1"/>
        <v>4.7213067869702874</v>
      </c>
      <c r="H11" s="1938">
        <f>IF(SUM(H18,'Table1.A(a)s2'!H11,'Table1.A(a)s3'!H11,'Table1.A(a)s4'!H11,'Table1.A(a)s4'!H94)=0,"NO",SUM(H18,'Table1.A(a)s2'!H11,'Table1.A(a)s3'!H11,'Table1.A(a)s4'!H11,'Table1.A(a)s4'!H94))</f>
        <v>113473.31618190855</v>
      </c>
      <c r="I11" s="1938">
        <f>IF(SUM(I18,'Table1.A(a)s2'!I11,'Table1.A(a)s3'!I11,'Table1.A(a)s4'!I11,'Table1.A(a)s4'!I94)=0,"NO",SUM(I18,'Table1.A(a)s2'!I11,'Table1.A(a)s3'!I11,'Table1.A(a)s4'!I11,'Table1.A(a)s4'!I94))</f>
        <v>23.245080041894361</v>
      </c>
      <c r="J11" s="1938">
        <f>IF(SUM(J18,'Table1.A(a)s2'!J11,'Table1.A(a)s3'!J11,'Table1.A(a)s4'!J11,'Table1.A(a)s4'!J94)=0,"NO",SUM(J18,'Table1.A(a)s2'!J11,'Table1.A(a)s3'!J11,'Table1.A(a)s4'!J11,'Table1.A(a)s4'!J94))</f>
        <v>7.8663045609035143</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2146253.1791013577</v>
      </c>
      <c r="D12" s="3056" t="s">
        <v>97</v>
      </c>
      <c r="E12" s="1938">
        <f t="shared" ref="E12:E16" si="2">IFERROR(H12*1000/$C12,"NA")</f>
        <v>90.196376220097562</v>
      </c>
      <c r="F12" s="1938">
        <f t="shared" si="1"/>
        <v>0.68161928378256664</v>
      </c>
      <c r="G12" s="1938">
        <f t="shared" si="1"/>
        <v>1.2819308841731625</v>
      </c>
      <c r="H12" s="1938">
        <f>IF(SUM(H19,'Table1.A(a)s2'!H12,'Table1.A(a)s3'!H12,'Table1.A(a)s4'!H12,'Table1.A(a)s4'!H95)=0,"NO",SUM(H19,'Table1.A(a)s2'!H12,'Table1.A(a)s3'!H12,'Table1.A(a)s4'!H12,'Table1.A(a)s4'!H95))</f>
        <v>193584.25920580651</v>
      </c>
      <c r="I12" s="1938">
        <f>IF(SUM(I19,'Table1.A(a)s2'!I12,'Table1.A(a)s3'!I12,'Table1.A(a)s4'!I12,'Table1.A(a)s4'!I95)=0,"NO",SUM(I19,'Table1.A(a)s2'!I12,'Table1.A(a)s3'!I12,'Table1.A(a)s4'!I12,'Table1.A(a)s4'!I95))</f>
        <v>1.4629275547551244</v>
      </c>
      <c r="J12" s="1938">
        <f>IF(SUM(J19,'Table1.A(a)s2'!J12,'Table1.A(a)s3'!J12,'Table1.A(a)s4'!J12,'Table1.A(a)s4'!J95)=0,"NO",SUM(J19,'Table1.A(a)s2'!J12,'Table1.A(a)s3'!J12,'Table1.A(a)s4'!J12,'Table1.A(a)s4'!J95))</f>
        <v>2.7513482355448646</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1019847.7053545405</v>
      </c>
      <c r="D13" s="3056" t="s">
        <v>244</v>
      </c>
      <c r="E13" s="1938">
        <f t="shared" si="2"/>
        <v>51.507258045415206</v>
      </c>
      <c r="F13" s="1938">
        <f t="shared" si="1"/>
        <v>9.7099231089316369</v>
      </c>
      <c r="G13" s="1938">
        <f t="shared" si="1"/>
        <v>0.89998945500340233</v>
      </c>
      <c r="H13" s="1938">
        <f>IF(SUM(H20,'Table1.A(a)s2'!H13,'Table1.A(a)s3'!H13,'Table1.A(a)s4'!H13,'Table1.A(a)s4'!H96)=0,"NO",SUM(H20,'Table1.A(a)s2'!H13,'Table1.A(a)s3'!H13,'Table1.A(a)s4'!H13,'Table1.A(a)s4'!H96))</f>
        <v>52529.558926720892</v>
      </c>
      <c r="I13" s="1938">
        <f>IF(SUM(I20,'Table1.A(a)s2'!I13,'Table1.A(a)s3'!I13,'Table1.A(a)s4'!I13,'Table1.A(a)s4'!I96)=0,"NO",SUM(I20,'Table1.A(a)s2'!I13,'Table1.A(a)s3'!I13,'Table1.A(a)s4'!I13,'Table1.A(a)s4'!I96))</f>
        <v>9.9026428018129558</v>
      </c>
      <c r="J13" s="1938">
        <f>IF(SUM(J20,'Table1.A(a)s2'!J13,'Table1.A(a)s3'!J13,'Table1.A(a)s4'!J13,'Table1.A(a)s4'!J96)=0,"NO",SUM(J20,'Table1.A(a)s2'!J13,'Table1.A(a)s3'!J13,'Table1.A(a)s4'!J13,'Table1.A(a)s4'!J96))</f>
        <v>0.91785218052850337</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6918.7284571499358</v>
      </c>
      <c r="D14" s="3056" t="s">
        <v>244</v>
      </c>
      <c r="E14" s="1938">
        <f t="shared" si="2"/>
        <v>89.954794405310025</v>
      </c>
      <c r="F14" s="1938">
        <f t="shared" si="1"/>
        <v>31.913378501192867</v>
      </c>
      <c r="G14" s="1938">
        <f t="shared" si="1"/>
        <v>0.99729307816227708</v>
      </c>
      <c r="H14" s="1938">
        <f>IF(SUM(H21,'Table1.A(a)s2'!H14,'Table1.A(a)s3'!H14,'Table1.A(a)s4'!H14,'Table1.A(a)s4'!H97)=0,"NO",SUM(H21,'Table1.A(a)s2'!H14,'Table1.A(a)s3'!H14,'Table1.A(a)s4'!H14,'Table1.A(a)s4'!H97))</f>
        <v>622.37279590909031</v>
      </c>
      <c r="I14" s="1938">
        <f>IF(SUM(I21,'Table1.A(a)s2'!I14,'Table1.A(a)s3'!I14,'Table1.A(a)s4'!I14,'Table1.A(a)s4'!I97)=0,"NO",SUM(I21,'Table1.A(a)s2'!I14,'Table1.A(a)s3'!I14,'Table1.A(a)s4'!I14,'Table1.A(a)s4'!I97))</f>
        <v>0.22080000000000005</v>
      </c>
      <c r="J14" s="1938">
        <f>IF(SUM(J21,'Table1.A(a)s2'!J14,'Table1.A(a)s3'!J14,'Table1.A(a)s4'!J14,'Table1.A(a)s4'!J97)=0,"NO",SUM(J21,'Table1.A(a)s2'!J14,'Table1.A(a)s3'!J14,'Table1.A(a)s4'!J14,'Table1.A(a)s4'!J97))</f>
        <v>6.9000000000000016E-3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217501.12892883702</v>
      </c>
      <c r="D16" s="3058" t="s">
        <v>244</v>
      </c>
      <c r="E16" s="2891">
        <f t="shared" si="2"/>
        <v>87.834218738532556</v>
      </c>
      <c r="F16" s="1938">
        <f t="shared" si="1"/>
        <v>232.50569144439615</v>
      </c>
      <c r="G16" s="1938">
        <f t="shared" si="1"/>
        <v>4.4988308342886123</v>
      </c>
      <c r="H16" s="2891">
        <f>IF(SUM(H23,'Table1.A(a)s2'!H16,'Table1.A(a)s3'!H15,'Table1.A(a)s4'!H16,'Table1.A(a)s4'!H99)=0,"NO",SUM(H23,'Table1.A(a)s2'!H16,'Table1.A(a)s3'!H15,'Table1.A(a)s4'!H16,'Table1.A(a)s4'!H99))</f>
        <v>19104.041734213242</v>
      </c>
      <c r="I16" s="2891">
        <f>IF(SUM(I23,'Table1.A(a)s2'!I16,'Table1.A(a)s3'!I15,'Table1.A(a)s4'!I16,'Table1.A(a)s4'!I99)=0,"NO",SUM(I23,'Table1.A(a)s2'!I16,'Table1.A(a)s3'!I15,'Table1.A(a)s4'!I16,'Table1.A(a)s4'!I99))</f>
        <v>50.570250371535998</v>
      </c>
      <c r="J16" s="2891">
        <f>IF(SUM(J23,'Table1.A(a)s2'!J16,'Table1.A(a)s3'!J15,'Table1.A(a)s4'!J16,'Table1.A(a)s4'!J99)=0,"NO",SUM(J23,'Table1.A(a)s2'!J16,'Table1.A(a)s3'!J15,'Table1.A(a)s4'!J16,'Table1.A(a)s4'!J99))</f>
        <v>0.97850078531763496</v>
      </c>
      <c r="K16" s="3045" t="str">
        <f>IF(SUM(K23,'Table1.A(a)s2'!K16,'Table1.A(a)s3'!K15,'Table1.A(a)s4'!K16,'Table1.A(a)s4'!K99)=0,"NO",SUM(K23,'Table1.A(a)s2'!K16,'Table1.A(a)s3'!K15,'Table1.A(a)s4'!K16,'Table1.A(a)s4'!K99))</f>
        <v>NO</v>
      </c>
    </row>
    <row r="17" spans="2:12" ht="18" customHeight="1" x14ac:dyDescent="0.2">
      <c r="B17" s="2209" t="s">
        <v>175</v>
      </c>
      <c r="C17" s="3046">
        <f>IF(SUM(C18:C23)=0,"NO",SUM(C18:C23))</f>
        <v>2697777.5150687522</v>
      </c>
      <c r="D17" s="3059" t="s">
        <v>97</v>
      </c>
      <c r="E17" s="3060"/>
      <c r="F17" s="3060"/>
      <c r="G17" s="3060"/>
      <c r="H17" s="3046">
        <f>IF(SUM(H18:H22)=0,"NO",SUM(H18:H22))</f>
        <v>219705.33865122733</v>
      </c>
      <c r="I17" s="3046">
        <f t="shared" ref="I17" si="3">IF(SUM(I18:I23)=0,"NO",SUM(I18:I23))</f>
        <v>12.694811733811814</v>
      </c>
      <c r="J17" s="3046">
        <f t="shared" ref="J17" si="4">IF(SUM(J18:J23)=0,"NO",SUM(J18:J23))</f>
        <v>3.645083868973102</v>
      </c>
      <c r="K17" s="3047" t="str">
        <f t="shared" ref="K17" si="5">IF(SUM(K18:K23)=0,"NO",SUM(K18:K23))</f>
        <v>NO</v>
      </c>
    </row>
    <row r="18" spans="2:12" ht="18" customHeight="1" x14ac:dyDescent="0.2">
      <c r="B18" s="282" t="s">
        <v>243</v>
      </c>
      <c r="C18" s="3065">
        <f>IF(SUM(C25,C54,C61)=0,"NO",SUM(C25,C54,C61))</f>
        <v>166003.17341622832</v>
      </c>
      <c r="D18" s="3056" t="s">
        <v>97</v>
      </c>
      <c r="E18" s="1938">
        <f>IFERROR(H18*1000/$C18,"NA")</f>
        <v>68.07381486199462</v>
      </c>
      <c r="F18" s="1938">
        <f t="shared" ref="F18:G23" si="6">IFERROR(I18*1000000/$C18,"NA")</f>
        <v>2.4903012516802154</v>
      </c>
      <c r="G18" s="1938">
        <f t="shared" si="6"/>
        <v>1.6950191900959259</v>
      </c>
      <c r="H18" s="3065">
        <f>IF(SUM(H25,H54,H61)=0,"NO",SUM(H25,H54,H61))</f>
        <v>11300.469293639913</v>
      </c>
      <c r="I18" s="3065">
        <f>IF(SUM(I25,I54,I61)=0,"NO",SUM(I25,I54,I61))</f>
        <v>0.41339791054132125</v>
      </c>
      <c r="J18" s="3065">
        <f>IF(SUM(J25,J54,J61)=0,"NO",SUM(J25,J54,J61))</f>
        <v>0.2813785645573289</v>
      </c>
      <c r="K18" s="3048" t="str">
        <f>IF(SUM(K25,K54,K61)=0,"NO",SUM(K25,K54,K61))</f>
        <v>NO</v>
      </c>
      <c r="L18" s="19"/>
    </row>
    <row r="19" spans="2:12" ht="18" customHeight="1" x14ac:dyDescent="0.2">
      <c r="B19" s="282" t="s">
        <v>245</v>
      </c>
      <c r="C19" s="3065">
        <f t="shared" ref="C19:C23" si="7">IF(SUM(C26,C55,C62)=0,"NO",SUM(C26,C55,C62))</f>
        <v>2003855.9028299106</v>
      </c>
      <c r="D19" s="3056" t="s">
        <v>97</v>
      </c>
      <c r="E19" s="1938">
        <f t="shared" ref="E19:E23" si="8">IFERROR(H19*1000/$C19,"NA")</f>
        <v>91.12283711871649</v>
      </c>
      <c r="F19" s="1938">
        <f t="shared" si="6"/>
        <v>0.66579661737077467</v>
      </c>
      <c r="G19" s="1938">
        <f t="shared" si="6"/>
        <v>1.3257854505359079</v>
      </c>
      <c r="H19" s="3065">
        <f t="shared" ref="H19:K23" si="9">IF(SUM(H26,H55,H62)=0,"NO",SUM(H26,H55,H62))</f>
        <v>182597.03504294853</v>
      </c>
      <c r="I19" s="3065">
        <f t="shared" si="9"/>
        <v>1.3341604818026143</v>
      </c>
      <c r="J19" s="3065">
        <f t="shared" si="9"/>
        <v>2.6566830009423912</v>
      </c>
      <c r="K19" s="3048" t="str">
        <f t="shared" si="9"/>
        <v>NO</v>
      </c>
      <c r="L19" s="19"/>
    </row>
    <row r="20" spans="2:12" ht="18" customHeight="1" x14ac:dyDescent="0.2">
      <c r="B20" s="282" t="s">
        <v>246</v>
      </c>
      <c r="C20" s="3065">
        <f t="shared" si="7"/>
        <v>500950.05479201407</v>
      </c>
      <c r="D20" s="3056" t="s">
        <v>97</v>
      </c>
      <c r="E20" s="1938">
        <f t="shared" si="8"/>
        <v>51.517779203265839</v>
      </c>
      <c r="F20" s="1938">
        <f t="shared" si="6"/>
        <v>18.209999157818036</v>
      </c>
      <c r="G20" s="1938">
        <f t="shared" si="6"/>
        <v>1.1487965719560813</v>
      </c>
      <c r="H20" s="3065">
        <f t="shared" si="9"/>
        <v>25807.834314638905</v>
      </c>
      <c r="I20" s="3065">
        <f t="shared" si="9"/>
        <v>9.1223000758714754</v>
      </c>
      <c r="J20" s="3065">
        <f t="shared" si="9"/>
        <v>0.57548970566627689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26968.384030599071</v>
      </c>
      <c r="D23" s="3056" t="s">
        <v>97</v>
      </c>
      <c r="E23" s="1938">
        <f t="shared" si="8"/>
        <v>82.38105942578423</v>
      </c>
      <c r="F23" s="1938">
        <f t="shared" si="6"/>
        <v>67.670100793794759</v>
      </c>
      <c r="G23" s="1938">
        <f t="shared" si="6"/>
        <v>4.8772888155947571</v>
      </c>
      <c r="H23" s="3065">
        <f t="shared" si="9"/>
        <v>2221.6840474421524</v>
      </c>
      <c r="I23" s="3065">
        <f t="shared" si="9"/>
        <v>1.8249532655964043</v>
      </c>
      <c r="J23" s="3065">
        <f t="shared" si="9"/>
        <v>0.13153259780710511</v>
      </c>
      <c r="K23" s="3048" t="str">
        <f t="shared" si="9"/>
        <v>NO</v>
      </c>
      <c r="L23" s="19"/>
    </row>
    <row r="24" spans="2:12" ht="18" customHeight="1" x14ac:dyDescent="0.2">
      <c r="B24" s="1236" t="s">
        <v>250</v>
      </c>
      <c r="C24" s="3065">
        <f>IF(SUM(C25:C30)=0,"NO",SUM(C25:C30))</f>
        <v>2369994.5182494768</v>
      </c>
      <c r="D24" s="3056" t="s">
        <v>97</v>
      </c>
      <c r="E24" s="615"/>
      <c r="F24" s="615"/>
      <c r="G24" s="615"/>
      <c r="H24" s="3065">
        <f>IF(SUM(H25:H29)=0,"NO",SUM(H25:H29))</f>
        <v>200199.55586612341</v>
      </c>
      <c r="I24" s="3065">
        <f t="shared" ref="I24" si="10">IF(SUM(I25:I30)=0,"NO",SUM(I25:I30))</f>
        <v>6.2407310712073745</v>
      </c>
      <c r="J24" s="3065">
        <f t="shared" ref="J24" si="11">IF(SUM(J25:J30)=0,"NO",SUM(J25:J30))</f>
        <v>3.2132799383533142</v>
      </c>
      <c r="K24" s="3048" t="str">
        <f t="shared" ref="K24" si="12">IF(SUM(K25:K30)=0,"NO",SUM(K25:K30))</f>
        <v>NO</v>
      </c>
      <c r="L24" s="19"/>
    </row>
    <row r="25" spans="2:12" ht="18" customHeight="1" x14ac:dyDescent="0.2">
      <c r="B25" s="160" t="s">
        <v>243</v>
      </c>
      <c r="C25" s="3053">
        <f>IF(SUM(C33,C40,C47)=0,"NO",SUM(C33,C40,C47))</f>
        <v>38713.767679202356</v>
      </c>
      <c r="D25" s="3061" t="s">
        <v>97</v>
      </c>
      <c r="E25" s="3065">
        <f>IFERROR(H25*1000/$C25,"NA")</f>
        <v>69.950623076914255</v>
      </c>
      <c r="F25" s="1938">
        <f t="shared" ref="F25:G30" si="13">IFERROR(I25*1000000/$C25,"NA")</f>
        <v>3.404788833866943</v>
      </c>
      <c r="G25" s="1938">
        <f t="shared" si="13"/>
        <v>0.36857268223546652</v>
      </c>
      <c r="H25" s="3065">
        <f>IF(SUM(H33,H40,H47)=0,"NO",SUM(H33,H40,H47))</f>
        <v>2708.0521708151091</v>
      </c>
      <c r="I25" s="3065">
        <f>IF(SUM(I33,I40,I47)=0,"NO",SUM(I33,I40,I47))</f>
        <v>0.13181220391106713</v>
      </c>
      <c r="J25" s="3065">
        <f>IF(SUM(J33,J40,J47)=0,"NO",SUM(J33,J40,J47))</f>
        <v>1.4268837192964323E-2</v>
      </c>
      <c r="K25" s="3048" t="str">
        <f>IF(SUM(K33,K40,K47)=0,"NO",SUM(K33,K40,K47))</f>
        <v>NO</v>
      </c>
      <c r="L25" s="19"/>
    </row>
    <row r="26" spans="2:12" ht="18" customHeight="1" x14ac:dyDescent="0.2">
      <c r="B26" s="160" t="s">
        <v>245</v>
      </c>
      <c r="C26" s="3065">
        <f t="shared" ref="C26:C30" si="14">IF(SUM(C34,C41,C48)=0,"NO",SUM(C34,C41,C48))</f>
        <v>1984384.0718105596</v>
      </c>
      <c r="D26" s="3061" t="s">
        <v>97</v>
      </c>
      <c r="E26" s="3065">
        <f t="shared" ref="E26:E30" si="15">IFERROR(H26*1000/$C26,"NA")</f>
        <v>91.203336879741514</v>
      </c>
      <c r="F26" s="1938">
        <f t="shared" si="13"/>
        <v>0.66290670924153083</v>
      </c>
      <c r="G26" s="1938">
        <f t="shared" si="13"/>
        <v>1.331181625645516</v>
      </c>
      <c r="H26" s="3065">
        <f t="shared" ref="H26:K30" si="16">IF(SUM(H34,H41,H48)=0,"NO",SUM(H34,H41,H48))</f>
        <v>180982.44900013163</v>
      </c>
      <c r="I26" s="3065">
        <f t="shared" si="16"/>
        <v>1.3154615149152478</v>
      </c>
      <c r="J26" s="3065">
        <f t="shared" si="16"/>
        <v>2.6415756146178491</v>
      </c>
      <c r="K26" s="3048" t="str">
        <f t="shared" si="16"/>
        <v>NO</v>
      </c>
      <c r="L26" s="19"/>
    </row>
    <row r="27" spans="2:12" ht="18" customHeight="1" x14ac:dyDescent="0.2">
      <c r="B27" s="160" t="s">
        <v>246</v>
      </c>
      <c r="C27" s="3065">
        <f t="shared" si="14"/>
        <v>320081.88414527773</v>
      </c>
      <c r="D27" s="3061" t="s">
        <v>97</v>
      </c>
      <c r="E27" s="3065">
        <f t="shared" si="15"/>
        <v>51.577597836444788</v>
      </c>
      <c r="F27" s="1938">
        <f t="shared" si="13"/>
        <v>9.2759283927797771</v>
      </c>
      <c r="G27" s="1938">
        <f t="shared" si="13"/>
        <v>1.3323278168247619</v>
      </c>
      <c r="H27" s="3065">
        <f t="shared" si="16"/>
        <v>16509.054695176648</v>
      </c>
      <c r="I27" s="3065">
        <f t="shared" si="16"/>
        <v>2.9690566371576286</v>
      </c>
      <c r="J27" s="3065">
        <f t="shared" si="16"/>
        <v>0.42645399790843425</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26814.794614436865</v>
      </c>
      <c r="D30" s="3061" t="s">
        <v>97</v>
      </c>
      <c r="E30" s="3065">
        <f t="shared" si="15"/>
        <v>82.462802907007244</v>
      </c>
      <c r="F30" s="1938">
        <f t="shared" si="13"/>
        <v>68.037094501599825</v>
      </c>
      <c r="G30" s="1938">
        <f t="shared" si="13"/>
        <v>4.8846724547928346</v>
      </c>
      <c r="H30" s="3065">
        <f t="shared" si="16"/>
        <v>2211.2231232821869</v>
      </c>
      <c r="I30" s="3065">
        <f t="shared" si="16"/>
        <v>1.8244007152234309</v>
      </c>
      <c r="J30" s="3065">
        <f t="shared" si="16"/>
        <v>0.130981488634067</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2369994.5182494768</v>
      </c>
      <c r="D32" s="3056" t="s">
        <v>97</v>
      </c>
      <c r="E32" s="1939"/>
      <c r="F32" s="1939"/>
      <c r="G32" s="1939"/>
      <c r="H32" s="3065">
        <f>IF(SUM(H33:H37)=0,"NO",SUM(H33:H37))</f>
        <v>200199.55586612341</v>
      </c>
      <c r="I32" s="3065">
        <f t="shared" ref="I32" si="17">IF(SUM(I33:I38)=0,"NO",SUM(I33:I38))</f>
        <v>6.2407310712073745</v>
      </c>
      <c r="J32" s="3065">
        <f t="shared" ref="J32" si="18">IF(SUM(J33:J38)=0,"NO",SUM(J33:J38))</f>
        <v>3.2132799383533142</v>
      </c>
      <c r="K32" s="3048" t="str">
        <f t="shared" ref="K32" si="19">IF(SUM(K33:K38)=0,"NO",SUM(K33:K38))</f>
        <v>NO</v>
      </c>
      <c r="L32" s="19"/>
    </row>
    <row r="33" spans="2:12" ht="18" customHeight="1" x14ac:dyDescent="0.2">
      <c r="B33" s="160" t="s">
        <v>243</v>
      </c>
      <c r="C33" s="3014">
        <v>38713.767679202356</v>
      </c>
      <c r="D33" s="3056" t="s">
        <v>97</v>
      </c>
      <c r="E33" s="1938">
        <f>IFERROR(H33*1000/$C33,"NA")</f>
        <v>69.950623076914255</v>
      </c>
      <c r="F33" s="1938">
        <f t="shared" ref="F33:G38" si="20">IFERROR(I33*1000000/$C33,"NA")</f>
        <v>3.404788833866943</v>
      </c>
      <c r="G33" s="1938">
        <f t="shared" si="20"/>
        <v>0.36857268223546652</v>
      </c>
      <c r="H33" s="3014">
        <v>2708.0521708151091</v>
      </c>
      <c r="I33" s="3014">
        <v>0.13181220391106713</v>
      </c>
      <c r="J33" s="3014">
        <v>1.4268837192964323E-2</v>
      </c>
      <c r="K33" s="3051" t="s">
        <v>199</v>
      </c>
      <c r="L33" s="19"/>
    </row>
    <row r="34" spans="2:12" ht="18" customHeight="1" x14ac:dyDescent="0.2">
      <c r="B34" s="160" t="s">
        <v>245</v>
      </c>
      <c r="C34" s="3014">
        <v>1984384.0718105596</v>
      </c>
      <c r="D34" s="3056" t="s">
        <v>97</v>
      </c>
      <c r="E34" s="1938">
        <f t="shared" ref="E34:E38" si="21">IFERROR(H34*1000/$C34,"NA")</f>
        <v>91.203336879741514</v>
      </c>
      <c r="F34" s="1938">
        <f t="shared" si="20"/>
        <v>0.66290670924153083</v>
      </c>
      <c r="G34" s="1938">
        <f t="shared" si="20"/>
        <v>1.331181625645516</v>
      </c>
      <c r="H34" s="3014">
        <v>180982.44900013163</v>
      </c>
      <c r="I34" s="3014">
        <v>1.3154615149152478</v>
      </c>
      <c r="J34" s="3014">
        <v>2.6415756146178491</v>
      </c>
      <c r="K34" s="3051" t="s">
        <v>199</v>
      </c>
      <c r="L34" s="19"/>
    </row>
    <row r="35" spans="2:12" ht="18" customHeight="1" x14ac:dyDescent="0.2">
      <c r="B35" s="160" t="s">
        <v>246</v>
      </c>
      <c r="C35" s="3014">
        <v>320081.88414527773</v>
      </c>
      <c r="D35" s="3056" t="s">
        <v>97</v>
      </c>
      <c r="E35" s="1938">
        <f t="shared" si="21"/>
        <v>51.577597836444788</v>
      </c>
      <c r="F35" s="1938">
        <f t="shared" si="20"/>
        <v>9.2759283927797771</v>
      </c>
      <c r="G35" s="1938">
        <f t="shared" si="20"/>
        <v>1.3323278168247619</v>
      </c>
      <c r="H35" s="3014">
        <v>16509.054695176648</v>
      </c>
      <c r="I35" s="3014">
        <v>2.9690566371576286</v>
      </c>
      <c r="J35" s="3014">
        <v>0.42645399790843425</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26814.794614436865</v>
      </c>
      <c r="D38" s="3056" t="s">
        <v>97</v>
      </c>
      <c r="E38" s="1938">
        <f t="shared" si="21"/>
        <v>82.462802907007244</v>
      </c>
      <c r="F38" s="1938">
        <f t="shared" si="20"/>
        <v>68.037094501599825</v>
      </c>
      <c r="G38" s="1938">
        <f t="shared" si="20"/>
        <v>4.8846724547928346</v>
      </c>
      <c r="H38" s="3014">
        <v>2211.2231232821869</v>
      </c>
      <c r="I38" s="3014">
        <v>1.8244007152234309</v>
      </c>
      <c r="J38" s="3014">
        <v>0.130981488634067</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80745.699160462042</v>
      </c>
      <c r="D53" s="3056" t="s">
        <v>97</v>
      </c>
      <c r="E53" s="615"/>
      <c r="F53" s="615"/>
      <c r="G53" s="615"/>
      <c r="H53" s="3065">
        <f>IF(SUM(H54:H58)=0,"NO",SUM(H54:H58))</f>
        <v>4907.4504676359265</v>
      </c>
      <c r="I53" s="3065">
        <f t="shared" ref="I53:K53" si="28">IF(SUM(I54:I59)=0,"NO",SUM(I54:I59))</f>
        <v>6.2566134699094902E-2</v>
      </c>
      <c r="J53" s="3065">
        <f t="shared" si="28"/>
        <v>4.0743923730934307E-2</v>
      </c>
      <c r="K53" s="3048" t="str">
        <f t="shared" si="28"/>
        <v>NO</v>
      </c>
      <c r="L53" s="19"/>
    </row>
    <row r="54" spans="2:12" ht="18" customHeight="1" x14ac:dyDescent="0.2">
      <c r="B54" s="160" t="s">
        <v>243</v>
      </c>
      <c r="C54" s="3014">
        <v>56145.699160462071</v>
      </c>
      <c r="D54" s="3056" t="s">
        <v>97</v>
      </c>
      <c r="E54" s="1938">
        <f>IFERROR(H54*1000/$C54,"NA")</f>
        <v>64.879720636825184</v>
      </c>
      <c r="F54" s="1938">
        <f t="shared" ref="F54:G59" si="29">IFERROR(I54*1000000/$C54,"NA")</f>
        <v>0.66385961042711239</v>
      </c>
      <c r="G54" s="1938">
        <f t="shared" si="29"/>
        <v>0.53962938637365121</v>
      </c>
      <c r="H54" s="3014">
        <v>3642.7172764900092</v>
      </c>
      <c r="I54" s="3014">
        <v>3.7272861971822203E-2</v>
      </c>
      <c r="J54" s="3014">
        <v>3.0297869185479772E-2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24599.999999999978</v>
      </c>
      <c r="D56" s="3056" t="s">
        <v>97</v>
      </c>
      <c r="E56" s="1938">
        <f t="shared" si="30"/>
        <v>51.411918339265</v>
      </c>
      <c r="F56" s="1938">
        <f t="shared" si="29"/>
        <v>1.0281818181818179</v>
      </c>
      <c r="G56" s="1938">
        <f t="shared" si="29"/>
        <v>0.42463636363636353</v>
      </c>
      <c r="H56" s="3014">
        <v>1264.7331911459178</v>
      </c>
      <c r="I56" s="3014">
        <v>2.5293272727272699E-2</v>
      </c>
      <c r="J56" s="3014">
        <v>1.0446054545454534E-2</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247037.29765881351</v>
      </c>
      <c r="D60" s="3056" t="s">
        <v>97</v>
      </c>
      <c r="E60" s="615"/>
      <c r="F60" s="615"/>
      <c r="G60" s="615"/>
      <c r="H60" s="3065">
        <f>IF(SUM(H61:H65)=0,"NO",SUM(H61:H65))</f>
        <v>14598.332317468043</v>
      </c>
      <c r="I60" s="3065">
        <f t="shared" ref="I60:K60" si="31">IF(SUM(I61:I66)=0,"NO",SUM(I61:I66))</f>
        <v>6.391514527905346</v>
      </c>
      <c r="J60" s="3065">
        <f t="shared" si="31"/>
        <v>0.39106000688885328</v>
      </c>
      <c r="K60" s="3048" t="str">
        <f t="shared" si="31"/>
        <v>NO</v>
      </c>
      <c r="L60" s="19"/>
    </row>
    <row r="61" spans="2:12" ht="18" customHeight="1" x14ac:dyDescent="0.2">
      <c r="B61" s="160" t="s">
        <v>243</v>
      </c>
      <c r="C61" s="3053">
        <f>IF(SUM(C69,C76,C83)=0,"NO",SUM(C69,C76,C83))</f>
        <v>71143.706576563913</v>
      </c>
      <c r="D61" s="3056" t="s">
        <v>97</v>
      </c>
      <c r="E61" s="1938">
        <f>IFERROR(H61*1000/$C61,"NA")</f>
        <v>69.57326353256552</v>
      </c>
      <c r="F61" s="1938">
        <f t="shared" ref="F61:G66" si="32">IFERROR(I61*1000000/$C61,"NA")</f>
        <v>3.434075288100229</v>
      </c>
      <c r="G61" s="1938">
        <f t="shared" si="32"/>
        <v>3.3286409940425448</v>
      </c>
      <c r="H61" s="3053">
        <f>IF(SUM(H69,H76,H83)=0,"NO",SUM(H69,H76,H83))</f>
        <v>4949.6998463347954</v>
      </c>
      <c r="I61" s="3053">
        <f>IF(SUM(I69,I76,I83)=0,"NO",SUM(I69,I76,I83))</f>
        <v>0.24431284465843189</v>
      </c>
      <c r="J61" s="3053">
        <f>IF(SUM(J69,J76,J83)=0,"NO",SUM(J69,J76,J83))</f>
        <v>0.23681185817888484</v>
      </c>
      <c r="K61" s="3067" t="str">
        <f>IF(SUM(K69,K76,K83)=0,"NO",SUM(K69,K76,K83))</f>
        <v>NO</v>
      </c>
    </row>
    <row r="62" spans="2:12" ht="18" customHeight="1" x14ac:dyDescent="0.2">
      <c r="B62" s="160" t="s">
        <v>245</v>
      </c>
      <c r="C62" s="3053">
        <f t="shared" ref="C62:C66" si="33">IF(SUM(C70,C77,C84)=0,"NO",SUM(C70,C77,C84))</f>
        <v>19471.831019351041</v>
      </c>
      <c r="D62" s="3056" t="s">
        <v>97</v>
      </c>
      <c r="E62" s="1938">
        <f t="shared" ref="E62:E66" si="34">IFERROR(H62*1000/$C62,"NA")</f>
        <v>82.919066070999634</v>
      </c>
      <c r="F62" s="1938">
        <f t="shared" si="32"/>
        <v>0.96030860522482642</v>
      </c>
      <c r="G62" s="1938">
        <f t="shared" si="32"/>
        <v>0.77585853685401296</v>
      </c>
      <c r="H62" s="3053">
        <f t="shared" ref="H62:K66" si="35">IF(SUM(H70,H77,H84)=0,"NO",SUM(H70,H77,H84))</f>
        <v>1614.586042816909</v>
      </c>
      <c r="I62" s="3053">
        <f t="shared" si="35"/>
        <v>1.8698966887366508E-2</v>
      </c>
      <c r="J62" s="3053">
        <f t="shared" si="35"/>
        <v>1.5107386324542282E-2</v>
      </c>
      <c r="K62" s="3067" t="str">
        <f t="shared" si="35"/>
        <v>NO</v>
      </c>
    </row>
    <row r="63" spans="2:12" ht="18" customHeight="1" x14ac:dyDescent="0.2">
      <c r="B63" s="160" t="s">
        <v>246</v>
      </c>
      <c r="C63" s="3053">
        <f t="shared" si="33"/>
        <v>156268.17064673634</v>
      </c>
      <c r="D63" s="3056" t="s">
        <v>97</v>
      </c>
      <c r="E63" s="1938">
        <f t="shared" si="34"/>
        <v>51.411918339265007</v>
      </c>
      <c r="F63" s="1938">
        <f t="shared" si="32"/>
        <v>39.214320745070793</v>
      </c>
      <c r="G63" s="1938">
        <f t="shared" si="32"/>
        <v>0.88687064447492159</v>
      </c>
      <c r="H63" s="3053">
        <f t="shared" si="35"/>
        <v>8034.0464283163383</v>
      </c>
      <c r="I63" s="3053">
        <f t="shared" si="35"/>
        <v>6.1279501659865749</v>
      </c>
      <c r="J63" s="3053">
        <f t="shared" si="35"/>
        <v>0.13858965321238809</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153.58941616220667</v>
      </c>
      <c r="D66" s="3056" t="s">
        <v>97</v>
      </c>
      <c r="E66" s="1938">
        <f t="shared" si="34"/>
        <v>68.109668109668078</v>
      </c>
      <c r="F66" s="1938">
        <f t="shared" si="32"/>
        <v>3.5975810493976867</v>
      </c>
      <c r="G66" s="1938">
        <f t="shared" si="32"/>
        <v>3.5881975907510708</v>
      </c>
      <c r="H66" s="3053">
        <f t="shared" si="35"/>
        <v>10.460924159965588</v>
      </c>
      <c r="I66" s="3053">
        <f t="shared" si="35"/>
        <v>5.5255037297320946E-4</v>
      </c>
      <c r="J66" s="3053">
        <f t="shared" si="35"/>
        <v>5.5110917303809355E-4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20294.258587782697</v>
      </c>
      <c r="D68" s="3056" t="s">
        <v>97</v>
      </c>
      <c r="E68" s="615"/>
      <c r="F68" s="615"/>
      <c r="G68" s="615"/>
      <c r="H68" s="3065">
        <f>IF(SUM(H69:H73)=0,"NO",SUM(H69:H73))</f>
        <v>1671.7744032268495</v>
      </c>
      <c r="I68" s="3065">
        <f t="shared" ref="I68:K68" si="36">IF(SUM(I69:I74)=0,"NO",SUM(I69:I74))</f>
        <v>2.059335080301589E-2</v>
      </c>
      <c r="J68" s="3065">
        <f t="shared" si="36"/>
        <v>1.5644214118179109E-2</v>
      </c>
      <c r="K68" s="3048" t="str">
        <f t="shared" si="36"/>
        <v>NO</v>
      </c>
    </row>
    <row r="69" spans="2:11" ht="18" customHeight="1" x14ac:dyDescent="0.2">
      <c r="B69" s="282" t="s">
        <v>243</v>
      </c>
      <c r="C69" s="3014">
        <v>970.26756843165617</v>
      </c>
      <c r="D69" s="3055" t="s">
        <v>97</v>
      </c>
      <c r="E69" s="1938">
        <f>IFERROR(H69*1000/$C69,"NA")</f>
        <v>73.415996501956613</v>
      </c>
      <c r="F69" s="1938">
        <f t="shared" ref="F69:G74" si="37">IFERROR(I69*1000000/$C69,"NA")</f>
        <v>2.0975491522808101</v>
      </c>
      <c r="G69" s="1938">
        <f t="shared" si="37"/>
        <v>0.66896346405352003</v>
      </c>
      <c r="H69" s="3014">
        <v>71.233160409940425</v>
      </c>
      <c r="I69" s="3014">
        <v>2.0351839156493834E-3</v>
      </c>
      <c r="J69" s="3014">
        <v>6.490735536368265E-4</v>
      </c>
      <c r="K69" s="3051" t="s">
        <v>199</v>
      </c>
    </row>
    <row r="70" spans="2:11" ht="18" customHeight="1" x14ac:dyDescent="0.2">
      <c r="B70" s="282" t="s">
        <v>245</v>
      </c>
      <c r="C70" s="3014">
        <v>19323.99101935104</v>
      </c>
      <c r="D70" s="3055" t="s">
        <v>97</v>
      </c>
      <c r="E70" s="1938">
        <f t="shared" ref="E70:E74" si="38">IFERROR(H70*1000/$C70,"NA")</f>
        <v>82.826639756462697</v>
      </c>
      <c r="F70" s="1938">
        <f t="shared" si="37"/>
        <v>0.96036925647410842</v>
      </c>
      <c r="G70" s="1938">
        <f t="shared" si="37"/>
        <v>0.7759856930965322</v>
      </c>
      <c r="H70" s="3014">
        <v>1600.5412428169091</v>
      </c>
      <c r="I70" s="3014">
        <v>1.8558166887366508E-2</v>
      </c>
      <c r="J70" s="3014">
        <v>1.4995140564542282E-2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154011.28157269198</v>
      </c>
      <c r="D75" s="3056" t="s">
        <v>97</v>
      </c>
      <c r="E75" s="615"/>
      <c r="F75" s="615"/>
      <c r="G75" s="615"/>
      <c r="H75" s="3065">
        <f>IF(SUM(H76:H80)=0,"NO",SUM(H76:H80))</f>
        <v>8100.2631341912002</v>
      </c>
      <c r="I75" s="3065">
        <f t="shared" ref="I75:K75" si="39">IF(SUM(I76:I81)=0,"NO",SUM(I76:I81))</f>
        <v>6.1118124299350436</v>
      </c>
      <c r="J75" s="3065">
        <f t="shared" si="39"/>
        <v>0.15205088405457101</v>
      </c>
      <c r="K75" s="3048" t="str">
        <f t="shared" si="39"/>
        <v>NO</v>
      </c>
    </row>
    <row r="76" spans="2:11" ht="18" customHeight="1" x14ac:dyDescent="0.2">
      <c r="B76" s="282" t="s">
        <v>243</v>
      </c>
      <c r="C76" s="3014">
        <v>11080.307910435004</v>
      </c>
      <c r="D76" s="3055" t="s">
        <v>97</v>
      </c>
      <c r="E76" s="1938">
        <f>IFERROR(H76*1000/$C76,"NA")</f>
        <v>67.859809871121783</v>
      </c>
      <c r="F76" s="1938">
        <f t="shared" ref="F76:G81" si="40">IFERROR(I76*1000000/$C76,"NA")</f>
        <v>2.6419101079269103</v>
      </c>
      <c r="G76" s="1938">
        <f t="shared" si="40"/>
        <v>2.3088672282416729</v>
      </c>
      <c r="H76" s="3014">
        <v>751.90758811560602</v>
      </c>
      <c r="I76" s="3014">
        <v>2.9273177467520738E-2</v>
      </c>
      <c r="J76" s="3014">
        <v>2.5582959813230347E-2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142930.97366225699</v>
      </c>
      <c r="D78" s="3055" t="s">
        <v>97</v>
      </c>
      <c r="E78" s="1938">
        <f t="shared" si="41"/>
        <v>51.411918339265014</v>
      </c>
      <c r="F78" s="1938">
        <f t="shared" si="40"/>
        <v>42.555781274116562</v>
      </c>
      <c r="G78" s="1938">
        <f t="shared" si="40"/>
        <v>0.88481818181818195</v>
      </c>
      <c r="H78" s="3014">
        <v>7348.3555460755942</v>
      </c>
      <c r="I78" s="3014">
        <v>6.082539252467523</v>
      </c>
      <c r="J78" s="3014">
        <v>0.12646792424134068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72731.757498338819</v>
      </c>
      <c r="D82" s="3056" t="s">
        <v>97</v>
      </c>
      <c r="E82" s="615"/>
      <c r="F82" s="615"/>
      <c r="G82" s="615"/>
      <c r="H82" s="3065">
        <f>IF(SUM(H83:H87)=0,"NO",SUM(H83:H87))</f>
        <v>4826.2947800499924</v>
      </c>
      <c r="I82" s="3065">
        <f t="shared" ref="I82:K82" si="42">IF(SUM(I83:I88)=0,"NO",SUM(I83:I88))</f>
        <v>0.25910874716728693</v>
      </c>
      <c r="J82" s="3065">
        <f t="shared" si="42"/>
        <v>0.22336490871610318</v>
      </c>
      <c r="K82" s="3048" t="str">
        <f t="shared" si="42"/>
        <v>NO</v>
      </c>
    </row>
    <row r="83" spans="2:11" ht="18" customHeight="1" x14ac:dyDescent="0.2">
      <c r="B83" s="282" t="s">
        <v>243</v>
      </c>
      <c r="C83" s="3014">
        <v>59093.13109769726</v>
      </c>
      <c r="D83" s="3055" t="s">
        <v>97</v>
      </c>
      <c r="E83" s="1938">
        <f>IFERROR(H83*1000/$C83,"NA")</f>
        <v>69.831451154397413</v>
      </c>
      <c r="F83" s="1938">
        <f t="shared" ref="F83:G88" si="43">IFERROR(I83*1000000/$C83,"NA")</f>
        <v>3.6045557126276919</v>
      </c>
      <c r="G83" s="1938">
        <f t="shared" si="43"/>
        <v>3.5635245738438042</v>
      </c>
      <c r="H83" s="3014">
        <v>4126.5590978092487</v>
      </c>
      <c r="I83" s="3014">
        <v>0.21300448327526178</v>
      </c>
      <c r="J83" s="3014">
        <v>0.21057982481201767</v>
      </c>
      <c r="K83" s="3051" t="s">
        <v>199</v>
      </c>
    </row>
    <row r="84" spans="2:11" ht="18" customHeight="1" x14ac:dyDescent="0.2">
      <c r="B84" s="282" t="s">
        <v>245</v>
      </c>
      <c r="C84" s="3014">
        <v>147.84</v>
      </c>
      <c r="D84" s="3055" t="s">
        <v>97</v>
      </c>
      <c r="E84" s="1938">
        <f t="shared" ref="E84:E88" si="44">IFERROR(H84*1000/$C84,"NA")</f>
        <v>95</v>
      </c>
      <c r="F84" s="1938">
        <f t="shared" si="43"/>
        <v>0.95238095238095244</v>
      </c>
      <c r="G84" s="1938">
        <f t="shared" si="43"/>
        <v>0.75923809523809527</v>
      </c>
      <c r="H84" s="3014">
        <v>14.0448</v>
      </c>
      <c r="I84" s="3014">
        <v>1.4080000000000001E-4</v>
      </c>
      <c r="J84" s="3014">
        <v>1.1224576000000001E-4</v>
      </c>
      <c r="K84" s="3051" t="s">
        <v>199</v>
      </c>
    </row>
    <row r="85" spans="2:11" ht="18" customHeight="1" x14ac:dyDescent="0.2">
      <c r="B85" s="282" t="s">
        <v>246</v>
      </c>
      <c r="C85" s="3014">
        <v>13337.196984479349</v>
      </c>
      <c r="D85" s="3055" t="s">
        <v>97</v>
      </c>
      <c r="E85" s="1938">
        <f t="shared" si="44"/>
        <v>51.411918339265007</v>
      </c>
      <c r="F85" s="1938">
        <f t="shared" si="43"/>
        <v>3.4048318827334696</v>
      </c>
      <c r="G85" s="1938">
        <f t="shared" si="43"/>
        <v>0.90886630715236427</v>
      </c>
      <c r="H85" s="3014">
        <v>685.6908822407438</v>
      </c>
      <c r="I85" s="3014">
        <v>4.5410913519051972E-2</v>
      </c>
      <c r="J85" s="3014">
        <v>1.2121728971047394E-2</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153.58941616220667</v>
      </c>
      <c r="D88" s="3063" t="s">
        <v>97</v>
      </c>
      <c r="E88" s="2891">
        <f t="shared" si="44"/>
        <v>68.109668109668078</v>
      </c>
      <c r="F88" s="2891">
        <f t="shared" si="43"/>
        <v>3.5975810493976867</v>
      </c>
      <c r="G88" s="2891">
        <f t="shared" si="43"/>
        <v>3.5881975907510708</v>
      </c>
      <c r="H88" s="3021">
        <v>10.460924159965588</v>
      </c>
      <c r="I88" s="3021">
        <v>5.5255037297320946E-4</v>
      </c>
      <c r="J88" s="3021">
        <v>5.5110917303809355E-4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14988158.57811507</v>
      </c>
      <c r="G10" s="4346" t="s">
        <v>205</v>
      </c>
      <c r="H10" s="4347">
        <f t="shared" ref="H10:H13" si="0">IF(SUM($F10)=0,"NA",K10*1000/$F10)</f>
        <v>4.5593778851166264E-2</v>
      </c>
      <c r="I10" s="4348">
        <f t="shared" ref="I10:I13" si="1">IF(SUM($F10)=0,"NA",L10*1000/$F10)</f>
        <v>1.0330490726999512E-3</v>
      </c>
      <c r="J10" s="4349" t="str">
        <f>IF(SUM(J11,J25,J36,J48,J59,J70,J76)=0,"IE",SUM(J11,J25,J36,J48,J59,J70,J76))</f>
        <v>IE</v>
      </c>
      <c r="K10" s="4350">
        <f>IF(SUM(K11,K25,K36,K48,K59,K70,K76)=0,"NO",SUM(K11,K25,K36,K48,K59,K70,K76))</f>
        <v>683.3667875967891</v>
      </c>
      <c r="L10" s="4351">
        <f>IF(SUM(L11,L25,L36,L48,L59,L70,L76)=0,"NO",SUM(L11,L25,L36,L48,L59,L70,L76))</f>
        <v>15.483503320601592</v>
      </c>
    </row>
    <row r="11" spans="2:13" ht="18" customHeight="1" x14ac:dyDescent="0.2">
      <c r="B11" s="934" t="s">
        <v>1662</v>
      </c>
      <c r="C11" s="4352"/>
      <c r="D11" s="4353"/>
      <c r="E11" s="2866" t="s">
        <v>1661</v>
      </c>
      <c r="F11" s="4354">
        <f>IF(SUM(F12,F19)=0,"NO",SUM(F12,F19))</f>
        <v>3693482.217318851</v>
      </c>
      <c r="G11" s="4355" t="s">
        <v>205</v>
      </c>
      <c r="H11" s="4356">
        <f t="shared" si="0"/>
        <v>6.9791448965674602E-2</v>
      </c>
      <c r="I11" s="4357">
        <f t="shared" si="1"/>
        <v>1.1770995327456048E-3</v>
      </c>
      <c r="J11" s="4358" t="str">
        <f>IF(SUM(J12,J19)=0,"IE",SUM(J12,J19))</f>
        <v>IE</v>
      </c>
      <c r="K11" s="4359">
        <f>IF(SUM(K12,K19)=0,"NO",SUM(K12,K19))</f>
        <v>257.77347567563527</v>
      </c>
      <c r="L11" s="4360">
        <f>IF(SUM(L12,L19)=0,"NO",SUM(L12,L19))</f>
        <v>4.3475961922102195</v>
      </c>
      <c r="M11" s="472"/>
    </row>
    <row r="12" spans="2:13" ht="18" customHeight="1" x14ac:dyDescent="0.2">
      <c r="B12" s="906" t="s">
        <v>1663</v>
      </c>
      <c r="C12" s="4361"/>
      <c r="D12" s="4362"/>
      <c r="E12" s="4363" t="s">
        <v>1661</v>
      </c>
      <c r="F12" s="4364">
        <f>IF(SUM(F13,F17)=0,"NO",SUM(F13,F17))</f>
        <v>3691285.5970196147</v>
      </c>
      <c r="G12" s="4365" t="str">
        <f>IFERROR(IF(SUM($F12)=0,"NA",J12*1000/$F12),"NA")</f>
        <v>NA</v>
      </c>
      <c r="H12" s="4366">
        <f t="shared" si="0"/>
        <v>6.9373156181359336E-2</v>
      </c>
      <c r="I12" s="4367">
        <f t="shared" si="1"/>
        <v>1.1706669195210356E-3</v>
      </c>
      <c r="J12" s="4170" t="str">
        <f>IF(SUM(J13,J17)=0,"IE",SUM(J13,J17))</f>
        <v>IE</v>
      </c>
      <c r="K12" s="3057">
        <f>IF(SUM(K13,K17)=0,"NO",SUM(K13,K17))</f>
        <v>256.07613223204396</v>
      </c>
      <c r="L12" s="3106">
        <f>IF(SUM(L13,L17)=0,"NO",SUM(L13,L17))</f>
        <v>4.3212659389353192</v>
      </c>
    </row>
    <row r="13" spans="2:13" ht="18" customHeight="1" x14ac:dyDescent="0.2">
      <c r="B13" s="926" t="s">
        <v>1664</v>
      </c>
      <c r="C13" s="4361"/>
      <c r="D13" s="4362"/>
      <c r="E13" s="4363" t="s">
        <v>1661</v>
      </c>
      <c r="F13" s="4368">
        <f>IF(SUM(F14:F16)=0,"NO",SUM(F14:F16))</f>
        <v>3468219.468337391</v>
      </c>
      <c r="G13" s="4369" t="str">
        <f t="shared" ref="G13:G76" si="2">IFERROR(IF(SUM($F13)=0,"NA",J13*1000/$F13),"NA")</f>
        <v>NA</v>
      </c>
      <c r="H13" s="4370">
        <f t="shared" si="0"/>
        <v>5.7438844202471487E-2</v>
      </c>
      <c r="I13" s="4371">
        <f t="shared" si="1"/>
        <v>1.0936379952482568E-3</v>
      </c>
      <c r="J13" s="4170" t="str">
        <f>IF(SUM(J14:J16)=0,"IE",SUM(J14:J16))</f>
        <v>IE</v>
      </c>
      <c r="K13" s="4170">
        <f>IF(SUM(K14:K16)=0,"NO",SUM(K14:K16))</f>
        <v>199.21051770180992</v>
      </c>
      <c r="L13" s="4372">
        <f>IF(SUM(L14:L16)=0,"NO",SUM(L14:L16))</f>
        <v>3.7929765864334795</v>
      </c>
      <c r="M13" s="472"/>
    </row>
    <row r="14" spans="2:13" ht="18" customHeight="1" x14ac:dyDescent="0.2">
      <c r="B14" s="926"/>
      <c r="C14" s="2864" t="s">
        <v>1665</v>
      </c>
      <c r="D14" s="4373" t="s">
        <v>1219</v>
      </c>
      <c r="E14" s="4374" t="s">
        <v>1661</v>
      </c>
      <c r="F14" s="4375">
        <v>307668.22160396498</v>
      </c>
      <c r="G14" s="4369" t="str">
        <f t="shared" si="2"/>
        <v>NA</v>
      </c>
      <c r="H14" s="4370">
        <f>IF(SUM($F14)=0,"NA",K14*1000/$F14)</f>
        <v>0.12668151686161361</v>
      </c>
      <c r="I14" s="4371">
        <f>IF(SUM($F14)=0,"NA",L14*1000/$F14)</f>
        <v>1.3081084955174906E-3</v>
      </c>
      <c r="J14" s="4376" t="s">
        <v>274</v>
      </c>
      <c r="K14" s="4377">
        <v>38.975877002905364</v>
      </c>
      <c r="L14" s="4378">
        <v>0.40246341448090456</v>
      </c>
      <c r="M14" s="472"/>
    </row>
    <row r="15" spans="2:13" ht="18" customHeight="1" x14ac:dyDescent="0.2">
      <c r="B15" s="926"/>
      <c r="C15" s="2864" t="s">
        <v>1666</v>
      </c>
      <c r="D15" s="4373" t="s">
        <v>1219</v>
      </c>
      <c r="E15" s="4379" t="s">
        <v>1661</v>
      </c>
      <c r="F15" s="4380">
        <v>10026.031338836663</v>
      </c>
      <c r="G15" s="4369" t="str">
        <f t="shared" si="2"/>
        <v>NA</v>
      </c>
      <c r="H15" s="4370">
        <f t="shared" ref="H15:H77" si="3">IF(SUM($F15)=0,"NA",K15*1000/$F15)</f>
        <v>1.2853140879759257</v>
      </c>
      <c r="I15" s="4371">
        <f t="shared" ref="I15:I77" si="4">IF(SUM($F15)=0,"NA",L15*1000/$F15)</f>
        <v>2.3760459042999404E-2</v>
      </c>
      <c r="J15" s="4376" t="s">
        <v>274</v>
      </c>
      <c r="K15" s="4377">
        <v>12.886599326294895</v>
      </c>
      <c r="L15" s="4381">
        <v>0.23822310699025701</v>
      </c>
      <c r="M15" s="472"/>
    </row>
    <row r="16" spans="2:13" ht="18" customHeight="1" x14ac:dyDescent="0.2">
      <c r="B16" s="926"/>
      <c r="C16" s="2864" t="s">
        <v>1342</v>
      </c>
      <c r="D16" s="4373" t="s">
        <v>1219</v>
      </c>
      <c r="E16" s="4379" t="s">
        <v>1661</v>
      </c>
      <c r="F16" s="4380">
        <v>3150525.2153945896</v>
      </c>
      <c r="G16" s="4369" t="str">
        <f t="shared" si="2"/>
        <v>NA</v>
      </c>
      <c r="H16" s="4370">
        <f t="shared" si="3"/>
        <v>4.6769357900268364E-2</v>
      </c>
      <c r="I16" s="4371">
        <f t="shared" si="4"/>
        <v>1.0005601763030192E-3</v>
      </c>
      <c r="J16" s="4376" t="s">
        <v>274</v>
      </c>
      <c r="K16" s="4377">
        <v>147.34804137260966</v>
      </c>
      <c r="L16" s="4381">
        <v>3.152290064962318</v>
      </c>
      <c r="M16" s="472"/>
    </row>
    <row r="17" spans="2:13" ht="18" customHeight="1" x14ac:dyDescent="0.2">
      <c r="B17" s="926" t="s">
        <v>1667</v>
      </c>
      <c r="C17" s="4361"/>
      <c r="D17" s="4362"/>
      <c r="E17" s="4382" t="s">
        <v>1661</v>
      </c>
      <c r="F17" s="4368">
        <f>F18</f>
        <v>223066.12868222373</v>
      </c>
      <c r="G17" s="4369" t="str">
        <f t="shared" si="2"/>
        <v>NA</v>
      </c>
      <c r="H17" s="4370">
        <f t="shared" si="3"/>
        <v>0.25492715934136206</v>
      </c>
      <c r="I17" s="4371">
        <f t="shared" si="4"/>
        <v>2.368308248422742E-3</v>
      </c>
      <c r="J17" s="4170" t="str">
        <f>J18</f>
        <v>IE</v>
      </c>
      <c r="K17" s="4170">
        <f>K18</f>
        <v>56.865614530234026</v>
      </c>
      <c r="L17" s="4372">
        <f>L18</f>
        <v>0.52828935250183928</v>
      </c>
      <c r="M17" s="472"/>
    </row>
    <row r="18" spans="2:13" ht="18" customHeight="1" x14ac:dyDescent="0.2">
      <c r="B18" s="926"/>
      <c r="C18" s="2864" t="s">
        <v>1668</v>
      </c>
      <c r="D18" s="4373" t="s">
        <v>1219</v>
      </c>
      <c r="E18" s="4379" t="s">
        <v>1661</v>
      </c>
      <c r="F18" s="4375">
        <v>223066.12868222373</v>
      </c>
      <c r="G18" s="4369" t="str">
        <f t="shared" si="2"/>
        <v>NA</v>
      </c>
      <c r="H18" s="4370">
        <f t="shared" si="3"/>
        <v>0.25492715934136206</v>
      </c>
      <c r="I18" s="4371">
        <f t="shared" si="4"/>
        <v>2.368308248422742E-3</v>
      </c>
      <c r="J18" s="4376" t="s">
        <v>274</v>
      </c>
      <c r="K18" s="4377">
        <v>56.865614530234026</v>
      </c>
      <c r="L18" s="4378">
        <v>0.52828935250183928</v>
      </c>
      <c r="M18" s="472"/>
    </row>
    <row r="19" spans="2:13" ht="18" customHeight="1" x14ac:dyDescent="0.2">
      <c r="B19" s="906" t="s">
        <v>1669</v>
      </c>
      <c r="C19" s="4361"/>
      <c r="D19" s="4362"/>
      <c r="E19" s="4382" t="s">
        <v>1661</v>
      </c>
      <c r="F19" s="4383">
        <f>IF(SUM(F20,F23)=0,"NO",SUM(F20,F23))</f>
        <v>2196.6202992362601</v>
      </c>
      <c r="G19" s="4365" t="s">
        <v>205</v>
      </c>
      <c r="H19" s="4366">
        <f t="shared" si="3"/>
        <v>0.77270680061614228</v>
      </c>
      <c r="I19" s="4367">
        <f t="shared" si="4"/>
        <v>1.1986711260045661E-2</v>
      </c>
      <c r="J19" s="4170" t="str">
        <f>IF(SUM(J20,J23)=0,"IE",SUM(J20,J23))</f>
        <v>IE</v>
      </c>
      <c r="K19" s="3057">
        <f>IF(SUM(K20,K23)=0,"NO",SUM(K20,K23))</f>
        <v>1.6973434435913237</v>
      </c>
      <c r="L19" s="3106">
        <f>IF(SUM(L20,L23)=0,"NO",SUM(L20,L23))</f>
        <v>2.6330253274900149E-2</v>
      </c>
    </row>
    <row r="20" spans="2:13" ht="18" customHeight="1" x14ac:dyDescent="0.2">
      <c r="B20" s="926" t="s">
        <v>1670</v>
      </c>
      <c r="C20" s="4361"/>
      <c r="D20" s="4362"/>
      <c r="E20" s="4382" t="s">
        <v>1661</v>
      </c>
      <c r="F20" s="4368">
        <f>IF(SUM(F21:F22)=0,"NO",SUM(F21:F22))</f>
        <v>688.94914463112582</v>
      </c>
      <c r="G20" s="4369" t="str">
        <f t="shared" si="2"/>
        <v>NA</v>
      </c>
      <c r="H20" s="4370">
        <f t="shared" si="3"/>
        <v>1.5956437185494603</v>
      </c>
      <c r="I20" s="4371">
        <f t="shared" si="4"/>
        <v>3.0065764876865738E-2</v>
      </c>
      <c r="J20" s="4170" t="str">
        <f>IF(SUM(J21:J22)=0,"IE",SUM(J21:J22))</f>
        <v>IE</v>
      </c>
      <c r="K20" s="4170">
        <f>IF(SUM(K21:K22)=0,"NO",SUM(K21:K22))</f>
        <v>1.0993173750306795</v>
      </c>
      <c r="L20" s="4372">
        <f>IF(SUM(L21:L22)=0,"NO",SUM(L21:L22))</f>
        <v>2.0713782994597196E-2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0.98527734241216591</v>
      </c>
      <c r="L21" s="4378">
        <v>1.8213946427091562E-2</v>
      </c>
      <c r="M21" s="472"/>
    </row>
    <row r="22" spans="2:13" ht="18" customHeight="1" x14ac:dyDescent="0.2">
      <c r="B22" s="926"/>
      <c r="C22" s="2864" t="s">
        <v>1342</v>
      </c>
      <c r="D22" s="4373" t="s">
        <v>1219</v>
      </c>
      <c r="E22" s="4379" t="s">
        <v>1661</v>
      </c>
      <c r="F22" s="4380">
        <v>688.94914463112582</v>
      </c>
      <c r="G22" s="4369" t="str">
        <f t="shared" si="2"/>
        <v>NA</v>
      </c>
      <c r="H22" s="4370">
        <f t="shared" si="3"/>
        <v>0.1655275044714257</v>
      </c>
      <c r="I22" s="4371">
        <f t="shared" si="4"/>
        <v>3.6284776416176329E-3</v>
      </c>
      <c r="J22" s="4376" t="s">
        <v>274</v>
      </c>
      <c r="K22" s="4377">
        <v>0.11404003261851357</v>
      </c>
      <c r="L22" s="4381">
        <v>2.4998365675056328E-3</v>
      </c>
      <c r="M22" s="472"/>
    </row>
    <row r="23" spans="2:13" ht="18" customHeight="1" x14ac:dyDescent="0.2">
      <c r="B23" s="926" t="s">
        <v>1671</v>
      </c>
      <c r="C23" s="4361"/>
      <c r="D23" s="4362"/>
      <c r="E23" s="4382" t="s">
        <v>1661</v>
      </c>
      <c r="F23" s="4368">
        <f>F24</f>
        <v>1507.6711546051342</v>
      </c>
      <c r="G23" s="4369" t="str">
        <f t="shared" si="2"/>
        <v>NA</v>
      </c>
      <c r="H23" s="4370">
        <f t="shared" si="3"/>
        <v>0.39665550855303716</v>
      </c>
      <c r="I23" s="4371">
        <f t="shared" si="4"/>
        <v>3.725262145626134E-3</v>
      </c>
      <c r="J23" s="4170" t="str">
        <f>J24</f>
        <v>IE</v>
      </c>
      <c r="K23" s="4170">
        <f>K24</f>
        <v>0.59802606856064422</v>
      </c>
      <c r="L23" s="4372">
        <f>L24</f>
        <v>5.6164702803029529E-3</v>
      </c>
      <c r="M23" s="472"/>
    </row>
    <row r="24" spans="2:13" ht="18" customHeight="1" thickBot="1" x14ac:dyDescent="0.25">
      <c r="B24" s="936"/>
      <c r="C24" s="2865" t="s">
        <v>1672</v>
      </c>
      <c r="D24" s="4384" t="s">
        <v>1219</v>
      </c>
      <c r="E24" s="4385" t="s">
        <v>1661</v>
      </c>
      <c r="F24" s="4386">
        <v>1507.6711546051342</v>
      </c>
      <c r="G24" s="4387" t="str">
        <f t="shared" si="2"/>
        <v>NA</v>
      </c>
      <c r="H24" s="4388">
        <f t="shared" si="3"/>
        <v>0.39665550855303716</v>
      </c>
      <c r="I24" s="4389">
        <f t="shared" si="4"/>
        <v>3.725262145626134E-3</v>
      </c>
      <c r="J24" s="4390" t="s">
        <v>274</v>
      </c>
      <c r="K24" s="4391">
        <v>0.59802606856064422</v>
      </c>
      <c r="L24" s="4392">
        <v>5.6164702803029529E-3</v>
      </c>
      <c r="M24" s="472"/>
    </row>
    <row r="25" spans="2:13" ht="18" customHeight="1" x14ac:dyDescent="0.2">
      <c r="B25" s="934" t="s">
        <v>1673</v>
      </c>
      <c r="C25" s="4352"/>
      <c r="D25" s="4353"/>
      <c r="E25" s="4393" t="s">
        <v>1661</v>
      </c>
      <c r="F25" s="4394">
        <f>IF(SUM(F26,F31)=0,"IE",SUM(F26,F31))</f>
        <v>26294.412850112174</v>
      </c>
      <c r="G25" s="4355" t="str">
        <f t="shared" si="2"/>
        <v>NA</v>
      </c>
      <c r="H25" s="4356">
        <f t="shared" si="3"/>
        <v>0.15297058946688369</v>
      </c>
      <c r="I25" s="4357">
        <f t="shared" si="4"/>
        <v>2.8278313136169755E-3</v>
      </c>
      <c r="J25" s="4358" t="str">
        <f>IF(SUM(J26,J31)=0,"IE",SUM(J26,J31))</f>
        <v>IE</v>
      </c>
      <c r="K25" s="4359">
        <f>IF(SUM(K26,K31)=0,"IE",SUM(K26,K31))</f>
        <v>4.0222718333672605</v>
      </c>
      <c r="L25" s="4360">
        <f>IF(SUM(L26,L31)=0,"IE",SUM(L26,L31))</f>
        <v>7.435616403071979E-2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26294.412850112174</v>
      </c>
      <c r="G31" s="4365" t="str">
        <f t="shared" si="2"/>
        <v>NA</v>
      </c>
      <c r="H31" s="4366">
        <f t="shared" si="3"/>
        <v>0.15297058946688369</v>
      </c>
      <c r="I31" s="4367">
        <f t="shared" si="4"/>
        <v>2.8278313136169755E-3</v>
      </c>
      <c r="J31" s="4170" t="str">
        <f>IF(SUM(J32,J34)=0,"IE",SUM(J32,J34))</f>
        <v>IE</v>
      </c>
      <c r="K31" s="4170">
        <f t="shared" ref="K31:L31" si="6">IF(SUM(K32,K34)=0,"IE",SUM(K32,K34))</f>
        <v>4.0222718333672605</v>
      </c>
      <c r="L31" s="4372">
        <f t="shared" si="6"/>
        <v>7.435616403071979E-2</v>
      </c>
    </row>
    <row r="32" spans="2:13" ht="18" customHeight="1" x14ac:dyDescent="0.2">
      <c r="B32" s="926" t="s">
        <v>1678</v>
      </c>
      <c r="C32" s="4361"/>
      <c r="D32" s="4362"/>
      <c r="E32" s="4382" t="s">
        <v>1661</v>
      </c>
      <c r="F32" s="4368">
        <f>F33</f>
        <v>26294.412850112174</v>
      </c>
      <c r="G32" s="4365" t="str">
        <f t="shared" si="2"/>
        <v>NA</v>
      </c>
      <c r="H32" s="4366">
        <f t="shared" si="3"/>
        <v>0.15297058946688369</v>
      </c>
      <c r="I32" s="4367">
        <f t="shared" si="4"/>
        <v>2.8278313136169755E-3</v>
      </c>
      <c r="J32" s="4170" t="str">
        <f>J33</f>
        <v>IE</v>
      </c>
      <c r="K32" s="4170">
        <f>K33</f>
        <v>4.0222718333672605</v>
      </c>
      <c r="L32" s="4372">
        <f>L33</f>
        <v>7.435616403071979E-2</v>
      </c>
      <c r="M32" s="472"/>
    </row>
    <row r="33" spans="2:13" ht="18" customHeight="1" x14ac:dyDescent="0.2">
      <c r="B33" s="926"/>
      <c r="C33" s="2864" t="s">
        <v>1679</v>
      </c>
      <c r="D33" s="4373" t="s">
        <v>1219</v>
      </c>
      <c r="E33" s="4379" t="s">
        <v>1661</v>
      </c>
      <c r="F33" s="4375">
        <v>26294.412850112174</v>
      </c>
      <c r="G33" s="4369" t="str">
        <f t="shared" si="2"/>
        <v>NA</v>
      </c>
      <c r="H33" s="4370">
        <f t="shared" si="3"/>
        <v>0.15297058946688369</v>
      </c>
      <c r="I33" s="4371">
        <f t="shared" si="4"/>
        <v>2.8278313136169755E-3</v>
      </c>
      <c r="J33" s="4376" t="s">
        <v>274</v>
      </c>
      <c r="K33" s="4377">
        <v>4.0222718333672605</v>
      </c>
      <c r="L33" s="4378">
        <v>7.435616403071979E-2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11066948.779663457</v>
      </c>
      <c r="G36" s="4355" t="str">
        <f t="shared" si="2"/>
        <v>NA</v>
      </c>
      <c r="H36" s="4356">
        <f t="shared" ref="H36" si="7">IF(SUM($F36)=0,"NA",K36*1000/$F36)</f>
        <v>3.6058062602811566E-2</v>
      </c>
      <c r="I36" s="4357">
        <f t="shared" ref="I36" si="8">IF(SUM($F36)=0,"NA",L36*1000/$F36)</f>
        <v>9.5674642705086078E-4</v>
      </c>
      <c r="J36" s="4358" t="str">
        <f>IF(SUM(J37,J42)=0,"IE",SUM(J37,J42))</f>
        <v>IE</v>
      </c>
      <c r="K36" s="4359">
        <f>IF(SUM(K37,K42)=0,"NO",SUM(K37,K42))</f>
        <v>399.05273191921395</v>
      </c>
      <c r="L36" s="4360">
        <f>IF(SUM(L37,L42)=0,"NO",SUM(L37,L42))</f>
        <v>10.588263703297896</v>
      </c>
      <c r="M36" s="472"/>
    </row>
    <row r="37" spans="2:13" ht="18" customHeight="1" x14ac:dyDescent="0.2">
      <c r="B37" s="906" t="s">
        <v>1682</v>
      </c>
      <c r="C37" s="4361"/>
      <c r="D37" s="4362"/>
      <c r="E37" s="4382" t="s">
        <v>1661</v>
      </c>
      <c r="F37" s="4364">
        <f>IF(SUM(F38,F40)=0,"NO",SUM(F38,F40))</f>
        <v>10327417.685494378</v>
      </c>
      <c r="G37" s="4369" t="str">
        <f t="shared" si="2"/>
        <v>NA</v>
      </c>
      <c r="H37" s="4366">
        <f t="shared" si="3"/>
        <v>2.7380461921495462E-2</v>
      </c>
      <c r="I37" s="4367">
        <f t="shared" si="4"/>
        <v>8.1658427434646295E-4</v>
      </c>
      <c r="J37" s="4170" t="str">
        <f>IF(SUM(J38,J40)=0,"IE",SUM(J38,J40))</f>
        <v>IE</v>
      </c>
      <c r="K37" s="3057">
        <f>IF(SUM(K38,K40)=0,"NO",SUM(K38,K40))</f>
        <v>282.76946668505764</v>
      </c>
      <c r="L37" s="3106">
        <f>IF(SUM(L38,L40)=0,"NO",SUM(L38,L40))</f>
        <v>8.4332068765822559</v>
      </c>
    </row>
    <row r="38" spans="2:13" ht="18" customHeight="1" x14ac:dyDescent="0.2">
      <c r="B38" s="926" t="s">
        <v>1683</v>
      </c>
      <c r="C38" s="4361"/>
      <c r="D38" s="4362"/>
      <c r="E38" s="4382" t="s">
        <v>1661</v>
      </c>
      <c r="F38" s="4368">
        <f>F39</f>
        <v>10327417.685494378</v>
      </c>
      <c r="G38" s="4369" t="str">
        <f t="shared" si="2"/>
        <v>NA</v>
      </c>
      <c r="H38" s="4370">
        <f t="shared" si="3"/>
        <v>2.7380461921495462E-2</v>
      </c>
      <c r="I38" s="4371">
        <f t="shared" si="4"/>
        <v>8.1658427434646295E-4</v>
      </c>
      <c r="J38" s="4170" t="str">
        <f>J39</f>
        <v>IE</v>
      </c>
      <c r="K38" s="4170">
        <f>K39</f>
        <v>282.76946668505764</v>
      </c>
      <c r="L38" s="4372">
        <f>L39</f>
        <v>8.4332068765822559</v>
      </c>
      <c r="M38" s="472"/>
    </row>
    <row r="39" spans="2:13" ht="18" customHeight="1" x14ac:dyDescent="0.2">
      <c r="B39" s="926"/>
      <c r="C39" s="2864" t="s">
        <v>1342</v>
      </c>
      <c r="D39" s="4373" t="s">
        <v>1219</v>
      </c>
      <c r="E39" s="4379" t="s">
        <v>1661</v>
      </c>
      <c r="F39" s="4380">
        <v>10327417.685494378</v>
      </c>
      <c r="G39" s="4369" t="str">
        <f t="shared" si="2"/>
        <v>NA</v>
      </c>
      <c r="H39" s="4370">
        <f t="shared" ref="H39:H40" si="9">IF(SUM($F39)=0,"NA",K39*1000/$F39)</f>
        <v>2.7380461921495462E-2</v>
      </c>
      <c r="I39" s="4371">
        <f t="shared" ref="I39:I40" si="10">IF(SUM($F39)=0,"NA",L39*1000/$F39)</f>
        <v>8.1658427434646295E-4</v>
      </c>
      <c r="J39" s="4376" t="s">
        <v>274</v>
      </c>
      <c r="K39" s="4377">
        <v>282.76946668505764</v>
      </c>
      <c r="L39" s="4381">
        <v>8.4332068765822559</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739531.09416907781</v>
      </c>
      <c r="G42" s="4365" t="str">
        <f t="shared" si="2"/>
        <v>NA</v>
      </c>
      <c r="H42" s="4366">
        <f t="shared" si="11"/>
        <v>0.15723918324869066</v>
      </c>
      <c r="I42" s="4367">
        <f t="shared" si="12"/>
        <v>2.9140854843122156E-3</v>
      </c>
      <c r="J42" s="4170" t="str">
        <f>IF(SUM(J43,J46)=0,"IE",SUM(J43,J46))</f>
        <v>IE</v>
      </c>
      <c r="K42" s="3057">
        <f>IF(SUM(K43,K46)=0,"NO",SUM(K43,K46))</f>
        <v>116.28326523415633</v>
      </c>
      <c r="L42" s="3106">
        <f>IF(SUM(L43,L46)=0,"NO",SUM(L43,L46))</f>
        <v>2.15505682671564</v>
      </c>
    </row>
    <row r="43" spans="2:13" ht="18" customHeight="1" x14ac:dyDescent="0.2">
      <c r="B43" s="926" t="s">
        <v>1686</v>
      </c>
      <c r="C43" s="4361"/>
      <c r="D43" s="4362"/>
      <c r="E43" s="4382" t="s">
        <v>1661</v>
      </c>
      <c r="F43" s="4368">
        <f>IF(SUM(F44:F45)=0,"NO",SUM(F44:F45))</f>
        <v>739531.09416907781</v>
      </c>
      <c r="G43" s="4369" t="str">
        <f t="shared" si="2"/>
        <v>NA</v>
      </c>
      <c r="H43" s="4370">
        <f t="shared" ref="H43" si="13">IF(SUM($F43)=0,"NA",K43*1000/$F43)</f>
        <v>0.15723918324869066</v>
      </c>
      <c r="I43" s="4371">
        <f t="shared" ref="I43" si="14">IF(SUM($F43)=0,"NA",L43*1000/$F43)</f>
        <v>2.9140854843122156E-3</v>
      </c>
      <c r="J43" s="4170" t="str">
        <f>IF(SUM(J44:J45)=0,"IE",SUM(J44:J45))</f>
        <v>IE</v>
      </c>
      <c r="K43" s="4170">
        <f>IF(SUM(K44:K45)=0,"NO",SUM(K44:K45))</f>
        <v>116.28326523415633</v>
      </c>
      <c r="L43" s="4372">
        <f>IF(SUM(L44:L45)=0,"NO",SUM(L44:L45))</f>
        <v>2.15505682671564</v>
      </c>
      <c r="M43" s="472"/>
    </row>
    <row r="44" spans="2:13" ht="18" customHeight="1" x14ac:dyDescent="0.2">
      <c r="B44" s="926"/>
      <c r="C44" s="2864" t="s">
        <v>1679</v>
      </c>
      <c r="D44" s="4373" t="s">
        <v>1219</v>
      </c>
      <c r="E44" s="4379" t="s">
        <v>1661</v>
      </c>
      <c r="F44" s="4380">
        <v>723115.52821129374</v>
      </c>
      <c r="G44" s="4369" t="str">
        <f t="shared" si="2"/>
        <v>NA</v>
      </c>
      <c r="H44" s="4370">
        <f t="shared" ref="H44:H46" si="15">IF(SUM($F44)=0,"NA",K44*1000/$F44)</f>
        <v>0.15938575083901158</v>
      </c>
      <c r="I44" s="4371">
        <f t="shared" ref="I44:I46" si="16">IF(SUM($F44)=0,"NA",L44*1000/$F44)</f>
        <v>2.9464226995378402E-3</v>
      </c>
      <c r="J44" s="4376" t="s">
        <v>274</v>
      </c>
      <c r="K44" s="4377">
        <v>115.25431140730552</v>
      </c>
      <c r="L44" s="4381">
        <v>2.1306040067100511</v>
      </c>
      <c r="M44" s="472"/>
    </row>
    <row r="45" spans="2:13" ht="18" customHeight="1" x14ac:dyDescent="0.2">
      <c r="B45" s="926"/>
      <c r="C45" s="2864" t="s">
        <v>1342</v>
      </c>
      <c r="D45" s="4373" t="s">
        <v>1219</v>
      </c>
      <c r="E45" s="4379" t="s">
        <v>1661</v>
      </c>
      <c r="F45" s="4380">
        <v>16415.565957784063</v>
      </c>
      <c r="G45" s="4369" t="str">
        <f t="shared" si="2"/>
        <v>NA</v>
      </c>
      <c r="H45" s="4370">
        <f t="shared" si="15"/>
        <v>6.2681593159625293E-2</v>
      </c>
      <c r="I45" s="4371">
        <f t="shared" si="16"/>
        <v>1.4896117543844931E-3</v>
      </c>
      <c r="J45" s="4376" t="s">
        <v>274</v>
      </c>
      <c r="K45" s="4377">
        <v>1.0289538268508154</v>
      </c>
      <c r="L45" s="4381">
        <v>2.4452820005589078E-2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173533.14860543079</v>
      </c>
      <c r="G48" s="4355" t="str">
        <f t="shared" si="2"/>
        <v>NA</v>
      </c>
      <c r="H48" s="4356">
        <f t="shared" si="17"/>
        <v>0.10277115759515949</v>
      </c>
      <c r="I48" s="4357">
        <f t="shared" si="18"/>
        <v>2.2283717404736093E-3</v>
      </c>
      <c r="J48" s="4358" t="str">
        <f>IF(SUM(J49,J54)=0,"IE",SUM(J49,J54))</f>
        <v>IE</v>
      </c>
      <c r="K48" s="4359">
        <f>IF(SUM(K49,K54)=0,"NO",SUM(K49,K54))</f>
        <v>17.83420256331296</v>
      </c>
      <c r="L48" s="4360">
        <f>IF(SUM(L49,L54)=0,"NO",SUM(L49,L54))</f>
        <v>0.38669636438774935</v>
      </c>
      <c r="M48" s="472"/>
    </row>
    <row r="49" spans="2:13" ht="18" customHeight="1" x14ac:dyDescent="0.2">
      <c r="B49" s="906" t="s">
        <v>1689</v>
      </c>
      <c r="C49" s="4361"/>
      <c r="D49" s="4362"/>
      <c r="E49" s="4382" t="s">
        <v>1661</v>
      </c>
      <c r="F49" s="4364">
        <f>IF(SUM(F50,F52)=0,"NO",SUM(F50,F52))</f>
        <v>173533.14860543079</v>
      </c>
      <c r="G49" s="4365" t="str">
        <f t="shared" si="2"/>
        <v>NA</v>
      </c>
      <c r="H49" s="4366">
        <f t="shared" si="17"/>
        <v>0.10277115759515949</v>
      </c>
      <c r="I49" s="4367">
        <f t="shared" si="18"/>
        <v>2.2283717404736093E-3</v>
      </c>
      <c r="J49" s="4170" t="str">
        <f>IF(SUM(J50,J52)=0,"IE",SUM(J50,J52))</f>
        <v>IE</v>
      </c>
      <c r="K49" s="3057">
        <f>IF(SUM(K50,K52)=0,"NO",SUM(K50,K52))</f>
        <v>17.83420256331296</v>
      </c>
      <c r="L49" s="3106">
        <f>IF(SUM(L50,L52)=0,"NO",SUM(L50,L52))</f>
        <v>0.38669636438774935</v>
      </c>
    </row>
    <row r="50" spans="2:13" ht="18" customHeight="1" x14ac:dyDescent="0.2">
      <c r="B50" s="926" t="s">
        <v>1690</v>
      </c>
      <c r="C50" s="4361"/>
      <c r="D50" s="4362"/>
      <c r="E50" s="4382" t="s">
        <v>1661</v>
      </c>
      <c r="F50" s="4368">
        <f>F51</f>
        <v>173533.14860543079</v>
      </c>
      <c r="G50" s="4369" t="str">
        <f t="shared" si="2"/>
        <v>NA</v>
      </c>
      <c r="H50" s="4370">
        <f t="shared" si="17"/>
        <v>0.10277115759515949</v>
      </c>
      <c r="I50" s="4371">
        <f t="shared" si="18"/>
        <v>2.2283717404736093E-3</v>
      </c>
      <c r="J50" s="4170" t="str">
        <f>J51</f>
        <v>IE</v>
      </c>
      <c r="K50" s="4170">
        <f>K51</f>
        <v>17.83420256331296</v>
      </c>
      <c r="L50" s="4372">
        <f>L51</f>
        <v>0.38669636438774935</v>
      </c>
      <c r="M50" s="472"/>
    </row>
    <row r="51" spans="2:13" ht="18" customHeight="1" x14ac:dyDescent="0.2">
      <c r="B51" s="926"/>
      <c r="C51" s="2864" t="s">
        <v>1342</v>
      </c>
      <c r="D51" s="4373" t="s">
        <v>1219</v>
      </c>
      <c r="E51" s="4379" t="s">
        <v>1661</v>
      </c>
      <c r="F51" s="4380">
        <v>173533.14860543079</v>
      </c>
      <c r="G51" s="4369" t="str">
        <f t="shared" si="2"/>
        <v>NA</v>
      </c>
      <c r="H51" s="4370">
        <f t="shared" si="17"/>
        <v>0.10277115759515949</v>
      </c>
      <c r="I51" s="4371">
        <f t="shared" si="18"/>
        <v>2.2283717404736093E-3</v>
      </c>
      <c r="J51" s="4376" t="s">
        <v>274</v>
      </c>
      <c r="K51" s="4377">
        <v>17.83420256331296</v>
      </c>
      <c r="L51" s="4381">
        <v>0.38669636438774935</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27900.019677219934</v>
      </c>
      <c r="G59" s="4355" t="str">
        <f t="shared" si="2"/>
        <v>NA</v>
      </c>
      <c r="H59" s="4356">
        <f t="shared" si="3"/>
        <v>0.16788897138607409</v>
      </c>
      <c r="I59" s="4357">
        <f t="shared" si="4"/>
        <v>3.1036141793731203E-3</v>
      </c>
      <c r="J59" s="4358" t="str">
        <f>IF(SUM(J60,J65)=0,"IE",SUM(J60,J65))</f>
        <v>IE</v>
      </c>
      <c r="K59" s="4359">
        <f>IF(SUM(K60,K65)=0,"NO",SUM(K60,K65))</f>
        <v>4.6841056052596812</v>
      </c>
      <c r="L59" s="4360">
        <f>IF(SUM(L60,L65)=0,"NO",SUM(L60,L65))</f>
        <v>8.6590896675008855E-2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27900.019677219934</v>
      </c>
      <c r="G65" s="4365" t="str">
        <f t="shared" si="2"/>
        <v>NA</v>
      </c>
      <c r="H65" s="4366">
        <f t="shared" si="3"/>
        <v>0.16788897138607409</v>
      </c>
      <c r="I65" s="4367">
        <f t="shared" si="4"/>
        <v>3.1036141793731203E-3</v>
      </c>
      <c r="J65" s="4170" t="str">
        <f>IF(SUM(J66,J68)=0,"IE",SUM(J66,J68))</f>
        <v>IE</v>
      </c>
      <c r="K65" s="3057">
        <f>IF(SUM(K66,K68)=0,"NO",SUM(K66,K68))</f>
        <v>4.6841056052596812</v>
      </c>
      <c r="L65" s="3106">
        <f>IF(SUM(L66,L68)=0,"NO",SUM(L66,L68))</f>
        <v>8.6590896675008855E-2</v>
      </c>
    </row>
    <row r="66" spans="2:13" ht="18" customHeight="1" x14ac:dyDescent="0.2">
      <c r="B66" s="926" t="s">
        <v>1700</v>
      </c>
      <c r="C66" s="4361"/>
      <c r="D66" s="4362"/>
      <c r="E66" s="4382" t="s">
        <v>1661</v>
      </c>
      <c r="F66" s="4368">
        <f>F67</f>
        <v>27900.019677219934</v>
      </c>
      <c r="G66" s="4369" t="str">
        <f t="shared" si="2"/>
        <v>NA</v>
      </c>
      <c r="H66" s="4370">
        <f t="shared" si="3"/>
        <v>0.16788897138607409</v>
      </c>
      <c r="I66" s="4371">
        <f t="shared" si="4"/>
        <v>3.1036141793731203E-3</v>
      </c>
      <c r="J66" s="4170" t="str">
        <f>J67</f>
        <v>IE</v>
      </c>
      <c r="K66" s="4170">
        <f>K67</f>
        <v>4.6841056052596812</v>
      </c>
      <c r="L66" s="4372">
        <f>L67</f>
        <v>8.6590896675008855E-2</v>
      </c>
      <c r="M66" s="472"/>
    </row>
    <row r="67" spans="2:13" ht="18" customHeight="1" x14ac:dyDescent="0.2">
      <c r="B67" s="926"/>
      <c r="C67" s="2864" t="s">
        <v>1679</v>
      </c>
      <c r="D67" s="4373" t="s">
        <v>1219</v>
      </c>
      <c r="E67" s="4379" t="s">
        <v>1661</v>
      </c>
      <c r="F67" s="4380">
        <v>27900.019677219934</v>
      </c>
      <c r="G67" s="4369" t="str">
        <f t="shared" si="2"/>
        <v>NA</v>
      </c>
      <c r="H67" s="4370">
        <f t="shared" ref="H67:H68" si="23">IF(SUM($F67)=0,"NA",K67*1000/$F67)</f>
        <v>0.16788897138607409</v>
      </c>
      <c r="I67" s="4371">
        <f t="shared" ref="I67:I68" si="24">IF(SUM($F67)=0,"NA",L67*1000/$F67)</f>
        <v>3.1036141793731203E-3</v>
      </c>
      <c r="J67" s="4376" t="s">
        <v>274</v>
      </c>
      <c r="K67" s="4377">
        <v>4.6841056052596812</v>
      </c>
      <c r="L67" s="4381">
        <v>8.6590896675008855E-2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5487.8265504651463</v>
      </c>
      <c r="D10" s="3463">
        <f>IF(SUM(D11,D16:D17)=0,"NO",SUM(D11,D16:D17))</f>
        <v>-3440.9189302943319</v>
      </c>
      <c r="E10" s="3464"/>
      <c r="F10" s="3465">
        <f>IF(SUM(F11,F16:F17)=0,"NO",SUM(F11,F16:F17))</f>
        <v>2046.9076201708144</v>
      </c>
      <c r="G10" s="3466">
        <f>IF(SUM(G11,G16:G17)=0,"NO",SUM(G11,G16:G17))</f>
        <v>-7505.3279406263191</v>
      </c>
      <c r="H10" s="226"/>
      <c r="I10" s="2"/>
      <c r="J10" s="2"/>
    </row>
    <row r="11" spans="1:10" ht="18" customHeight="1" x14ac:dyDescent="0.2">
      <c r="B11" s="592" t="s">
        <v>1722</v>
      </c>
      <c r="C11" s="3467">
        <f>IF(SUM(C13:C15)=0,"NO",SUM(C13:C15))</f>
        <v>1769.1361575442554</v>
      </c>
      <c r="D11" s="3468">
        <f>IF(SUM(D13:D15)=0,"NO",SUM(D13:D15))</f>
        <v>-681.38664988754158</v>
      </c>
      <c r="E11" s="3469"/>
      <c r="F11" s="3470">
        <f>IF(SUM(F13:F15)=0,"NO",SUM(F13:F15))</f>
        <v>1087.7495076567138</v>
      </c>
      <c r="G11" s="3471">
        <f>IF(SUM(G13:G15)=0,"NO",SUM(G13:G15))</f>
        <v>-3988.4148614079504</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1266.9563970724621</v>
      </c>
      <c r="D13" s="3476">
        <f>F13-C13</f>
        <v>-417.16925948491462</v>
      </c>
      <c r="E13" s="3477" t="s">
        <v>205</v>
      </c>
      <c r="F13" s="3478">
        <f>G13/(-44/12)</f>
        <v>849.78713758754748</v>
      </c>
      <c r="G13" s="3479">
        <v>-3115.8861711543404</v>
      </c>
      <c r="H13" s="226"/>
      <c r="I13" s="2"/>
      <c r="J13" s="2"/>
    </row>
    <row r="14" spans="1:10" ht="18" customHeight="1" x14ac:dyDescent="0.2">
      <c r="B14" s="1192" t="s">
        <v>1724</v>
      </c>
      <c r="C14" s="3480">
        <v>502.17976047179337</v>
      </c>
      <c r="D14" s="3481">
        <f>F14-C14</f>
        <v>-264.21739040262702</v>
      </c>
      <c r="E14" s="3202" t="s">
        <v>205</v>
      </c>
      <c r="F14" s="3482">
        <f>G14/(-44/12)</f>
        <v>237.96237006916635</v>
      </c>
      <c r="G14" s="3479">
        <v>-872.52869025360997</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2259.2876951912644</v>
      </c>
      <c r="D16" s="3481">
        <f>F16-C16</f>
        <v>-2206.028800735482</v>
      </c>
      <c r="E16" s="3202" t="s">
        <v>205</v>
      </c>
      <c r="F16" s="3482">
        <f>G16/(-44/12)</f>
        <v>53.258894455782411</v>
      </c>
      <c r="G16" s="3479">
        <v>-195.28261300453551</v>
      </c>
      <c r="H16" s="226"/>
      <c r="I16" s="2"/>
      <c r="J16" s="2"/>
    </row>
    <row r="17" spans="2:10" ht="18" customHeight="1" x14ac:dyDescent="0.2">
      <c r="B17" s="1196" t="s">
        <v>1727</v>
      </c>
      <c r="C17" s="3484">
        <f>C18</f>
        <v>1459.4026977296267</v>
      </c>
      <c r="D17" s="3485">
        <f t="shared" ref="D17:F17" si="0">D18</f>
        <v>-553.50347967130847</v>
      </c>
      <c r="E17" s="3486"/>
      <c r="F17" s="3193">
        <f t="shared" si="0"/>
        <v>905.89921805831818</v>
      </c>
      <c r="G17" s="3479">
        <f>-F17*44/12</f>
        <v>-3321.6304662138332</v>
      </c>
      <c r="H17" s="226"/>
      <c r="I17" s="2"/>
      <c r="J17" s="2"/>
    </row>
    <row r="18" spans="2:10" ht="18" customHeight="1" thickBot="1" x14ac:dyDescent="0.25">
      <c r="B18" s="547" t="s">
        <v>1728</v>
      </c>
      <c r="C18" s="3487">
        <v>1459.4026977296267</v>
      </c>
      <c r="D18" s="3488">
        <f>F18-C18</f>
        <v>-553.50347967130847</v>
      </c>
      <c r="E18" s="3205" t="s">
        <v>205</v>
      </c>
      <c r="F18" s="3489">
        <f>G18/(-44/12)</f>
        <v>905.89921805831818</v>
      </c>
      <c r="G18" s="3490">
        <v>-3321.6304662138332</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29.308601056242154</v>
      </c>
      <c r="D10" s="1882">
        <f t="shared" ref="D10:I10" si="0">IF(SUM(D11,D15,D18,D21)=0,"NO",SUM(D11,D15,D18,D21))</f>
        <v>542.15251246277239</v>
      </c>
      <c r="E10" s="1882">
        <f t="shared" si="0"/>
        <v>0.94487305994812654</v>
      </c>
      <c r="F10" s="1882" t="str">
        <f t="shared" si="0"/>
        <v>NO</v>
      </c>
      <c r="G10" s="1882" t="str">
        <f t="shared" si="0"/>
        <v>NO</v>
      </c>
      <c r="H10" s="1882">
        <f t="shared" si="0"/>
        <v>257.86805805531901</v>
      </c>
      <c r="I10" s="1883" t="str">
        <f t="shared" si="0"/>
        <v>NO</v>
      </c>
      <c r="J10" s="4487">
        <f>IF(SUM(C10:E10)=0,"NO",SUM(C10,IFERROR(28*D10,0),IFERROR(265*E10,0)))</f>
        <v>15459.970310900122</v>
      </c>
    </row>
    <row r="11" spans="1:10" ht="18" customHeight="1" x14ac:dyDescent="0.2">
      <c r="B11" s="1503" t="s">
        <v>1800</v>
      </c>
      <c r="C11" s="2893"/>
      <c r="D11" s="2894">
        <f>IF(SUM(D12:D14)=0,"NO",SUM(D12:D14))</f>
        <v>426.46748262818676</v>
      </c>
      <c r="E11" s="2893"/>
      <c r="F11" s="1886" t="str">
        <f>IF(SUM(F12:F14)=0,"NO",SUM(F12:F14))</f>
        <v>NO</v>
      </c>
      <c r="G11" s="1886" t="str">
        <f t="shared" ref="G11:H11" si="1">IF(SUM(G12:G14)=0,"NO",SUM(G12:G14))</f>
        <v>NO</v>
      </c>
      <c r="H11" s="1886">
        <f t="shared" si="1"/>
        <v>2.8820777005697185</v>
      </c>
      <c r="I11" s="2994"/>
      <c r="J11" s="1886">
        <f t="shared" ref="J11:J18" si="2">IF(SUM(C11:E11)=0,"NO",SUM(C11,IFERROR(28*D11,0),IFERROR(265*E11,0)))</f>
        <v>11941.08951358923</v>
      </c>
    </row>
    <row r="12" spans="1:10" ht="18" customHeight="1" x14ac:dyDescent="0.2">
      <c r="B12" s="1269" t="s">
        <v>1801</v>
      </c>
      <c r="C12" s="1885"/>
      <c r="D12" s="1884">
        <f>IF(SUM(Table5.A!F10:H10)=0,"NO",SUM(Table5.A!F10))</f>
        <v>426.46748262818676</v>
      </c>
      <c r="E12" s="1885"/>
      <c r="F12" s="2916" t="s">
        <v>205</v>
      </c>
      <c r="G12" s="2916" t="s">
        <v>205</v>
      </c>
      <c r="H12" s="2916">
        <v>2.8820777005697185</v>
      </c>
      <c r="I12" s="2940"/>
      <c r="J12" s="1887">
        <f t="shared" si="2"/>
        <v>11941.08951358923</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2.5227352500000002</v>
      </c>
      <c r="E15" s="2892">
        <f t="shared" ref="E15" si="3">IF(SUM(E16:E17)=0,"NO",SUM(E16:E17))</f>
        <v>0.32291011199999997</v>
      </c>
      <c r="F15" s="2892" t="s">
        <v>1805</v>
      </c>
      <c r="G15" s="2892" t="s">
        <v>1805</v>
      </c>
      <c r="H15" s="2892" t="s">
        <v>1805</v>
      </c>
      <c r="I15" s="2997"/>
      <c r="J15" s="2884">
        <f t="shared" si="2"/>
        <v>156.20776667999999</v>
      </c>
    </row>
    <row r="16" spans="1:10" ht="18" customHeight="1" x14ac:dyDescent="0.2">
      <c r="B16" s="1891" t="s">
        <v>1806</v>
      </c>
      <c r="C16" s="2998"/>
      <c r="D16" s="1884">
        <f>Table5.B!F10</f>
        <v>2.5227352500000002</v>
      </c>
      <c r="E16" s="1884">
        <f>Table5.B!G10</f>
        <v>0.32291011199999997</v>
      </c>
      <c r="F16" s="699" t="s">
        <v>205</v>
      </c>
      <c r="G16" s="699" t="s">
        <v>205</v>
      </c>
      <c r="H16" s="699" t="s">
        <v>205</v>
      </c>
      <c r="I16" s="2940"/>
      <c r="J16" s="1887">
        <f t="shared" si="2"/>
        <v>156.20776667999999</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29.308601056242154</v>
      </c>
      <c r="D18" s="2883" t="str">
        <f>IF(SUM(D19:D20)=0,"NO,NE",SUM(D19:D20))</f>
        <v>NO,NE</v>
      </c>
      <c r="E18" s="2883" t="str">
        <f>IF(SUM(E19:E20)=0,"NO,NE",SUM(E19:E20))</f>
        <v>NO,NE</v>
      </c>
      <c r="F18" s="2883" t="s">
        <v>205</v>
      </c>
      <c r="G18" s="2883" t="s">
        <v>205</v>
      </c>
      <c r="H18" s="2883" t="s">
        <v>205</v>
      </c>
      <c r="I18" s="2883" t="s">
        <v>205</v>
      </c>
      <c r="J18" s="2885">
        <f t="shared" si="2"/>
        <v>29.308601056242154</v>
      </c>
    </row>
    <row r="19" spans="2:12" ht="18" customHeight="1" x14ac:dyDescent="0.2">
      <c r="B19" s="1269" t="s">
        <v>1809</v>
      </c>
      <c r="C19" s="1884">
        <f>Table5.C!G10</f>
        <v>29.308601056242154</v>
      </c>
      <c r="D19" s="1884" t="str">
        <f>Table5.C!H10</f>
        <v>NO,NE</v>
      </c>
      <c r="E19" s="1884" t="str">
        <f>Table5.C!I10</f>
        <v>NO,NE</v>
      </c>
      <c r="F19" s="700" t="s">
        <v>205</v>
      </c>
      <c r="G19" s="700" t="s">
        <v>205</v>
      </c>
      <c r="H19" s="700" t="s">
        <v>205</v>
      </c>
      <c r="I19" s="700" t="s">
        <v>205</v>
      </c>
      <c r="J19" s="1887">
        <f>IF(SUM(C19:E19)=0,"NO",SUM(C19,IFERROR(28*D19,0),IFERROR(265*E19,0)))</f>
        <v>29.308601056242154</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113.16229458458568</v>
      </c>
      <c r="E21" s="2883">
        <f t="shared" ref="E21:H21" si="5">IF(SUM(E22:E24)=0,"NO",SUM(E22:E24))</f>
        <v>0.62196294794812657</v>
      </c>
      <c r="F21" s="2883" t="str">
        <f t="shared" si="5"/>
        <v>NO</v>
      </c>
      <c r="G21" s="2883" t="str">
        <f t="shared" si="5"/>
        <v>NO</v>
      </c>
      <c r="H21" s="2883">
        <f t="shared" si="5"/>
        <v>254.98598035474927</v>
      </c>
      <c r="I21" s="3000"/>
      <c r="J21" s="2885">
        <f t="shared" si="4"/>
        <v>3333.3644295746526</v>
      </c>
    </row>
    <row r="22" spans="2:12" ht="18" customHeight="1" x14ac:dyDescent="0.2">
      <c r="B22" s="1269" t="s">
        <v>1812</v>
      </c>
      <c r="C22" s="1894"/>
      <c r="D22" s="1884">
        <f>IF(SUM(Table5.D!H10)=0,"NO",SUM(Table5.D!H10))</f>
        <v>58.797586242088734</v>
      </c>
      <c r="E22" s="1884">
        <f>IF(SUM(Table5.D!I10:J10)=0,"NO",SUM(Table5.D!I10:J10))</f>
        <v>0.62196294794812657</v>
      </c>
      <c r="F22" s="2916" t="s">
        <v>205</v>
      </c>
      <c r="G22" s="2916" t="s">
        <v>205</v>
      </c>
      <c r="H22" s="2916">
        <v>6.7325757034428166</v>
      </c>
      <c r="I22" s="2940"/>
      <c r="J22" s="1887">
        <f t="shared" si="4"/>
        <v>1811.1525959847381</v>
      </c>
    </row>
    <row r="23" spans="2:12" ht="18" customHeight="1" x14ac:dyDescent="0.2">
      <c r="B23" s="1269" t="s">
        <v>1813</v>
      </c>
      <c r="C23" s="1894"/>
      <c r="D23" s="1884">
        <f>IF(SUM(Table5.D!H11)=0,"NO",SUM(Table5.D!H11))</f>
        <v>54.364708342496947</v>
      </c>
      <c r="E23" s="1884" t="str">
        <f>IF(SUM(Table5.D!I11:J11)=0,"IE",SUM(Table5.D!I11:J11))</f>
        <v>IE</v>
      </c>
      <c r="F23" s="2916" t="s">
        <v>205</v>
      </c>
      <c r="G23" s="2916" t="s">
        <v>205</v>
      </c>
      <c r="H23" s="2916">
        <v>248.25340465130645</v>
      </c>
      <c r="I23" s="2940"/>
      <c r="J23" s="1887">
        <f t="shared" si="4"/>
        <v>1522.2118335899145</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258915.41439428658</v>
      </c>
      <c r="D28" s="1903"/>
      <c r="E28" s="1903"/>
      <c r="F28" s="1903"/>
      <c r="G28" s="1903"/>
      <c r="H28" s="1903"/>
      <c r="I28" s="1904"/>
      <c r="J28" s="1907"/>
      <c r="K28"/>
      <c r="L28"/>
    </row>
    <row r="29" spans="2:12" ht="18" customHeight="1" x14ac:dyDescent="0.2">
      <c r="B29" s="4215" t="s">
        <v>1819</v>
      </c>
      <c r="C29" s="1905">
        <v>5806.1132501399043</v>
      </c>
      <c r="D29" s="1906"/>
      <c r="E29" s="1906"/>
      <c r="F29" s="1906"/>
      <c r="G29" s="1906"/>
      <c r="H29" s="1906"/>
      <c r="I29" s="1907"/>
      <c r="J29" s="1907"/>
      <c r="K29"/>
      <c r="L29"/>
    </row>
    <row r="30" spans="2:12" ht="18" customHeight="1" thickBot="1" x14ac:dyDescent="0.25">
      <c r="B30" s="4216" t="s">
        <v>1820</v>
      </c>
      <c r="C30" s="1899">
        <v>3998.1358930605661</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9" sqref="J9"/>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20547.886947051709</v>
      </c>
      <c r="D10" s="3678"/>
      <c r="E10" s="4121">
        <f>IF(SUM(C10)=0,"NA",(F10-SUM(G10:H10))/C10)</f>
        <v>3.1558840298234726E-2</v>
      </c>
      <c r="F10" s="3679">
        <f>F11</f>
        <v>426.46748262818676</v>
      </c>
      <c r="G10" s="3679" t="str">
        <f>G11</f>
        <v>IE</v>
      </c>
      <c r="H10" s="3680">
        <f>H11</f>
        <v>-222</v>
      </c>
      <c r="I10" s="44"/>
    </row>
    <row r="11" spans="1:13" ht="18" customHeight="1" x14ac:dyDescent="0.2">
      <c r="B11" s="1753" t="s">
        <v>1834</v>
      </c>
      <c r="C11" s="3681">
        <f>IF(SUM(C13:C16)=0,"NO",SUM(C13:C16))</f>
        <v>20547.886947051709</v>
      </c>
      <c r="D11" s="3681">
        <v>1</v>
      </c>
      <c r="E11" s="4121">
        <f>IF(SUM(C11)=0,"NA",(F11-SUM(G11:H11))/C11)</f>
        <v>3.1558840298234726E-2</v>
      </c>
      <c r="F11" s="4227">
        <f>IF(SUM(F13:F16)=0,"NO",SUM(F13:F16))</f>
        <v>426.46748262818676</v>
      </c>
      <c r="G11" s="3682" t="s">
        <v>274</v>
      </c>
      <c r="H11" s="3683">
        <v>-222</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11970.580813001314</v>
      </c>
      <c r="D13" s="3688">
        <v>1</v>
      </c>
      <c r="E13" s="4218" t="s">
        <v>274</v>
      </c>
      <c r="F13" s="3688">
        <v>15.802218526199816</v>
      </c>
      <c r="G13" s="3689"/>
      <c r="H13" s="3690"/>
      <c r="I13" s="44"/>
    </row>
    <row r="14" spans="1:13" ht="18" customHeight="1" x14ac:dyDescent="0.2">
      <c r="B14" s="1754" t="s">
        <v>1837</v>
      </c>
      <c r="C14" s="3688">
        <v>3258.1576605133023</v>
      </c>
      <c r="D14" s="3688">
        <v>1</v>
      </c>
      <c r="E14" s="3681" t="s">
        <v>274</v>
      </c>
      <c r="F14" s="3688">
        <v>185.15552673485413</v>
      </c>
      <c r="G14" s="3689"/>
      <c r="H14" s="3690"/>
      <c r="I14" s="44"/>
    </row>
    <row r="15" spans="1:13" ht="18" customHeight="1" x14ac:dyDescent="0.2">
      <c r="B15" s="1754" t="s">
        <v>1838</v>
      </c>
      <c r="C15" s="3688">
        <v>5319.1484735370941</v>
      </c>
      <c r="D15" s="3688">
        <v>1</v>
      </c>
      <c r="E15" s="4121" t="s">
        <v>274</v>
      </c>
      <c r="F15" s="3688">
        <v>225.5097373671328</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3363.6469999999999</v>
      </c>
      <c r="D10" s="1938">
        <f>IF(SUM($C10)=0,"NA",F10*1000/$C10)</f>
        <v>0.75000000000000011</v>
      </c>
      <c r="E10" s="1938">
        <f>IF(SUM($C10)=0,"NA",G10*1000/$C10)</f>
        <v>9.5999999999999988E-2</v>
      </c>
      <c r="F10" s="1934">
        <f>IF(SUM(F11:F12)=0,"NO",SUM(F11:F12))</f>
        <v>2.5227352500000002</v>
      </c>
      <c r="G10" s="1934">
        <f>IF(SUM(G11:G12)=0,"NO",SUM(G11:G12))</f>
        <v>0.32291011199999997</v>
      </c>
      <c r="H10" s="1935"/>
      <c r="I10" s="1936"/>
    </row>
    <row r="11" spans="1:9" ht="18" customHeight="1" x14ac:dyDescent="0.2">
      <c r="B11" s="1525" t="s">
        <v>1851</v>
      </c>
      <c r="C11" s="1937">
        <v>3363.6469999999999</v>
      </c>
      <c r="D11" s="1938">
        <f>IF(SUM($C11)=0,"NA",F11*1000/$C11)</f>
        <v>0.75000000000000011</v>
      </c>
      <c r="E11" s="1938">
        <f>IF(SUM($C11)=0,"NA",G11*1000/$C11)</f>
        <v>9.5999999999999988E-2</v>
      </c>
      <c r="F11" s="1937">
        <v>2.5227352500000002</v>
      </c>
      <c r="G11" s="1937">
        <v>0.32291011199999997</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19.353641817184709</v>
      </c>
      <c r="D10" s="2898">
        <f t="shared" ref="D10:D20" si="0">IF(SUM(G10)=0,"NA",G10*1000/$C10)</f>
        <v>1514.3713691248602</v>
      </c>
      <c r="E10" s="2898" t="str">
        <f t="shared" ref="E10:E20" si="1">IF(SUM(H10)=0,"NA",H10*1000/$C10)</f>
        <v>NA</v>
      </c>
      <c r="F10" s="2898" t="str">
        <f t="shared" ref="F10:F20" si="2">IF(SUM(I10)=0,"NA",I10*1000/$C10)</f>
        <v>NA</v>
      </c>
      <c r="G10" s="2898">
        <f>IF(SUM(G11,G21)=0,"NO",SUM(G11,G21))</f>
        <v>29.308601056242154</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19.353641817184709</v>
      </c>
      <c r="D21" s="116">
        <f>IF(SUM(G21)=0,"NA",G21*1000/$C21)</f>
        <v>1514.3713691248602</v>
      </c>
      <c r="E21" s="116" t="str">
        <f t="shared" ref="E21:F21" si="3">IF(SUM(H21)=0,"NA",H21*1000/$C21)</f>
        <v>NA</v>
      </c>
      <c r="F21" s="116" t="str">
        <f t="shared" si="3"/>
        <v>NA</v>
      </c>
      <c r="G21" s="2900">
        <f>IF(SUM(G22:G23)=0,"NO",SUM(G22:G23))</f>
        <v>29.308601056242154</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19.353641817184709</v>
      </c>
      <c r="D23" s="116">
        <f t="shared" si="4"/>
        <v>1514.3713691248602</v>
      </c>
      <c r="E23" s="151" t="str">
        <f t="shared" si="5"/>
        <v>NA</v>
      </c>
      <c r="F23" s="151" t="str">
        <f t="shared" si="6"/>
        <v>NA</v>
      </c>
      <c r="G23" s="151">
        <f>IF(SUM(G25:G30)=0,"NO",SUM(G25:G30))</f>
        <v>29.308601056242154</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13.73932123134256</v>
      </c>
      <c r="D27" s="116">
        <f t="shared" si="4"/>
        <v>880.00000000000011</v>
      </c>
      <c r="E27" s="116" t="str">
        <f t="shared" si="5"/>
        <v>NA</v>
      </c>
      <c r="F27" s="116" t="str">
        <f t="shared" si="6"/>
        <v>NA</v>
      </c>
      <c r="G27" s="2908">
        <v>12.090602683581453</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I10" sqref="I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20452.495999999999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35.43425870063507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2387.4454245015531</v>
      </c>
      <c r="D10" s="3399">
        <v>1833.454848660635</v>
      </c>
      <c r="E10" s="3399">
        <v>117.35491982248202</v>
      </c>
      <c r="F10" s="3400">
        <f>(SUM(H10)-SUM(K10:L10))/C10</f>
        <v>4.6058210847911091E-2</v>
      </c>
      <c r="G10" s="3400">
        <f>SUM(I10:J10)/E10/(44/28)</f>
        <v>3.3726289774507891E-3</v>
      </c>
      <c r="H10" s="3398">
        <v>58.797586242088734</v>
      </c>
      <c r="I10" s="3190">
        <v>0.62196294794812657</v>
      </c>
      <c r="J10" s="3190" t="s">
        <v>274</v>
      </c>
      <c r="K10" s="3401" t="s">
        <v>274</v>
      </c>
      <c r="L10" s="2921">
        <v>-51.163878507484412</v>
      </c>
      <c r="M10"/>
      <c r="N10" s="1773" t="s">
        <v>1910</v>
      </c>
      <c r="O10" s="3403">
        <v>1</v>
      </c>
    </row>
    <row r="11" spans="1:15" ht="18" customHeight="1" x14ac:dyDescent="0.2">
      <c r="A11"/>
      <c r="B11" s="1752" t="s">
        <v>1813</v>
      </c>
      <c r="C11" s="3399">
        <v>827.51134883768805</v>
      </c>
      <c r="D11" s="3399">
        <v>122.56361281748241</v>
      </c>
      <c r="E11" s="699" t="s">
        <v>274</v>
      </c>
      <c r="F11" s="3134">
        <f>(SUM(H11)-SUM(K11:L11))/C11</f>
        <v>6.8730179534359989E-2</v>
      </c>
      <c r="G11" s="3134" t="s">
        <v>205</v>
      </c>
      <c r="H11" s="699">
        <v>54.364708342496947</v>
      </c>
      <c r="I11" s="699" t="s">
        <v>274</v>
      </c>
      <c r="J11" s="699" t="s">
        <v>274</v>
      </c>
      <c r="K11" s="3125" t="s">
        <v>274</v>
      </c>
      <c r="L11" s="2921">
        <v>-2.510295229837753</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473020.25967650407</v>
      </c>
      <c r="D10" s="3798">
        <f t="shared" si="0"/>
        <v>5195.5457249247056</v>
      </c>
      <c r="E10" s="3798">
        <f t="shared" si="0"/>
        <v>81.170884323939873</v>
      </c>
      <c r="F10" s="3798">
        <f t="shared" si="0"/>
        <v>4108.7147366727786</v>
      </c>
      <c r="G10" s="3798">
        <f t="shared" si="0"/>
        <v>617.93925336459722</v>
      </c>
      <c r="H10" s="3798" t="str">
        <f>IF(SUM(H11,H22,H31,H42,H51)=0,"NO",SUM(H11,H22,H31,H42,H51))</f>
        <v>NO</v>
      </c>
      <c r="I10" s="3798">
        <f t="shared" ref="I10:N10" si="1">IF(SUM(I11,I22,I31,I42,I51)=0,"NO",SUM(I11,I22,I31,I42,I51))</f>
        <v>8.1609069599868894E-3</v>
      </c>
      <c r="J10" s="3826" t="str">
        <f t="shared" si="1"/>
        <v>NO</v>
      </c>
      <c r="K10" s="3798">
        <f t="shared" si="1"/>
        <v>3181.369812762855</v>
      </c>
      <c r="L10" s="3798">
        <f t="shared" si="1"/>
        <v>29878.889973054542</v>
      </c>
      <c r="M10" s="3798">
        <f t="shared" si="1"/>
        <v>2022.8435419760499</v>
      </c>
      <c r="N10" s="3799">
        <f t="shared" si="1"/>
        <v>2482.4876481654583</v>
      </c>
      <c r="O10" s="3800">
        <f>IF(SUM(C10:J10)=0,"NO",SUM(C10,F10:H10)+28*SUM(D10)+265*SUM(E10)+23500*SUM(I10)+16100*SUM(J10))</f>
        <v>644924.25962383696</v>
      </c>
    </row>
    <row r="11" spans="1:15" ht="18" customHeight="1" x14ac:dyDescent="0.25">
      <c r="B11" s="1116" t="s">
        <v>1921</v>
      </c>
      <c r="C11" s="2572">
        <f>Table1!C10</f>
        <v>367255.89690506988</v>
      </c>
      <c r="D11" s="3766">
        <f>Table1!D10</f>
        <v>1391.6572113588334</v>
      </c>
      <c r="E11" s="3766">
        <f>Table1!E10</f>
        <v>12.602072855927196</v>
      </c>
      <c r="F11" s="1553"/>
      <c r="G11" s="1553"/>
      <c r="H11" s="3714"/>
      <c r="I11" s="1553"/>
      <c r="J11" s="98"/>
      <c r="K11" s="3766">
        <f>Table1!F10</f>
        <v>2138.0752347124071</v>
      </c>
      <c r="L11" s="3713">
        <f>Table1!G10</f>
        <v>3483.2039315229672</v>
      </c>
      <c r="M11" s="3713">
        <f>Table1!H10</f>
        <v>718.39943684459274</v>
      </c>
      <c r="N11" s="960">
        <f>Table1!I10</f>
        <v>786.68068136979321</v>
      </c>
      <c r="O11" s="3715">
        <f t="shared" ref="O11:O58" si="2">IF(SUM(C11:J11)=0,"NO",SUM(C11,F11:H11)+28*SUM(D11)+265*SUM(E11)+23500*SUM(I11)+16100*SUM(J11))</f>
        <v>409561.84812993795</v>
      </c>
    </row>
    <row r="12" spans="1:15" ht="18" customHeight="1" x14ac:dyDescent="0.25">
      <c r="B12" s="1369" t="s">
        <v>1922</v>
      </c>
      <c r="C12" s="3794">
        <f>Table1!C11</f>
        <v>360209.50711034512</v>
      </c>
      <c r="D12" s="617">
        <f>Table1!D11</f>
        <v>85.401700769998442</v>
      </c>
      <c r="E12" s="617">
        <f>Table1!E11</f>
        <v>12.520905762294518</v>
      </c>
      <c r="F12" s="69"/>
      <c r="G12" s="69"/>
      <c r="H12" s="69"/>
      <c r="I12" s="69"/>
      <c r="J12" s="69"/>
      <c r="K12" s="617">
        <f>Table1!F11</f>
        <v>2135.5646607404187</v>
      </c>
      <c r="L12" s="617">
        <f>Table1!G11</f>
        <v>3468.6442024854341</v>
      </c>
      <c r="M12" s="617">
        <f>Table1!H11</f>
        <v>515.52809230195373</v>
      </c>
      <c r="N12" s="619">
        <f>Table1!I11</f>
        <v>786.68068136979321</v>
      </c>
      <c r="O12" s="3716">
        <f t="shared" si="2"/>
        <v>365918.79475891311</v>
      </c>
    </row>
    <row r="13" spans="1:15" ht="18" customHeight="1" x14ac:dyDescent="0.25">
      <c r="B13" s="1370" t="s">
        <v>1923</v>
      </c>
      <c r="C13" s="3794">
        <f>Table1!C12</f>
        <v>219705.33865122739</v>
      </c>
      <c r="D13" s="617">
        <f>Table1!D12</f>
        <v>12.694811733811814</v>
      </c>
      <c r="E13" s="617">
        <f>Table1!E12</f>
        <v>3.645083868973102</v>
      </c>
      <c r="F13" s="69"/>
      <c r="G13" s="69"/>
      <c r="H13" s="69"/>
      <c r="I13" s="69"/>
      <c r="J13" s="69"/>
      <c r="K13" s="617">
        <f>Table1!F12</f>
        <v>913.9187146702086</v>
      </c>
      <c r="L13" s="617">
        <f>Table1!G12</f>
        <v>171.09080987577903</v>
      </c>
      <c r="M13" s="617">
        <f>Table1!H12</f>
        <v>39.685506325829856</v>
      </c>
      <c r="N13" s="619">
        <f>Table1!I12</f>
        <v>652.51231076667</v>
      </c>
      <c r="O13" s="3717">
        <f t="shared" si="2"/>
        <v>221026.74060505198</v>
      </c>
    </row>
    <row r="14" spans="1:15" ht="18" customHeight="1" x14ac:dyDescent="0.25">
      <c r="B14" s="1370" t="s">
        <v>1924</v>
      </c>
      <c r="C14" s="3794">
        <f>Table1!C16</f>
        <v>40191.294818873052</v>
      </c>
      <c r="D14" s="3718">
        <f>Table1!D16</f>
        <v>2.3473627845463243</v>
      </c>
      <c r="E14" s="3718">
        <f>Table1!E16</f>
        <v>1.3342298221966118</v>
      </c>
      <c r="F14" s="3719"/>
      <c r="G14" s="3719"/>
      <c r="H14" s="3719"/>
      <c r="I14" s="3719"/>
      <c r="J14" s="69"/>
      <c r="K14" s="3718">
        <f>Table1!F16</f>
        <v>530.14131779061631</v>
      </c>
      <c r="L14" s="3718">
        <f>Table1!G16</f>
        <v>170.00622083640209</v>
      </c>
      <c r="M14" s="3718">
        <f>Table1!H16</f>
        <v>68.039810632417499</v>
      </c>
      <c r="N14" s="3720">
        <f>Table1!I16</f>
        <v>99.305534481643591</v>
      </c>
      <c r="O14" s="3721">
        <f t="shared" si="2"/>
        <v>40610.591879722451</v>
      </c>
    </row>
    <row r="15" spans="1:15" ht="18" customHeight="1" x14ac:dyDescent="0.25">
      <c r="B15" s="1370" t="s">
        <v>1925</v>
      </c>
      <c r="C15" s="3794">
        <f>Table1!C24</f>
        <v>80852.979449696941</v>
      </c>
      <c r="D15" s="617">
        <f>Table1!D24</f>
        <v>21.250291872052063</v>
      </c>
      <c r="E15" s="617">
        <f>Table1!E24</f>
        <v>6.8611210641272757</v>
      </c>
      <c r="F15" s="69"/>
      <c r="G15" s="69"/>
      <c r="H15" s="69"/>
      <c r="I15" s="69"/>
      <c r="J15" s="69"/>
      <c r="K15" s="617">
        <f>Table1!F24</f>
        <v>328.61000146856833</v>
      </c>
      <c r="L15" s="617">
        <f>Table1!G24</f>
        <v>2340.3290352123486</v>
      </c>
      <c r="M15" s="617">
        <f>Table1!H24</f>
        <v>280.99451368768229</v>
      </c>
      <c r="N15" s="619">
        <f>Table1!I24</f>
        <v>26.988948170057611</v>
      </c>
      <c r="O15" s="3717">
        <f t="shared" si="2"/>
        <v>83266.18470410812</v>
      </c>
    </row>
    <row r="16" spans="1:15" ht="18" customHeight="1" x14ac:dyDescent="0.25">
      <c r="B16" s="1370" t="s">
        <v>1926</v>
      </c>
      <c r="C16" s="3794">
        <f>Table1!C30</f>
        <v>18814.077822321706</v>
      </c>
      <c r="D16" s="617">
        <f>Table1!D30</f>
        <v>49.087281170128982</v>
      </c>
      <c r="E16" s="617">
        <f>Table1!E30</f>
        <v>0.66256697571037104</v>
      </c>
      <c r="F16" s="69"/>
      <c r="G16" s="69"/>
      <c r="H16" s="69"/>
      <c r="I16" s="69"/>
      <c r="J16" s="69"/>
      <c r="K16" s="617">
        <f>Table1!F30</f>
        <v>358.33675697436524</v>
      </c>
      <c r="L16" s="617">
        <f>Table1!G30</f>
        <v>782.82045830483264</v>
      </c>
      <c r="M16" s="617">
        <f>Table1!H30</f>
        <v>126.35719127012314</v>
      </c>
      <c r="N16" s="619">
        <f>Table1!I30</f>
        <v>7.6939125698418476</v>
      </c>
      <c r="O16" s="3717">
        <f t="shared" si="2"/>
        <v>20364.101943648566</v>
      </c>
    </row>
    <row r="17" spans="2:15" ht="18" customHeight="1" x14ac:dyDescent="0.25">
      <c r="B17" s="1370" t="s">
        <v>1927</v>
      </c>
      <c r="C17" s="3794">
        <f>Table1!C34</f>
        <v>645.81636822602309</v>
      </c>
      <c r="D17" s="617">
        <f>Table1!D34</f>
        <v>2.195320945925101E-2</v>
      </c>
      <c r="E17" s="617">
        <f>Table1!E34</f>
        <v>1.790403128715834E-2</v>
      </c>
      <c r="F17" s="69"/>
      <c r="G17" s="69"/>
      <c r="H17" s="69"/>
      <c r="I17" s="69"/>
      <c r="J17" s="69"/>
      <c r="K17" s="617">
        <f>Table1!F34</f>
        <v>4.5578698366602035</v>
      </c>
      <c r="L17" s="617">
        <f>Table1!G34</f>
        <v>4.3976782560718481</v>
      </c>
      <c r="M17" s="617">
        <f>Table1!H34</f>
        <v>0.45107038590098236</v>
      </c>
      <c r="N17" s="619">
        <f>Table1!I34</f>
        <v>0.17997538158021345</v>
      </c>
      <c r="O17" s="3717">
        <f t="shared" si="2"/>
        <v>651.17562638197899</v>
      </c>
    </row>
    <row r="18" spans="2:15" ht="18" customHeight="1" x14ac:dyDescent="0.25">
      <c r="B18" s="1369" t="s">
        <v>201</v>
      </c>
      <c r="C18" s="3711">
        <f>Table1!C37</f>
        <v>7046.3897947247669</v>
      </c>
      <c r="D18" s="3795">
        <f>Table1!D37</f>
        <v>1306.255510588835</v>
      </c>
      <c r="E18" s="3795">
        <f>Table1!E37</f>
        <v>8.1167093632677129E-2</v>
      </c>
      <c r="F18" s="69"/>
      <c r="G18" s="69"/>
      <c r="H18" s="69"/>
      <c r="I18" s="69"/>
      <c r="J18" s="69"/>
      <c r="K18" s="3795">
        <f>Table1!F37</f>
        <v>2.5105739719884332</v>
      </c>
      <c r="L18" s="617">
        <f>Table1!G37</f>
        <v>14.559729037532914</v>
      </c>
      <c r="M18" s="617">
        <f>Table1!H37</f>
        <v>202.87134454263898</v>
      </c>
      <c r="N18" s="619" t="str">
        <f>Table1!I37</f>
        <v>NO</v>
      </c>
      <c r="O18" s="3717">
        <f t="shared" si="2"/>
        <v>43643.053371024806</v>
      </c>
    </row>
    <row r="19" spans="2:15" ht="18" customHeight="1" x14ac:dyDescent="0.25">
      <c r="B19" s="1370" t="s">
        <v>1928</v>
      </c>
      <c r="C19" s="3712">
        <f>Table1!C38</f>
        <v>1212.9142005812867</v>
      </c>
      <c r="D19" s="3722">
        <f>Table1!D38</f>
        <v>1100.0892930957061</v>
      </c>
      <c r="E19" s="3795">
        <f>Table1!E38</f>
        <v>1.2579774697436016E-4</v>
      </c>
      <c r="F19" s="69"/>
      <c r="G19" s="69"/>
      <c r="H19" s="69"/>
      <c r="I19" s="69"/>
      <c r="J19" s="69"/>
      <c r="K19" s="3795" t="str">
        <f>Table1!F38</f>
        <v>NO</v>
      </c>
      <c r="L19" s="617" t="str">
        <f>Table1!G38</f>
        <v>NO</v>
      </c>
      <c r="M19" s="617" t="str">
        <f>Table1!H38</f>
        <v>NO</v>
      </c>
      <c r="N19" s="619" t="str">
        <f>Table1!I38</f>
        <v>NO</v>
      </c>
      <c r="O19" s="3717">
        <f t="shared" si="2"/>
        <v>32015.447743664005</v>
      </c>
    </row>
    <row r="20" spans="2:15" ht="18" customHeight="1" x14ac:dyDescent="0.25">
      <c r="B20" s="1371" t="s">
        <v>1929</v>
      </c>
      <c r="C20" s="3712">
        <f>Table1!C42</f>
        <v>5833.4755941434805</v>
      </c>
      <c r="D20" s="3796">
        <f>Table1!D42</f>
        <v>206.16621749312901</v>
      </c>
      <c r="E20" s="3795">
        <f>Table1!E42</f>
        <v>8.1041295885702774E-2</v>
      </c>
      <c r="F20" s="3719"/>
      <c r="G20" s="3719"/>
      <c r="H20" s="3719"/>
      <c r="I20" s="3719"/>
      <c r="J20" s="69"/>
      <c r="K20" s="3795">
        <f>Table1!F42</f>
        <v>2.5105739719884332</v>
      </c>
      <c r="L20" s="3718">
        <f>Table1!G42</f>
        <v>14.559729037532914</v>
      </c>
      <c r="M20" s="3718">
        <f>Table1!H42</f>
        <v>202.87134454263898</v>
      </c>
      <c r="N20" s="3720" t="str">
        <f>Table1!I42</f>
        <v>NO</v>
      </c>
      <c r="O20" s="3721">
        <f t="shared" si="2"/>
        <v>11627.605627360805</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23245.05679168686</v>
      </c>
      <c r="D22" s="3727">
        <f>'Table2(I)'!D10</f>
        <v>3.5465822636148943</v>
      </c>
      <c r="E22" s="3728">
        <f>'Table2(I)'!E10</f>
        <v>8.8797618051027403</v>
      </c>
      <c r="F22" s="3713">
        <f>'Table2(I)'!F10</f>
        <v>4108.7147366727786</v>
      </c>
      <c r="G22" s="3713">
        <f>'Table2(I)'!G10</f>
        <v>617.93925336459722</v>
      </c>
      <c r="H22" s="3713" t="str">
        <f>'Table2(I)'!H10</f>
        <v>NO</v>
      </c>
      <c r="I22" s="3713">
        <f>'Table2(I)'!I10</f>
        <v>8.1609069599868894E-3</v>
      </c>
      <c r="J22" s="3713" t="str">
        <f>'Table2(I)'!J10</f>
        <v>NO</v>
      </c>
      <c r="K22" s="3713">
        <f>'Table2(I)'!K10</f>
        <v>38.506250117455551</v>
      </c>
      <c r="L22" s="3713">
        <f>'Table2(I)'!L10</f>
        <v>10.314809980880623</v>
      </c>
      <c r="M22" s="3713">
        <f>'Table2(I)'!M10</f>
        <v>239.36323775397858</v>
      </c>
      <c r="N22" s="960">
        <f>'Table2(I)'!N10</f>
        <v>1695.8069667956652</v>
      </c>
      <c r="O22" s="3715">
        <f t="shared" si="2"/>
        <v>30615.933277017375</v>
      </c>
    </row>
    <row r="23" spans="2:15" ht="18" customHeight="1" x14ac:dyDescent="0.25">
      <c r="B23" s="1129" t="s">
        <v>1932</v>
      </c>
      <c r="C23" s="3729">
        <f>'Table2(I)'!C11</f>
        <v>6668.9977667490357</v>
      </c>
      <c r="D23" s="3730"/>
      <c r="E23" s="98"/>
      <c r="F23" s="98"/>
      <c r="G23" s="98"/>
      <c r="H23" s="98"/>
      <c r="I23" s="98"/>
      <c r="J23" s="69"/>
      <c r="K23" s="620" t="str">
        <f>'Table2(I)'!K11</f>
        <v>NO</v>
      </c>
      <c r="L23" s="620" t="str">
        <f>'Table2(I)'!L11</f>
        <v>NO</v>
      </c>
      <c r="M23" s="620" t="str">
        <f>'Table2(I)'!M11</f>
        <v>NO</v>
      </c>
      <c r="N23" s="622" t="str">
        <f>'Table2(I)'!N11</f>
        <v>NO</v>
      </c>
      <c r="O23" s="3716">
        <f t="shared" si="2"/>
        <v>6668.9977667490357</v>
      </c>
    </row>
    <row r="24" spans="2:15" ht="18" customHeight="1" x14ac:dyDescent="0.25">
      <c r="B24" s="1129" t="s">
        <v>846</v>
      </c>
      <c r="C24" s="3729">
        <f>'Table2(I)'!C16</f>
        <v>3442.2998770693698</v>
      </c>
      <c r="D24" s="3731">
        <f>'Table2(I)'!D16</f>
        <v>0.5693838</v>
      </c>
      <c r="E24" s="3732">
        <f>'Table2(I)'!E16</f>
        <v>8.8043569476129075</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2.8051172450999995</v>
      </c>
      <c r="N24" s="619" t="str">
        <f>'Table2(I)'!N16</f>
        <v>NO</v>
      </c>
      <c r="O24" s="3717">
        <f t="shared" si="2"/>
        <v>5791.3972145867901</v>
      </c>
    </row>
    <row r="25" spans="2:15" ht="18" customHeight="1" x14ac:dyDescent="0.25">
      <c r="B25" s="1129" t="s">
        <v>637</v>
      </c>
      <c r="C25" s="3729">
        <f>'Table2(I)'!C27</f>
        <v>12730.761169823347</v>
      </c>
      <c r="D25" s="3731">
        <f>'Table2(I)'!D27</f>
        <v>2.9771984636148945</v>
      </c>
      <c r="E25" s="3732">
        <f>'Table2(I)'!E27</f>
        <v>7.5404857489833013E-2</v>
      </c>
      <c r="F25" s="617" t="str">
        <f>'Table2(I)'!F27</f>
        <v>NO</v>
      </c>
      <c r="G25" s="617">
        <f>'Table2(I)'!G27</f>
        <v>617.93925336459722</v>
      </c>
      <c r="H25" s="617" t="str">
        <f>'Table2(I)'!H27</f>
        <v>NO</v>
      </c>
      <c r="I25" s="617" t="str">
        <f>'Table2(I)'!I27</f>
        <v>NO</v>
      </c>
      <c r="J25" s="617" t="str">
        <f>'Table2(I)'!J27</f>
        <v>NO</v>
      </c>
      <c r="K25" s="617">
        <f>'Table2(I)'!K27</f>
        <v>38.506250117455551</v>
      </c>
      <c r="L25" s="617">
        <f>'Table2(I)'!L27</f>
        <v>10.314809980880623</v>
      </c>
      <c r="M25" s="617">
        <f>'Table2(I)'!M27</f>
        <v>9.3871641778285775E-2</v>
      </c>
      <c r="N25" s="619">
        <f>'Table2(I)'!N27</f>
        <v>1695.8069667956652</v>
      </c>
      <c r="O25" s="3717">
        <f t="shared" si="2"/>
        <v>13452.044267403966</v>
      </c>
    </row>
    <row r="26" spans="2:15" ht="18" customHeight="1" x14ac:dyDescent="0.25">
      <c r="B26" s="1129" t="s">
        <v>1933</v>
      </c>
      <c r="C26" s="3729">
        <f>'Table2(I)'!C35</f>
        <v>242.50388750000002</v>
      </c>
      <c r="D26" s="3733" t="str">
        <f>'Table2(I)'!D35</f>
        <v>NO</v>
      </c>
      <c r="E26" s="602" t="str">
        <f>'Table2(I)'!E35</f>
        <v>NO</v>
      </c>
      <c r="F26" s="69"/>
      <c r="G26" s="69"/>
      <c r="H26" s="69"/>
      <c r="I26" s="69"/>
      <c r="J26" s="69"/>
      <c r="K26" s="602" t="str">
        <f>'Table2(I)'!K35</f>
        <v>NO</v>
      </c>
      <c r="L26" s="3732" t="str">
        <f>'Table2(I)'!L35</f>
        <v>NO</v>
      </c>
      <c r="M26" s="3732">
        <f>'Table2(I)'!M35</f>
        <v>181.13082477855505</v>
      </c>
      <c r="N26" s="3734" t="str">
        <f>'Table2(I)'!N35</f>
        <v>NO</v>
      </c>
      <c r="O26" s="3717">
        <f t="shared" si="2"/>
        <v>242.50388750000002</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4108.7147366727786</v>
      </c>
      <c r="G28" s="3718" t="str">
        <f>'Table2(I)'!G45</f>
        <v>NO</v>
      </c>
      <c r="H28" s="3718" t="str">
        <f>'Table2(I)'!H45</f>
        <v>NO</v>
      </c>
      <c r="I28" s="3718" t="str">
        <f>'Table2(I)'!I45</f>
        <v>NO</v>
      </c>
      <c r="J28" s="3718" t="str">
        <f>'Table2(I)'!J45</f>
        <v>NO</v>
      </c>
      <c r="K28" s="3719"/>
      <c r="L28" s="3719"/>
      <c r="M28" s="3719"/>
      <c r="N28" s="3738"/>
      <c r="O28" s="3721">
        <f t="shared" si="2"/>
        <v>4108.7147366727786</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8.1609069599868894E-3</v>
      </c>
      <c r="J29" s="602" t="str">
        <f>'Table2(I)'!J52</f>
        <v>NO</v>
      </c>
      <c r="K29" s="3741" t="str">
        <f>'Table2(I)'!K52</f>
        <v>NO</v>
      </c>
      <c r="L29" s="3741" t="str">
        <f>'Table2(I)'!L52</f>
        <v>NO</v>
      </c>
      <c r="M29" s="3741" t="str">
        <f>'Table2(I)'!M52</f>
        <v>NO</v>
      </c>
      <c r="N29" s="3742" t="str">
        <f>'Table2(I)'!N52</f>
        <v>NO</v>
      </c>
      <c r="O29" s="3721">
        <f t="shared" si="2"/>
        <v>191.78131355969191</v>
      </c>
    </row>
    <row r="30" spans="2:15" ht="18" customHeight="1" thickBot="1" x14ac:dyDescent="0.3">
      <c r="B30" s="1374" t="s">
        <v>1936</v>
      </c>
      <c r="C30" s="3743">
        <f>'Table2(I)'!C57</f>
        <v>160.49409054511213</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55.333424088545243</v>
      </c>
      <c r="N30" s="3746" t="str">
        <f>'Table2(I)'!N57</f>
        <v>NA</v>
      </c>
      <c r="O30" s="3747">
        <f t="shared" si="2"/>
        <v>160.49409054511213</v>
      </c>
    </row>
    <row r="31" spans="2:15" ht="18" customHeight="1" x14ac:dyDescent="0.25">
      <c r="B31" s="1130" t="s">
        <v>1937</v>
      </c>
      <c r="C31" s="3789">
        <f>Table3!C10</f>
        <v>1829.6911462013227</v>
      </c>
      <c r="D31" s="3748">
        <f>Table3!D10</f>
        <v>2513.5418167519015</v>
      </c>
      <c r="E31" s="3749">
        <f>Table3!E10</f>
        <v>40.94874192924663</v>
      </c>
      <c r="F31" s="3750"/>
      <c r="G31" s="3750"/>
      <c r="H31" s="3750"/>
      <c r="I31" s="3750"/>
      <c r="J31" s="3750"/>
      <c r="K31" s="3751">
        <f>Table3!F10</f>
        <v>27.414561599679626</v>
      </c>
      <c r="L31" s="3751">
        <f>Table3!G10</f>
        <v>449.81958222232674</v>
      </c>
      <c r="M31" s="3751">
        <f>Table3!H10</f>
        <v>26.239475629635731</v>
      </c>
      <c r="N31" s="3752" t="str">
        <f>Table3!I10</f>
        <v>NO</v>
      </c>
      <c r="O31" s="3716">
        <f t="shared" si="2"/>
        <v>83060.278626504922</v>
      </c>
    </row>
    <row r="32" spans="2:15" ht="18" customHeight="1" x14ac:dyDescent="0.25">
      <c r="B32" s="1131" t="s">
        <v>1938</v>
      </c>
      <c r="C32" s="3735"/>
      <c r="D32" s="3753">
        <f>Table3!D11</f>
        <v>2230.9009824022714</v>
      </c>
      <c r="E32" s="98"/>
      <c r="F32" s="3754"/>
      <c r="G32" s="3754"/>
      <c r="H32" s="3730"/>
      <c r="I32" s="3754"/>
      <c r="J32" s="3730"/>
      <c r="K32" s="98"/>
      <c r="L32" s="98"/>
      <c r="M32" s="98"/>
      <c r="N32" s="3755"/>
      <c r="O32" s="3716">
        <f t="shared" si="2"/>
        <v>62465.227507263597</v>
      </c>
    </row>
    <row r="33" spans="2:15" ht="18" customHeight="1" x14ac:dyDescent="0.25">
      <c r="B33" s="1131" t="s">
        <v>1939</v>
      </c>
      <c r="C33" s="3735"/>
      <c r="D33" s="3722">
        <f>Table3!D21</f>
        <v>254.889227933032</v>
      </c>
      <c r="E33" s="3722">
        <f>Table3!E21</f>
        <v>2.0165502541686724</v>
      </c>
      <c r="F33" s="3754"/>
      <c r="G33" s="3754"/>
      <c r="H33" s="3754"/>
      <c r="I33" s="3754"/>
      <c r="J33" s="3754"/>
      <c r="K33" s="69"/>
      <c r="L33" s="69"/>
      <c r="M33" s="3756" t="str">
        <f>Table3!H21</f>
        <v>NE</v>
      </c>
      <c r="N33" s="3757"/>
      <c r="O33" s="3717">
        <f t="shared" si="2"/>
        <v>7671.2841994795936</v>
      </c>
    </row>
    <row r="34" spans="2:15" ht="18" customHeight="1" x14ac:dyDescent="0.25">
      <c r="B34" s="1131" t="s">
        <v>1940</v>
      </c>
      <c r="C34" s="3735"/>
      <c r="D34" s="3722">
        <f>Table3!D32</f>
        <v>16.217770975000001</v>
      </c>
      <c r="E34" s="69"/>
      <c r="F34" s="3754"/>
      <c r="G34" s="3754"/>
      <c r="H34" s="3754"/>
      <c r="I34" s="3754"/>
      <c r="J34" s="3754"/>
      <c r="K34" s="69"/>
      <c r="L34" s="69"/>
      <c r="M34" s="3756" t="str">
        <f>Table3!H32</f>
        <v>NE</v>
      </c>
      <c r="N34" s="3757"/>
      <c r="O34" s="3717">
        <f t="shared" si="2"/>
        <v>454.09758729999999</v>
      </c>
    </row>
    <row r="35" spans="2:15" ht="18" customHeight="1" x14ac:dyDescent="0.25">
      <c r="B35" s="1131" t="s">
        <v>1941</v>
      </c>
      <c r="C35" s="3758"/>
      <c r="D35" s="3722" t="str">
        <f>Table3!D33</f>
        <v>NE</v>
      </c>
      <c r="E35" s="3722">
        <f>Table3!E33</f>
        <v>38.457687047804001</v>
      </c>
      <c r="F35" s="3754"/>
      <c r="G35" s="3754"/>
      <c r="H35" s="3754"/>
      <c r="I35" s="3754"/>
      <c r="J35" s="3754"/>
      <c r="K35" s="3756" t="str">
        <f>Table3!F33</f>
        <v>NO</v>
      </c>
      <c r="L35" s="3756" t="str">
        <f>Table3!G33</f>
        <v>NO</v>
      </c>
      <c r="M35" s="3756" t="str">
        <f>Table3!H33</f>
        <v>NO</v>
      </c>
      <c r="N35" s="3757"/>
      <c r="O35" s="3717">
        <f t="shared" si="2"/>
        <v>10191.28706766806</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11.533835441598121</v>
      </c>
      <c r="E37" s="3722">
        <f>Table3!E44</f>
        <v>0.47450462727395798</v>
      </c>
      <c r="F37" s="3754"/>
      <c r="G37" s="3754"/>
      <c r="H37" s="3754"/>
      <c r="I37" s="3754"/>
      <c r="J37" s="3754"/>
      <c r="K37" s="3756">
        <f>Table3!F44</f>
        <v>27.414561599679626</v>
      </c>
      <c r="L37" s="3756">
        <f>Table3!G44</f>
        <v>449.81958222232674</v>
      </c>
      <c r="M37" s="3756">
        <f>Table3!H44</f>
        <v>26.239475629635731</v>
      </c>
      <c r="N37" s="3756" t="str">
        <f>Table3!I44</f>
        <v>NO</v>
      </c>
      <c r="O37" s="3717">
        <f t="shared" si="2"/>
        <v>448.6911185923463</v>
      </c>
    </row>
    <row r="38" spans="2:15" ht="18" customHeight="1" x14ac:dyDescent="0.25">
      <c r="B38" s="1132" t="s">
        <v>955</v>
      </c>
      <c r="C38" s="3739">
        <f>Table3!C45</f>
        <v>1072.8425829711978</v>
      </c>
      <c r="D38" s="3759"/>
      <c r="E38" s="3759"/>
      <c r="F38" s="3736"/>
      <c r="G38" s="3736"/>
      <c r="H38" s="3736"/>
      <c r="I38" s="3736"/>
      <c r="J38" s="3736"/>
      <c r="K38" s="3760"/>
      <c r="L38" s="3760"/>
      <c r="M38" s="3760"/>
      <c r="N38" s="3738"/>
      <c r="O38" s="3721">
        <f t="shared" si="2"/>
        <v>1072.8425829711978</v>
      </c>
    </row>
    <row r="39" spans="2:15" ht="18" customHeight="1" x14ac:dyDescent="0.25">
      <c r="B39" s="1132" t="s">
        <v>956</v>
      </c>
      <c r="C39" s="3761">
        <f>Table3!C46</f>
        <v>756.84856323012491</v>
      </c>
      <c r="D39" s="3759"/>
      <c r="E39" s="3759"/>
      <c r="F39" s="3736"/>
      <c r="G39" s="3736"/>
      <c r="H39" s="3736"/>
      <c r="I39" s="3736"/>
      <c r="J39" s="3736"/>
      <c r="K39" s="3760"/>
      <c r="L39" s="3760"/>
      <c r="M39" s="3760"/>
      <c r="N39" s="3738"/>
      <c r="O39" s="3721">
        <f t="shared" si="2"/>
        <v>756.84856323012491</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80660.306232489762</v>
      </c>
      <c r="D42" s="3765">
        <f>Table4!D10</f>
        <v>744.64760208758366</v>
      </c>
      <c r="E42" s="3766">
        <f>Table4!E10</f>
        <v>17.795434673715192</v>
      </c>
      <c r="F42" s="3750"/>
      <c r="G42" s="3750"/>
      <c r="H42" s="3750"/>
      <c r="I42" s="3750"/>
      <c r="J42" s="3750"/>
      <c r="K42" s="3767">
        <f>Table4!F10</f>
        <v>977.37376633331246</v>
      </c>
      <c r="L42" s="3767">
        <f>Table4!G10</f>
        <v>25935.551649328369</v>
      </c>
      <c r="M42" s="3767">
        <f>Table4!H10</f>
        <v>780.97333369252385</v>
      </c>
      <c r="N42" s="3768" t="str">
        <f>N50</f>
        <v>NO</v>
      </c>
      <c r="O42" s="3715">
        <f t="shared" si="2"/>
        <v>106226.22927947663</v>
      </c>
    </row>
    <row r="43" spans="2:15" ht="18" customHeight="1" x14ac:dyDescent="0.25">
      <c r="B43" s="1131" t="s">
        <v>1947</v>
      </c>
      <c r="C43" s="3769">
        <f>Table4!C11</f>
        <v>-44102.758532752043</v>
      </c>
      <c r="D43" s="3770">
        <f>Table4!D11</f>
        <v>257.77347567563527</v>
      </c>
      <c r="E43" s="3771">
        <f>Table4!E11</f>
        <v>5.1629339198005981</v>
      </c>
      <c r="F43" s="3736"/>
      <c r="G43" s="3736"/>
      <c r="H43" s="3736"/>
      <c r="I43" s="3736"/>
      <c r="J43" s="3736"/>
      <c r="K43" s="3756">
        <f>Table4!F11</f>
        <v>278.06078730567071</v>
      </c>
      <c r="L43" s="3756">
        <f>Table4!G11</f>
        <v>7404.9647712290953</v>
      </c>
      <c r="M43" s="3756">
        <f>Table4!H11</f>
        <v>233.3989063853459</v>
      </c>
      <c r="N43" s="3772"/>
      <c r="O43" s="3773">
        <f t="shared" si="2"/>
        <v>-35516.923725087094</v>
      </c>
    </row>
    <row r="44" spans="2:15" ht="18" customHeight="1" x14ac:dyDescent="0.25">
      <c r="B44" s="1131" t="s">
        <v>1948</v>
      </c>
      <c r="C44" s="3769">
        <f>Table4!C14</f>
        <v>12987.761389425392</v>
      </c>
      <c r="D44" s="3774">
        <f>Table4!D14</f>
        <v>4.0222718333672605</v>
      </c>
      <c r="E44" s="3774">
        <f>Table4!E14</f>
        <v>0.1166791453199196</v>
      </c>
      <c r="F44" s="3754"/>
      <c r="G44" s="3754"/>
      <c r="H44" s="3754"/>
      <c r="I44" s="3754"/>
      <c r="J44" s="3754"/>
      <c r="K44" s="3756">
        <f>Table4!F14</f>
        <v>3.0286749221485625</v>
      </c>
      <c r="L44" s="3756">
        <f>Table4!G14</f>
        <v>118.61977582661783</v>
      </c>
      <c r="M44" s="3756">
        <f>Table4!H14</f>
        <v>14.338654220799958</v>
      </c>
      <c r="N44" s="3775"/>
      <c r="O44" s="3717">
        <f t="shared" si="2"/>
        <v>13131.304974269455</v>
      </c>
    </row>
    <row r="45" spans="2:15" ht="18" customHeight="1" x14ac:dyDescent="0.25">
      <c r="B45" s="1131" t="s">
        <v>1949</v>
      </c>
      <c r="C45" s="3769">
        <f>Table4!C17</f>
        <v>111265.70832686298</v>
      </c>
      <c r="D45" s="3774">
        <f>Table4!D17</f>
        <v>399.05273191921395</v>
      </c>
      <c r="E45" s="3774">
        <f>Table4!E17</f>
        <v>11.93036286830718</v>
      </c>
      <c r="F45" s="3754"/>
      <c r="G45" s="3754"/>
      <c r="H45" s="3754"/>
      <c r="I45" s="3754"/>
      <c r="J45" s="3754"/>
      <c r="K45" s="3756">
        <f>Table4!F17</f>
        <v>664.73660758500239</v>
      </c>
      <c r="L45" s="3756">
        <f>Table4!G17</f>
        <v>17601.923807838572</v>
      </c>
      <c r="M45" s="3756">
        <f>Table4!H17</f>
        <v>516.10666463573375</v>
      </c>
      <c r="N45" s="3775"/>
      <c r="O45" s="3717">
        <f t="shared" si="2"/>
        <v>125600.73098070237</v>
      </c>
    </row>
    <row r="46" spans="2:15" ht="18" customHeight="1" x14ac:dyDescent="0.25">
      <c r="B46" s="1131" t="s">
        <v>1950</v>
      </c>
      <c r="C46" s="3769">
        <f>Table4!C20</f>
        <v>1391.6380789291641</v>
      </c>
      <c r="D46" s="3774">
        <f>Table4!D20</f>
        <v>79.115017054107511</v>
      </c>
      <c r="E46" s="3774">
        <f>Table4!E20</f>
        <v>0.38669636438774935</v>
      </c>
      <c r="F46" s="3754"/>
      <c r="G46" s="3754"/>
      <c r="H46" s="3754"/>
      <c r="I46" s="3754"/>
      <c r="J46" s="3754"/>
      <c r="K46" s="3756">
        <f>Table4!F20</f>
        <v>28.020676526054118</v>
      </c>
      <c r="L46" s="3756">
        <f>Table4!G20</f>
        <v>671.90555042712106</v>
      </c>
      <c r="M46" s="3756">
        <f>Table4!H20</f>
        <v>0.43113939485740282</v>
      </c>
      <c r="N46" s="3775"/>
      <c r="O46" s="3717">
        <f t="shared" si="2"/>
        <v>3709.3330930069283</v>
      </c>
    </row>
    <row r="47" spans="2:15" ht="18" customHeight="1" x14ac:dyDescent="0.25">
      <c r="B47" s="1131" t="s">
        <v>1951</v>
      </c>
      <c r="C47" s="3769">
        <f>Table4!C23</f>
        <v>6613.0693315321951</v>
      </c>
      <c r="D47" s="3774">
        <f>Table4!D23</f>
        <v>4.6841056052596812</v>
      </c>
      <c r="E47" s="3776">
        <f>Table4!E23</f>
        <v>0.10424491224689181</v>
      </c>
      <c r="F47" s="3754"/>
      <c r="G47" s="3754"/>
      <c r="H47" s="3754"/>
      <c r="I47" s="3754"/>
      <c r="J47" s="3754"/>
      <c r="K47" s="3756">
        <f>Table4!F23</f>
        <v>3.5270199944366052</v>
      </c>
      <c r="L47" s="3756">
        <f>Table4!G23</f>
        <v>138.13774400696377</v>
      </c>
      <c r="M47" s="3756">
        <f>Table4!H23</f>
        <v>16.697969055786828</v>
      </c>
      <c r="N47" s="1842"/>
      <c r="O47" s="3717">
        <f t="shared" si="2"/>
        <v>6771.8491902248925</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-7505.3279406263191</v>
      </c>
      <c r="D49" s="3736"/>
      <c r="E49" s="3736"/>
      <c r="F49" s="3736"/>
      <c r="G49" s="3736"/>
      <c r="H49" s="3736"/>
      <c r="I49" s="3736"/>
      <c r="J49" s="3736"/>
      <c r="K49" s="3736"/>
      <c r="L49" s="3736"/>
      <c r="M49" s="3736"/>
      <c r="N49" s="3781"/>
      <c r="O49" s="3721">
        <f t="shared" si="2"/>
        <v>-7505.3279406263191</v>
      </c>
    </row>
    <row r="50" spans="2:15" ht="18" customHeight="1" thickBot="1" x14ac:dyDescent="0.3">
      <c r="B50" s="1375" t="s">
        <v>1954</v>
      </c>
      <c r="C50" s="3782">
        <f>Table4!C30</f>
        <v>10.215579118396668</v>
      </c>
      <c r="D50" s="3783" t="str">
        <f>Table4!D30</f>
        <v>NO</v>
      </c>
      <c r="E50" s="3783">
        <f>Table4!E30</f>
        <v>9.4517463652857153E-2</v>
      </c>
      <c r="F50" s="3762"/>
      <c r="G50" s="3762"/>
      <c r="H50" s="3762"/>
      <c r="I50" s="3762"/>
      <c r="J50" s="3762"/>
      <c r="K50" s="3784" t="str">
        <f>Table4!F30</f>
        <v>NO</v>
      </c>
      <c r="L50" s="3784" t="str">
        <f>Table4!G30</f>
        <v>NO</v>
      </c>
      <c r="M50" s="3784" t="str">
        <f>Table4!H30</f>
        <v>NO</v>
      </c>
      <c r="N50" s="3785" t="s">
        <v>199</v>
      </c>
      <c r="O50" s="3747">
        <f t="shared" si="2"/>
        <v>35.262706986403813</v>
      </c>
    </row>
    <row r="51" spans="2:15" ht="18" customHeight="1" x14ac:dyDescent="0.25">
      <c r="B51" s="1376" t="s">
        <v>1955</v>
      </c>
      <c r="C51" s="3786">
        <f>Table5!C10</f>
        <v>29.308601056242154</v>
      </c>
      <c r="D51" s="3748">
        <f>Table5!D10</f>
        <v>542.15251246277239</v>
      </c>
      <c r="E51" s="3749">
        <f>Table5!E10</f>
        <v>0.94487305994812654</v>
      </c>
      <c r="F51" s="3750"/>
      <c r="G51" s="3750"/>
      <c r="H51" s="3750"/>
      <c r="I51" s="3750"/>
      <c r="J51" s="3750"/>
      <c r="K51" s="3751" t="str">
        <f>Table5!F10</f>
        <v>NO</v>
      </c>
      <c r="L51" s="3751" t="str">
        <f>Table5!G10</f>
        <v>NO</v>
      </c>
      <c r="M51" s="3751">
        <f>Table5!H10</f>
        <v>257.86805805531901</v>
      </c>
      <c r="N51" s="3752" t="str">
        <f>Table5!I10</f>
        <v>NO</v>
      </c>
      <c r="O51" s="3787">
        <f t="shared" si="2"/>
        <v>15459.970310900122</v>
      </c>
    </row>
    <row r="52" spans="2:15" ht="18" customHeight="1" x14ac:dyDescent="0.25">
      <c r="B52" s="1131" t="s">
        <v>1956</v>
      </c>
      <c r="C52" s="3758"/>
      <c r="D52" s="3753">
        <f>Table5!D11</f>
        <v>426.46748262818676</v>
      </c>
      <c r="E52" s="3788"/>
      <c r="F52" s="3750"/>
      <c r="G52" s="3750"/>
      <c r="H52" s="3750"/>
      <c r="I52" s="3750"/>
      <c r="J52" s="3750"/>
      <c r="K52" s="3756" t="str">
        <f>Table5!F11</f>
        <v>NO</v>
      </c>
      <c r="L52" s="3756" t="str">
        <f>Table5!G11</f>
        <v>NO</v>
      </c>
      <c r="M52" s="3756">
        <f>Table5!H11</f>
        <v>2.8820777005697185</v>
      </c>
      <c r="N52" s="3755"/>
      <c r="O52" s="3787">
        <f t="shared" si="2"/>
        <v>11941.08951358923</v>
      </c>
    </row>
    <row r="53" spans="2:15" ht="18" customHeight="1" x14ac:dyDescent="0.25">
      <c r="B53" s="1131" t="s">
        <v>1957</v>
      </c>
      <c r="C53" s="3758"/>
      <c r="D53" s="3753">
        <f>Table5!D15</f>
        <v>2.5227352500000002</v>
      </c>
      <c r="E53" s="3753">
        <f>Table5!E15</f>
        <v>0.32291011199999997</v>
      </c>
      <c r="F53" s="3754"/>
      <c r="G53" s="3754"/>
      <c r="H53" s="3754"/>
      <c r="I53" s="3754"/>
      <c r="J53" s="3754"/>
      <c r="K53" s="3756" t="str">
        <f>Table5!F15</f>
        <v>NA,NE</v>
      </c>
      <c r="L53" s="3756" t="str">
        <f>Table5!G15</f>
        <v>NA,NE</v>
      </c>
      <c r="M53" s="3756" t="str">
        <f>Table5!H15</f>
        <v>NA,NE</v>
      </c>
      <c r="N53" s="3755"/>
      <c r="O53" s="3716">
        <f t="shared" si="2"/>
        <v>156.20776667999999</v>
      </c>
    </row>
    <row r="54" spans="2:15" ht="18" customHeight="1" x14ac:dyDescent="0.25">
      <c r="B54" s="1131" t="s">
        <v>1958</v>
      </c>
      <c r="C54" s="3817">
        <f>Table5!C18</f>
        <v>29.308601056242154</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29.308601056242154</v>
      </c>
    </row>
    <row r="55" spans="2:15" ht="18" customHeight="1" x14ac:dyDescent="0.25">
      <c r="B55" s="1131" t="s">
        <v>1959</v>
      </c>
      <c r="C55" s="3735"/>
      <c r="D55" s="3722">
        <f>Table5!D21</f>
        <v>113.16229458458568</v>
      </c>
      <c r="E55" s="3722">
        <f>Table5!E21</f>
        <v>0.62196294794812657</v>
      </c>
      <c r="F55" s="3754"/>
      <c r="G55" s="3754"/>
      <c r="H55" s="3754"/>
      <c r="I55" s="3754"/>
      <c r="J55" s="3754"/>
      <c r="K55" s="3756" t="str">
        <f>Table5!F21</f>
        <v>NO</v>
      </c>
      <c r="L55" s="3756" t="str">
        <f>Table5!G21</f>
        <v>NO</v>
      </c>
      <c r="M55" s="3756">
        <f>Table5!H21</f>
        <v>254.98598035474927</v>
      </c>
      <c r="N55" s="3755"/>
      <c r="O55" s="3791">
        <f t="shared" si="2"/>
        <v>3333.3644295746526</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11377.083790508199</v>
      </c>
      <c r="D61" s="3802">
        <f>Table1!D52</f>
        <v>0.30310617725400008</v>
      </c>
      <c r="E61" s="3802">
        <f>Table1!E52</f>
        <v>0.12637548478873684</v>
      </c>
      <c r="F61" s="615"/>
      <c r="G61" s="615"/>
      <c r="H61" s="615"/>
      <c r="I61" s="615"/>
      <c r="J61" s="615"/>
      <c r="K61" s="3802">
        <f>Table1!F52</f>
        <v>121.05226110545263</v>
      </c>
      <c r="L61" s="3802">
        <f>Table1!G52</f>
        <v>16.125495730506422</v>
      </c>
      <c r="M61" s="3802">
        <f>Table1!H52</f>
        <v>8.8393168316549477</v>
      </c>
      <c r="N61" s="3803">
        <f>Table1!I52</f>
        <v>42.858101562153827</v>
      </c>
      <c r="O61" s="3787">
        <f t="shared" ref="O61:O67" si="4">IF(SUM(C61:J61)=0,"NO",SUM(C61,F61:H61)+28*SUM(D61)+265*SUM(E61)+23500*SUM(I61)+16100*SUM(J61))</f>
        <v>11419.060266940325</v>
      </c>
    </row>
    <row r="62" spans="2:15" ht="18" customHeight="1" x14ac:dyDescent="0.25">
      <c r="B62" s="1370" t="s">
        <v>218</v>
      </c>
      <c r="C62" s="3804">
        <f>Table1!C53</f>
        <v>8381.4122918399989</v>
      </c>
      <c r="D62" s="620">
        <f>Table1!D53</f>
        <v>1.5065205000000002E-2</v>
      </c>
      <c r="E62" s="620">
        <f>Table1!E53</f>
        <v>4.4078064144736841E-2</v>
      </c>
      <c r="F62" s="615"/>
      <c r="G62" s="615"/>
      <c r="H62" s="615"/>
      <c r="I62" s="615"/>
      <c r="J62" s="2161"/>
      <c r="K62" s="620">
        <f>Table1!F53</f>
        <v>42.486436146052633</v>
      </c>
      <c r="L62" s="620">
        <f>Table1!G53</f>
        <v>13.25766703236842</v>
      </c>
      <c r="M62" s="620">
        <f>Table1!H53</f>
        <v>6.3979888590789473</v>
      </c>
      <c r="N62" s="622">
        <f>Table1!I53</f>
        <v>0.98746524128000013</v>
      </c>
      <c r="O62" s="3716">
        <f t="shared" si="4"/>
        <v>8393.5148045783553</v>
      </c>
    </row>
    <row r="63" spans="2:15" ht="18" customHeight="1" x14ac:dyDescent="0.25">
      <c r="B63" s="1379" t="s">
        <v>1963</v>
      </c>
      <c r="C63" s="3804">
        <f>Table1!C54</f>
        <v>2995.6714986682</v>
      </c>
      <c r="D63" s="617">
        <f>Table1!D54</f>
        <v>0.28804097225400005</v>
      </c>
      <c r="E63" s="617">
        <f>Table1!E54</f>
        <v>8.2297420644000002E-2</v>
      </c>
      <c r="F63" s="615"/>
      <c r="G63" s="615"/>
      <c r="H63" s="615"/>
      <c r="I63" s="615"/>
      <c r="J63" s="615"/>
      <c r="K63" s="617">
        <f>Table1!F54</f>
        <v>78.565824959400004</v>
      </c>
      <c r="L63" s="617">
        <f>Table1!G54</f>
        <v>2.8678286981380001</v>
      </c>
      <c r="M63" s="617">
        <f>Table1!H54</f>
        <v>2.441327972576</v>
      </c>
      <c r="N63" s="619">
        <f>Table1!I54</f>
        <v>41.870636320873828</v>
      </c>
      <c r="O63" s="3717">
        <f t="shared" si="4"/>
        <v>3025.5454623619721</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19104.041734213242</v>
      </c>
      <c r="D65" s="3806"/>
      <c r="E65" s="3806"/>
      <c r="F65" s="3807"/>
      <c r="G65" s="3807"/>
      <c r="H65" s="3807"/>
      <c r="I65" s="3807"/>
      <c r="J65" s="3806"/>
      <c r="K65" s="3806"/>
      <c r="L65" s="3806"/>
      <c r="M65" s="3806"/>
      <c r="N65" s="3808"/>
      <c r="O65" s="3773">
        <f t="shared" si="4"/>
        <v>19104.041734213242</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258915.41439428658</v>
      </c>
      <c r="D67" s="3807"/>
      <c r="E67" s="3807"/>
      <c r="F67" s="3811"/>
      <c r="G67" s="3807"/>
      <c r="H67" s="3807"/>
      <c r="I67" s="3807"/>
      <c r="J67" s="3807"/>
      <c r="K67" s="3807"/>
      <c r="L67" s="3807"/>
      <c r="M67" s="3807"/>
      <c r="N67" s="3812"/>
      <c r="O67" s="3721">
        <f t="shared" si="4"/>
        <v>258915.41439428658</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473020.25967650407</v>
      </c>
      <c r="D10" s="3798">
        <f>IFERROR(Summary1!D10*28,Summary1!D10)</f>
        <v>145475.28029789176</v>
      </c>
      <c r="E10" s="3798">
        <f>IFERROR(Summary1!E10*265,Summary1!E10)</f>
        <v>21510.284345844066</v>
      </c>
      <c r="F10" s="3798">
        <f>Summary1!F10</f>
        <v>4108.7147366727786</v>
      </c>
      <c r="G10" s="3798">
        <f>Summary1!G10</f>
        <v>617.93925336459722</v>
      </c>
      <c r="H10" s="3798" t="str">
        <f>Summary1!H10</f>
        <v>NO</v>
      </c>
      <c r="I10" s="3827">
        <f>IFERROR(Summary1!I10*23500,Summary1!I10)</f>
        <v>191.78131355969191</v>
      </c>
      <c r="J10" s="4181" t="str">
        <f>IFERROR(Summary1!J10*16100,Summary1!J10)</f>
        <v>NO</v>
      </c>
      <c r="K10" s="3799">
        <f>IF(SUM(C10:J10)=0,"NO",SUM(C10:J10))</f>
        <v>644924.25962383708</v>
      </c>
    </row>
    <row r="11" spans="2:12" ht="18" customHeight="1" x14ac:dyDescent="0.2">
      <c r="B11" s="1549" t="s">
        <v>1921</v>
      </c>
      <c r="C11" s="3767">
        <f>Summary1!C11</f>
        <v>367255.89690506988</v>
      </c>
      <c r="D11" s="3767">
        <f>IFERROR(Summary1!D11*28,Summary1!D11)</f>
        <v>38966.401918047333</v>
      </c>
      <c r="E11" s="3767">
        <f>IFERROR(Summary1!E11*265,Summary1!E11)</f>
        <v>3339.549306820707</v>
      </c>
      <c r="F11" s="1550"/>
      <c r="G11" s="1550"/>
      <c r="H11" s="1551"/>
      <c r="I11" s="1551"/>
      <c r="J11" s="613"/>
      <c r="K11" s="3828">
        <f t="shared" ref="K11:K55" si="0">IF(SUM(C11:J11)=0,"NO",SUM(C11:J11))</f>
        <v>409561.84812993795</v>
      </c>
      <c r="L11" s="19"/>
    </row>
    <row r="12" spans="2:12" ht="18" customHeight="1" x14ac:dyDescent="0.2">
      <c r="B12" s="606" t="s">
        <v>242</v>
      </c>
      <c r="C12" s="3756">
        <f>Summary1!C12</f>
        <v>360209.50711034512</v>
      </c>
      <c r="D12" s="3756">
        <f>IFERROR(Summary1!D12*28,Summary1!D12)</f>
        <v>2391.2476215599563</v>
      </c>
      <c r="E12" s="3756">
        <f>IFERROR(Summary1!E12*265,Summary1!E12)</f>
        <v>3318.0400270080472</v>
      </c>
      <c r="F12" s="615"/>
      <c r="G12" s="615"/>
      <c r="H12" s="615"/>
      <c r="I12" s="69"/>
      <c r="J12" s="69"/>
      <c r="K12" s="3829">
        <f t="shared" si="0"/>
        <v>365918.79475891311</v>
      </c>
      <c r="L12" s="19"/>
    </row>
    <row r="13" spans="2:12" ht="18" customHeight="1" x14ac:dyDescent="0.2">
      <c r="B13" s="1391" t="s">
        <v>1923</v>
      </c>
      <c r="C13" s="3756">
        <f>Summary1!C13</f>
        <v>219705.33865122739</v>
      </c>
      <c r="D13" s="3756">
        <f>IFERROR(Summary1!D13*28,Summary1!D13)</f>
        <v>355.45472854673079</v>
      </c>
      <c r="E13" s="3756">
        <f>IFERROR(Summary1!E13*265,Summary1!E13)</f>
        <v>965.94722527787201</v>
      </c>
      <c r="F13" s="615"/>
      <c r="G13" s="615"/>
      <c r="H13" s="615"/>
      <c r="I13" s="69"/>
      <c r="J13" s="69"/>
      <c r="K13" s="3829">
        <f t="shared" si="0"/>
        <v>221026.74060505198</v>
      </c>
      <c r="L13" s="19"/>
    </row>
    <row r="14" spans="2:12" ht="18" customHeight="1" x14ac:dyDescent="0.2">
      <c r="B14" s="1391" t="s">
        <v>1976</v>
      </c>
      <c r="C14" s="3756">
        <f>Summary1!C14</f>
        <v>40191.294818873052</v>
      </c>
      <c r="D14" s="3756">
        <f>IFERROR(Summary1!D14*28,Summary1!D14)</f>
        <v>65.726157967297084</v>
      </c>
      <c r="E14" s="3756">
        <f>IFERROR(Summary1!E14*265,Summary1!E14)</f>
        <v>353.57090288210213</v>
      </c>
      <c r="F14" s="615"/>
      <c r="G14" s="615"/>
      <c r="H14" s="615"/>
      <c r="I14" s="69"/>
      <c r="J14" s="69"/>
      <c r="K14" s="3829">
        <f t="shared" si="0"/>
        <v>40610.591879722451</v>
      </c>
      <c r="L14" s="19"/>
    </row>
    <row r="15" spans="2:12" ht="18" customHeight="1" x14ac:dyDescent="0.2">
      <c r="B15" s="1391" t="s">
        <v>1925</v>
      </c>
      <c r="C15" s="3756">
        <f>Summary1!C15</f>
        <v>80852.979449696941</v>
      </c>
      <c r="D15" s="3756">
        <f>IFERROR(Summary1!D15*28,Summary1!D15)</f>
        <v>595.00817241745779</v>
      </c>
      <c r="E15" s="3756">
        <f>IFERROR(Summary1!E15*265,Summary1!E15)</f>
        <v>1818.197081993728</v>
      </c>
      <c r="F15" s="615"/>
      <c r="G15" s="615"/>
      <c r="H15" s="615"/>
      <c r="I15" s="69"/>
      <c r="J15" s="69"/>
      <c r="K15" s="3829">
        <f t="shared" si="0"/>
        <v>83266.18470410812</v>
      </c>
      <c r="L15" s="19"/>
    </row>
    <row r="16" spans="2:12" ht="18" customHeight="1" x14ac:dyDescent="0.2">
      <c r="B16" s="1391" t="s">
        <v>1926</v>
      </c>
      <c r="C16" s="3756">
        <f>Summary1!C16</f>
        <v>18814.077822321706</v>
      </c>
      <c r="D16" s="3756">
        <f>IFERROR(Summary1!D16*28,Summary1!D16)</f>
        <v>1374.4438727636116</v>
      </c>
      <c r="E16" s="3756">
        <f>IFERROR(Summary1!E16*265,Summary1!E16)</f>
        <v>175.58024856324832</v>
      </c>
      <c r="F16" s="615"/>
      <c r="G16" s="615"/>
      <c r="H16" s="615"/>
      <c r="I16" s="69"/>
      <c r="J16" s="69"/>
      <c r="K16" s="3829">
        <f t="shared" si="0"/>
        <v>20364.101943648566</v>
      </c>
      <c r="L16" s="19"/>
    </row>
    <row r="17" spans="2:12" ht="18" customHeight="1" x14ac:dyDescent="0.2">
      <c r="B17" s="1391" t="s">
        <v>1927</v>
      </c>
      <c r="C17" s="3756">
        <f>Summary1!C17</f>
        <v>645.81636822602309</v>
      </c>
      <c r="D17" s="3756">
        <f>IFERROR(Summary1!D17*28,Summary1!D17)</f>
        <v>0.61468986485902832</v>
      </c>
      <c r="E17" s="3756">
        <f>IFERROR(Summary1!E17*265,Summary1!E17)</f>
        <v>4.74456829109696</v>
      </c>
      <c r="F17" s="615"/>
      <c r="G17" s="615"/>
      <c r="H17" s="615"/>
      <c r="I17" s="69"/>
      <c r="J17" s="69"/>
      <c r="K17" s="3829">
        <f t="shared" si="0"/>
        <v>651.17562638197899</v>
      </c>
      <c r="L17" s="19"/>
    </row>
    <row r="18" spans="2:12" ht="18" customHeight="1" x14ac:dyDescent="0.2">
      <c r="B18" s="606" t="s">
        <v>201</v>
      </c>
      <c r="C18" s="3756">
        <f>Summary1!C18</f>
        <v>7046.3897947247669</v>
      </c>
      <c r="D18" s="3756">
        <f>IFERROR(Summary1!D18*28,Summary1!D18)</f>
        <v>36575.154296487381</v>
      </c>
      <c r="E18" s="3756">
        <f>IFERROR(Summary1!E18*265,Summary1!E18)</f>
        <v>21.50927981265944</v>
      </c>
      <c r="F18" s="615"/>
      <c r="G18" s="615"/>
      <c r="H18" s="615"/>
      <c r="I18" s="69"/>
      <c r="J18" s="69"/>
      <c r="K18" s="3829">
        <f t="shared" si="0"/>
        <v>43643.053371024806</v>
      </c>
      <c r="L18" s="19"/>
    </row>
    <row r="19" spans="2:12" ht="18" customHeight="1" x14ac:dyDescent="0.2">
      <c r="B19" s="1391" t="s">
        <v>1928</v>
      </c>
      <c r="C19" s="3756">
        <f>Summary1!C19</f>
        <v>1212.9142005812867</v>
      </c>
      <c r="D19" s="3756">
        <f>IFERROR(Summary1!D19*28,Summary1!D19)</f>
        <v>30802.500206679772</v>
      </c>
      <c r="E19" s="3756">
        <f>IFERROR(Summary1!E19*265,Summary1!E19)</f>
        <v>3.3336402948205446E-2</v>
      </c>
      <c r="F19" s="615"/>
      <c r="G19" s="615"/>
      <c r="H19" s="615"/>
      <c r="I19" s="69"/>
      <c r="J19" s="69"/>
      <c r="K19" s="3829">
        <f t="shared" si="0"/>
        <v>32015.447743664005</v>
      </c>
      <c r="L19" s="19"/>
    </row>
    <row r="20" spans="2:12" ht="18" customHeight="1" x14ac:dyDescent="0.2">
      <c r="B20" s="1392" t="s">
        <v>1929</v>
      </c>
      <c r="C20" s="3756">
        <f>Summary1!C20</f>
        <v>5833.4755941434805</v>
      </c>
      <c r="D20" s="3756">
        <f>IFERROR(Summary1!D20*28,Summary1!D20)</f>
        <v>5772.6540898076128</v>
      </c>
      <c r="E20" s="3756">
        <f>IFERROR(Summary1!E20*265,Summary1!E20)</f>
        <v>21.475943409711235</v>
      </c>
      <c r="F20" s="615"/>
      <c r="G20" s="615"/>
      <c r="H20" s="615"/>
      <c r="I20" s="69"/>
      <c r="J20" s="69"/>
      <c r="K20" s="3829">
        <f t="shared" si="0"/>
        <v>11627.605627360805</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23245.05679168686</v>
      </c>
      <c r="D22" s="3767">
        <f>IFERROR(Summary1!D22*28,Summary1!D22)</f>
        <v>99.304303381217039</v>
      </c>
      <c r="E22" s="3767">
        <f>IFERROR(Summary1!E22*265,Summary1!E22)</f>
        <v>2353.1368783522262</v>
      </c>
      <c r="F22" s="3767">
        <f>Summary1!F22</f>
        <v>4108.7147366727786</v>
      </c>
      <c r="G22" s="3767">
        <f>Summary1!G22</f>
        <v>617.93925336459722</v>
      </c>
      <c r="H22" s="3767" t="str">
        <f>Summary1!H22</f>
        <v>NO</v>
      </c>
      <c r="I22" s="3767">
        <f>IFERROR(Summary1!I22*23500,Summary1!I22)</f>
        <v>191.78131355969191</v>
      </c>
      <c r="J22" s="3831" t="str">
        <f>IFERROR(Summary1!J22*16100,Summary1!J22)</f>
        <v>NO</v>
      </c>
      <c r="K22" s="3828">
        <f t="shared" si="0"/>
        <v>30615.933277017371</v>
      </c>
      <c r="L22" s="19"/>
    </row>
    <row r="23" spans="2:12" ht="18" customHeight="1" x14ac:dyDescent="0.2">
      <c r="B23" s="1393" t="s">
        <v>1932</v>
      </c>
      <c r="C23" s="3756">
        <f>Summary1!C23</f>
        <v>6668.9977667490357</v>
      </c>
      <c r="D23" s="615"/>
      <c r="E23" s="615"/>
      <c r="F23" s="615"/>
      <c r="G23" s="615"/>
      <c r="H23" s="615"/>
      <c r="I23" s="69"/>
      <c r="J23" s="69"/>
      <c r="K23" s="3829">
        <f t="shared" si="0"/>
        <v>6668.9977667490357</v>
      </c>
      <c r="L23" s="19"/>
    </row>
    <row r="24" spans="2:12" ht="18" customHeight="1" x14ac:dyDescent="0.2">
      <c r="B24" s="1393" t="s">
        <v>846</v>
      </c>
      <c r="C24" s="3756">
        <f>Summary1!C24</f>
        <v>3442.2998770693698</v>
      </c>
      <c r="D24" s="3756">
        <f>IFERROR(Summary1!D24*28,Summary1!D24)</f>
        <v>15.942746400000001</v>
      </c>
      <c r="E24" s="3756">
        <f>IFERROR(Summary1!E24*265,Summary1!E24)</f>
        <v>2333.1545911174203</v>
      </c>
      <c r="F24" s="1949" t="str">
        <f>Summary1!F24</f>
        <v>NO</v>
      </c>
      <c r="G24" s="1949" t="str">
        <f>Summary1!G24</f>
        <v>NO</v>
      </c>
      <c r="H24" s="1949" t="str">
        <f>Summary1!H24</f>
        <v>NO</v>
      </c>
      <c r="I24" s="602" t="str">
        <f>IFERROR(Summary1!I24*23500,Summary1!I24)</f>
        <v>NO</v>
      </c>
      <c r="J24" s="602" t="str">
        <f>IFERROR(Summary1!J24*16100,Summary1!J24)</f>
        <v>NO</v>
      </c>
      <c r="K24" s="3829">
        <f t="shared" si="0"/>
        <v>5791.3972145867901</v>
      </c>
      <c r="L24" s="19"/>
    </row>
    <row r="25" spans="2:12" ht="18" customHeight="1" x14ac:dyDescent="0.2">
      <c r="B25" s="1393" t="s">
        <v>637</v>
      </c>
      <c r="C25" s="3756">
        <f>Summary1!C25</f>
        <v>12730.761169823347</v>
      </c>
      <c r="D25" s="3756">
        <f>IFERROR(Summary1!D25*28,Summary1!D25)</f>
        <v>83.361556981217049</v>
      </c>
      <c r="E25" s="3756">
        <f>IFERROR(Summary1!E25*265,Summary1!E25)</f>
        <v>19.982287234805749</v>
      </c>
      <c r="F25" s="1949" t="str">
        <f>Summary1!F25</f>
        <v>NO</v>
      </c>
      <c r="G25" s="3756">
        <f>Summary1!G25</f>
        <v>617.93925336459722</v>
      </c>
      <c r="H25" s="3756" t="str">
        <f>Summary1!H25</f>
        <v>NO</v>
      </c>
      <c r="I25" s="3756" t="str">
        <f>IFERROR(Summary1!I25*23500,Summary1!I25)</f>
        <v>NO</v>
      </c>
      <c r="J25" s="3756" t="str">
        <f>IFERROR(Summary1!J25*16100,Summary1!J25)</f>
        <v>NO</v>
      </c>
      <c r="K25" s="3829">
        <f t="shared" si="0"/>
        <v>13452.044267403966</v>
      </c>
      <c r="L25" s="19"/>
    </row>
    <row r="26" spans="2:12" ht="18" customHeight="1" x14ac:dyDescent="0.2">
      <c r="B26" s="1394" t="s">
        <v>1978</v>
      </c>
      <c r="C26" s="3756">
        <f>Summary1!C26</f>
        <v>242.50388750000002</v>
      </c>
      <c r="D26" s="3756" t="str">
        <f>IFERROR(Summary1!D26*28,Summary1!D26)</f>
        <v>NO</v>
      </c>
      <c r="E26" s="3756" t="str">
        <f>IFERROR(Summary1!E26*265,Summary1!E26)</f>
        <v>NO</v>
      </c>
      <c r="F26" s="615"/>
      <c r="G26" s="615"/>
      <c r="H26" s="615"/>
      <c r="I26" s="69"/>
      <c r="J26" s="69"/>
      <c r="K26" s="3829">
        <f t="shared" si="0"/>
        <v>242.50388750000002</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4108.7147366727786</v>
      </c>
      <c r="G28" s="3756" t="str">
        <f>Summary1!G28</f>
        <v>NO</v>
      </c>
      <c r="H28" s="3756" t="str">
        <f>Summary1!H28</f>
        <v>NO</v>
      </c>
      <c r="I28" s="3756" t="str">
        <f>IFERROR(Summary1!I28*23500,Summary1!I28)</f>
        <v>NO</v>
      </c>
      <c r="J28" s="3756" t="str">
        <f>IFERROR(Summary1!J28*16100,Summary1!J28)</f>
        <v>NO</v>
      </c>
      <c r="K28" s="3829">
        <f t="shared" si="0"/>
        <v>4108.7147366727786</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191.78131355969191</v>
      </c>
      <c r="J29" s="3756" t="str">
        <f>IFERROR(Summary1!J29*16100,Summary1!J29)</f>
        <v>NO</v>
      </c>
      <c r="K29" s="3829">
        <f t="shared" si="0"/>
        <v>191.78131355969191</v>
      </c>
      <c r="L29" s="19"/>
    </row>
    <row r="30" spans="2:12" ht="18" customHeight="1" thickBot="1" x14ac:dyDescent="0.25">
      <c r="B30" s="1406" t="s">
        <v>1982</v>
      </c>
      <c r="C30" s="3784">
        <f>Summary1!C30</f>
        <v>160.49409054511213</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160.49409054511213</v>
      </c>
      <c r="L30" s="19"/>
    </row>
    <row r="31" spans="2:12" ht="18" customHeight="1" x14ac:dyDescent="0.2">
      <c r="B31" s="780" t="s">
        <v>1937</v>
      </c>
      <c r="C31" s="3767">
        <f>Summary1!C31</f>
        <v>1829.6911462013227</v>
      </c>
      <c r="D31" s="3767">
        <f>IFERROR(Summary1!D31*28,Summary1!D31)</f>
        <v>70379.17086905324</v>
      </c>
      <c r="E31" s="3767">
        <f>IFERROR(Summary1!E31*265,Summary1!E31)</f>
        <v>10851.416611250357</v>
      </c>
      <c r="F31" s="1550"/>
      <c r="G31" s="1550"/>
      <c r="H31" s="1550"/>
      <c r="I31" s="1553"/>
      <c r="J31" s="613"/>
      <c r="K31" s="3828">
        <f t="shared" si="0"/>
        <v>83060.278626504922</v>
      </c>
      <c r="L31" s="19"/>
    </row>
    <row r="32" spans="2:12" ht="18" customHeight="1" x14ac:dyDescent="0.2">
      <c r="B32" s="606" t="s">
        <v>1938</v>
      </c>
      <c r="C32" s="615"/>
      <c r="D32" s="3756">
        <f>IFERROR(Summary1!D32*28,Summary1!D32)</f>
        <v>62465.227507263597</v>
      </c>
      <c r="E32" s="615"/>
      <c r="F32" s="615"/>
      <c r="G32" s="615"/>
      <c r="H32" s="615"/>
      <c r="I32" s="69"/>
      <c r="J32" s="69"/>
      <c r="K32" s="3829">
        <f t="shared" si="0"/>
        <v>62465.227507263597</v>
      </c>
      <c r="L32" s="19"/>
    </row>
    <row r="33" spans="2:12" ht="18" customHeight="1" x14ac:dyDescent="0.2">
      <c r="B33" s="606" t="s">
        <v>1939</v>
      </c>
      <c r="C33" s="615"/>
      <c r="D33" s="3756">
        <f>IFERROR(Summary1!D33*28,Summary1!D33)</f>
        <v>7136.8983821248958</v>
      </c>
      <c r="E33" s="3756">
        <f>IFERROR(Summary1!E33*265,Summary1!E33)</f>
        <v>534.38581735469813</v>
      </c>
      <c r="F33" s="615"/>
      <c r="G33" s="615"/>
      <c r="H33" s="615"/>
      <c r="I33" s="69"/>
      <c r="J33" s="69"/>
      <c r="K33" s="3829">
        <f t="shared" si="0"/>
        <v>7671.2841994795936</v>
      </c>
      <c r="L33" s="19"/>
    </row>
    <row r="34" spans="2:12" ht="18" customHeight="1" x14ac:dyDescent="0.2">
      <c r="B34" s="606" t="s">
        <v>1940</v>
      </c>
      <c r="C34" s="615"/>
      <c r="D34" s="3756">
        <f>IFERROR(Summary1!D34*28,Summary1!D34)</f>
        <v>454.09758729999999</v>
      </c>
      <c r="E34" s="615"/>
      <c r="F34" s="615"/>
      <c r="G34" s="615"/>
      <c r="H34" s="615"/>
      <c r="I34" s="69"/>
      <c r="J34" s="69"/>
      <c r="K34" s="3829">
        <f t="shared" si="0"/>
        <v>454.09758729999999</v>
      </c>
      <c r="L34" s="19"/>
    </row>
    <row r="35" spans="2:12" ht="18" customHeight="1" x14ac:dyDescent="0.2">
      <c r="B35" s="606" t="s">
        <v>1941</v>
      </c>
      <c r="C35" s="1950"/>
      <c r="D35" s="3756" t="str">
        <f>IFERROR(Summary1!D35*28,Summary1!D35)</f>
        <v>NE</v>
      </c>
      <c r="E35" s="3756">
        <f>IFERROR(Summary1!E35*265,Summary1!E35)</f>
        <v>10191.28706766806</v>
      </c>
      <c r="F35" s="615"/>
      <c r="G35" s="615"/>
      <c r="H35" s="615"/>
      <c r="I35" s="69"/>
      <c r="J35" s="69"/>
      <c r="K35" s="3829">
        <f t="shared" si="0"/>
        <v>10191.28706766806</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322.94739236474743</v>
      </c>
      <c r="E37" s="3756">
        <f>IFERROR(Summary1!E37*265,Summary1!E37)</f>
        <v>125.74372622759887</v>
      </c>
      <c r="F37" s="615"/>
      <c r="G37" s="615"/>
      <c r="H37" s="615"/>
      <c r="I37" s="69"/>
      <c r="J37" s="69"/>
      <c r="K37" s="3829">
        <f t="shared" si="0"/>
        <v>448.6911185923463</v>
      </c>
      <c r="L37" s="19"/>
    </row>
    <row r="38" spans="2:12" ht="18" customHeight="1" x14ac:dyDescent="0.2">
      <c r="B38" s="606" t="s">
        <v>955</v>
      </c>
      <c r="C38" s="1949">
        <f>Summary1!C38</f>
        <v>1072.8425829711978</v>
      </c>
      <c r="D38" s="3832"/>
      <c r="E38" s="3832"/>
      <c r="F38" s="615"/>
      <c r="G38" s="615"/>
      <c r="H38" s="615"/>
      <c r="I38" s="69"/>
      <c r="J38" s="69"/>
      <c r="K38" s="3829">
        <f t="shared" si="0"/>
        <v>1072.8425829711978</v>
      </c>
      <c r="L38" s="19"/>
    </row>
    <row r="39" spans="2:12" ht="18" customHeight="1" x14ac:dyDescent="0.2">
      <c r="B39" s="606" t="s">
        <v>956</v>
      </c>
      <c r="C39" s="1949">
        <f>Summary1!C39</f>
        <v>756.84856323012491</v>
      </c>
      <c r="D39" s="3832"/>
      <c r="E39" s="3832"/>
      <c r="F39" s="615"/>
      <c r="G39" s="615"/>
      <c r="H39" s="615"/>
      <c r="I39" s="69"/>
      <c r="J39" s="69"/>
      <c r="K39" s="3829">
        <f t="shared" si="0"/>
        <v>756.84856323012491</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80660.306232489762</v>
      </c>
      <c r="D42" s="1952">
        <f>IFERROR(Summary1!D42*28,Summary1!D42)</f>
        <v>20850.132858452343</v>
      </c>
      <c r="E42" s="1952">
        <f>IFERROR(Summary1!E42*265,Summary1!E42)</f>
        <v>4715.7901885345264</v>
      </c>
      <c r="F42" s="1550"/>
      <c r="G42" s="1550"/>
      <c r="H42" s="1550"/>
      <c r="I42" s="1553"/>
      <c r="J42" s="613"/>
      <c r="K42" s="3828">
        <f t="shared" si="0"/>
        <v>106226.22927947663</v>
      </c>
      <c r="L42" s="19"/>
    </row>
    <row r="43" spans="2:12" ht="18" customHeight="1" x14ac:dyDescent="0.2">
      <c r="B43" s="606" t="s">
        <v>1252</v>
      </c>
      <c r="C43" s="1949">
        <f>Summary1!C43</f>
        <v>-44102.758532752043</v>
      </c>
      <c r="D43" s="1949">
        <f>IFERROR(Summary1!D43*28,Summary1!D43)</f>
        <v>7217.6573189177871</v>
      </c>
      <c r="E43" s="1949">
        <f>IFERROR(Summary1!E43*265,Summary1!E43)</f>
        <v>1368.1774887471586</v>
      </c>
      <c r="F43" s="627"/>
      <c r="G43" s="627"/>
      <c r="H43" s="627"/>
      <c r="I43" s="614"/>
      <c r="J43" s="69"/>
      <c r="K43" s="3829">
        <f t="shared" si="0"/>
        <v>-35516.923725087094</v>
      </c>
      <c r="L43" s="19"/>
    </row>
    <row r="44" spans="2:12" ht="18" customHeight="1" x14ac:dyDescent="0.2">
      <c r="B44" s="606" t="s">
        <v>1255</v>
      </c>
      <c r="C44" s="1949">
        <f>Summary1!C44</f>
        <v>12987.761389425392</v>
      </c>
      <c r="D44" s="1949">
        <f>IFERROR(Summary1!D44*28,Summary1!D44)</f>
        <v>112.6236113342833</v>
      </c>
      <c r="E44" s="1949">
        <f>IFERROR(Summary1!E44*265,Summary1!E44)</f>
        <v>30.919973509778696</v>
      </c>
      <c r="F44" s="627"/>
      <c r="G44" s="627"/>
      <c r="H44" s="627"/>
      <c r="I44" s="614"/>
      <c r="J44" s="69"/>
      <c r="K44" s="3829">
        <f t="shared" si="0"/>
        <v>13131.304974269455</v>
      </c>
      <c r="L44" s="19"/>
    </row>
    <row r="45" spans="2:12" ht="18" customHeight="1" x14ac:dyDescent="0.2">
      <c r="B45" s="606" t="s">
        <v>1258</v>
      </c>
      <c r="C45" s="1949">
        <f>Summary1!C45</f>
        <v>111265.70832686298</v>
      </c>
      <c r="D45" s="1949">
        <f>IFERROR(Summary1!D45*28,Summary1!D45)</f>
        <v>11173.476493737991</v>
      </c>
      <c r="E45" s="1949">
        <f>IFERROR(Summary1!E45*265,Summary1!E45)</f>
        <v>3161.5461601014026</v>
      </c>
      <c r="F45" s="627"/>
      <c r="G45" s="627"/>
      <c r="H45" s="627"/>
      <c r="I45" s="614"/>
      <c r="J45" s="69"/>
      <c r="K45" s="3829">
        <f t="shared" si="0"/>
        <v>125600.73098070237</v>
      </c>
      <c r="L45" s="19"/>
    </row>
    <row r="46" spans="2:12" ht="18" customHeight="1" x14ac:dyDescent="0.2">
      <c r="B46" s="606" t="s">
        <v>1984</v>
      </c>
      <c r="C46" s="1949">
        <f>Summary1!C46</f>
        <v>1391.6380789291641</v>
      </c>
      <c r="D46" s="1949">
        <f>IFERROR(Summary1!D46*28,Summary1!D46)</f>
        <v>2215.2204775150103</v>
      </c>
      <c r="E46" s="1949">
        <f>IFERROR(Summary1!E46*265,Summary1!E46)</f>
        <v>102.47453656275357</v>
      </c>
      <c r="F46" s="627"/>
      <c r="G46" s="627"/>
      <c r="H46" s="627"/>
      <c r="I46" s="614"/>
      <c r="J46" s="69"/>
      <c r="K46" s="3829">
        <f t="shared" si="0"/>
        <v>3709.3330930069283</v>
      </c>
      <c r="L46" s="19"/>
    </row>
    <row r="47" spans="2:12" ht="18" customHeight="1" x14ac:dyDescent="0.2">
      <c r="B47" s="606" t="s">
        <v>1985</v>
      </c>
      <c r="C47" s="1949">
        <f>Summary1!C47</f>
        <v>6613.0693315321951</v>
      </c>
      <c r="D47" s="1949">
        <f>IFERROR(Summary1!D47*28,Summary1!D47)</f>
        <v>131.15495694727107</v>
      </c>
      <c r="E47" s="1949">
        <f>IFERROR(Summary1!E47*265,Summary1!E47)</f>
        <v>27.624901745426328</v>
      </c>
      <c r="F47" s="627"/>
      <c r="G47" s="627"/>
      <c r="H47" s="627"/>
      <c r="I47" s="614"/>
      <c r="J47" s="69"/>
      <c r="K47" s="3829">
        <f t="shared" si="0"/>
        <v>6771.8491902248925</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-7505.3279406263191</v>
      </c>
      <c r="D49" s="3833"/>
      <c r="E49" s="3833"/>
      <c r="F49" s="627"/>
      <c r="G49" s="627"/>
      <c r="H49" s="627"/>
      <c r="I49" s="614"/>
      <c r="J49" s="69"/>
      <c r="K49" s="3829">
        <f t="shared" si="0"/>
        <v>-7505.3279406263191</v>
      </c>
      <c r="L49" s="19"/>
    </row>
    <row r="50" spans="2:12" ht="18" customHeight="1" thickBot="1" x14ac:dyDescent="0.25">
      <c r="B50" s="1554" t="s">
        <v>1988</v>
      </c>
      <c r="C50" s="1951">
        <f>Summary1!C50</f>
        <v>10.215579118396668</v>
      </c>
      <c r="D50" s="1951" t="str">
        <f>IFERROR(Summary1!D50*28,Summary1!D50)</f>
        <v>NO</v>
      </c>
      <c r="E50" s="1951">
        <f>IFERROR(Summary1!E50*265,Summary1!E50)</f>
        <v>25.047127868007145</v>
      </c>
      <c r="F50" s="1953"/>
      <c r="G50" s="1953"/>
      <c r="H50" s="1953"/>
      <c r="I50" s="1555"/>
      <c r="J50" s="87"/>
      <c r="K50" s="3830">
        <f t="shared" si="0"/>
        <v>35.262706986403813</v>
      </c>
      <c r="L50" s="19"/>
    </row>
    <row r="51" spans="2:12" ht="18" customHeight="1" x14ac:dyDescent="0.2">
      <c r="B51" s="1549" t="s">
        <v>1955</v>
      </c>
      <c r="C51" s="1952">
        <f>Summary1!C51</f>
        <v>29.308601056242154</v>
      </c>
      <c r="D51" s="1952">
        <f>IFERROR(Summary1!D51*28,Summary1!D51)</f>
        <v>15180.270348957627</v>
      </c>
      <c r="E51" s="1952">
        <f>IFERROR(Summary1!E51*265,Summary1!E51)</f>
        <v>250.39136088625352</v>
      </c>
      <c r="F51" s="1550"/>
      <c r="G51" s="1550"/>
      <c r="H51" s="1550"/>
      <c r="I51" s="1553"/>
      <c r="J51" s="613"/>
      <c r="K51" s="3828">
        <f t="shared" si="0"/>
        <v>15459.970310900122</v>
      </c>
      <c r="L51" s="19"/>
    </row>
    <row r="52" spans="2:12" ht="18" customHeight="1" x14ac:dyDescent="0.2">
      <c r="B52" s="606" t="s">
        <v>1989</v>
      </c>
      <c r="C52" s="615"/>
      <c r="D52" s="1949">
        <f>IFERROR(Summary1!D52*28,Summary1!D52)</f>
        <v>11941.08951358923</v>
      </c>
      <c r="E52" s="627"/>
      <c r="F52" s="615"/>
      <c r="G52" s="615"/>
      <c r="H52" s="615"/>
      <c r="I52" s="69"/>
      <c r="J52" s="69"/>
      <c r="K52" s="3829">
        <f t="shared" si="0"/>
        <v>11941.08951358923</v>
      </c>
      <c r="L52" s="19"/>
    </row>
    <row r="53" spans="2:12" ht="18" customHeight="1" x14ac:dyDescent="0.2">
      <c r="B53" s="1395" t="s">
        <v>1990</v>
      </c>
      <c r="C53" s="615"/>
      <c r="D53" s="1949">
        <f>IFERROR(Summary1!D53*28,Summary1!D53)</f>
        <v>70.636587000000006</v>
      </c>
      <c r="E53" s="1949">
        <f>IFERROR(Summary1!E53*265,Summary1!E53)</f>
        <v>85.571179679999986</v>
      </c>
      <c r="F53" s="615"/>
      <c r="G53" s="615"/>
      <c r="H53" s="615"/>
      <c r="I53" s="69"/>
      <c r="J53" s="69"/>
      <c r="K53" s="3829">
        <f t="shared" si="0"/>
        <v>156.20776667999999</v>
      </c>
      <c r="L53" s="19"/>
    </row>
    <row r="54" spans="2:12" ht="18" customHeight="1" x14ac:dyDescent="0.2">
      <c r="B54" s="1396" t="s">
        <v>1991</v>
      </c>
      <c r="C54" s="1949">
        <f>Summary1!C54</f>
        <v>29.308601056242154</v>
      </c>
      <c r="D54" s="1949" t="str">
        <f>IFERROR(Summary1!D54*28,Summary1!D54)</f>
        <v>NO,NE</v>
      </c>
      <c r="E54" s="1949" t="str">
        <f>IFERROR(Summary1!E54*265,Summary1!E54)</f>
        <v>NO,NE</v>
      </c>
      <c r="F54" s="615"/>
      <c r="G54" s="615"/>
      <c r="H54" s="615"/>
      <c r="I54" s="69"/>
      <c r="J54" s="69"/>
      <c r="K54" s="3829">
        <f t="shared" si="0"/>
        <v>29.308601056242154</v>
      </c>
      <c r="L54" s="19"/>
    </row>
    <row r="55" spans="2:12" ht="18" customHeight="1" x14ac:dyDescent="0.2">
      <c r="B55" s="606" t="s">
        <v>1992</v>
      </c>
      <c r="C55" s="615"/>
      <c r="D55" s="1949">
        <f>IFERROR(Summary1!D55*28,Summary1!D55)</f>
        <v>3168.5442483683992</v>
      </c>
      <c r="E55" s="1949">
        <f>IFERROR(Summary1!E55*265,Summary1!E55)</f>
        <v>164.82018120625355</v>
      </c>
      <c r="F55" s="615"/>
      <c r="G55" s="615"/>
      <c r="H55" s="615"/>
      <c r="I55" s="69"/>
      <c r="J55" s="69"/>
      <c r="K55" s="3829">
        <f t="shared" si="0"/>
        <v>3333.3644295746526</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11377.083790508199</v>
      </c>
      <c r="D60" s="617">
        <f>IFERROR(Summary1!D61*28,Summary1!D61)</f>
        <v>8.4869729631120023</v>
      </c>
      <c r="E60" s="617">
        <f>IFERROR(Summary1!E61*265,Summary1!E61)</f>
        <v>33.489503469015261</v>
      </c>
      <c r="F60" s="1957"/>
      <c r="G60" s="1957"/>
      <c r="H60" s="1958"/>
      <c r="I60" s="618"/>
      <c r="J60" s="618"/>
      <c r="K60" s="619">
        <f t="shared" ref="K60:K66" si="2">IF(SUM(C60:J60)=0,"NO",SUM(C60:J60))</f>
        <v>11419.060266940325</v>
      </c>
    </row>
    <row r="61" spans="2:12" ht="18" customHeight="1" x14ac:dyDescent="0.2">
      <c r="B61" s="1385" t="s">
        <v>218</v>
      </c>
      <c r="C61" s="617">
        <f>Summary1!C62</f>
        <v>8381.4122918399989</v>
      </c>
      <c r="D61" s="617">
        <f>IFERROR(Summary1!D62*28,Summary1!D62)</f>
        <v>0.42182574000000006</v>
      </c>
      <c r="E61" s="617">
        <f>IFERROR(Summary1!E62*265,Summary1!E62)</f>
        <v>11.680686998355263</v>
      </c>
      <c r="F61" s="615"/>
      <c r="G61" s="615"/>
      <c r="H61" s="615"/>
      <c r="I61" s="621"/>
      <c r="J61" s="621"/>
      <c r="K61" s="622">
        <f t="shared" si="2"/>
        <v>8393.5148045783553</v>
      </c>
    </row>
    <row r="62" spans="2:12" ht="18" customHeight="1" x14ac:dyDescent="0.2">
      <c r="B62" s="1386" t="s">
        <v>1963</v>
      </c>
      <c r="C62" s="617">
        <f>Summary1!C63</f>
        <v>2995.6714986682</v>
      </c>
      <c r="D62" s="617">
        <f>IFERROR(Summary1!D63*28,Summary1!D63)</f>
        <v>8.0651472231120014</v>
      </c>
      <c r="E62" s="617">
        <f>IFERROR(Summary1!E63*265,Summary1!E63)</f>
        <v>21.808816470660002</v>
      </c>
      <c r="F62" s="615"/>
      <c r="G62" s="615"/>
      <c r="H62" s="615"/>
      <c r="I62" s="623"/>
      <c r="J62" s="623"/>
      <c r="K62" s="619">
        <f t="shared" si="2"/>
        <v>3025.5454623619721</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19104.041734213242</v>
      </c>
      <c r="D64" s="627"/>
      <c r="E64" s="627"/>
      <c r="F64" s="627"/>
      <c r="G64" s="627"/>
      <c r="H64" s="627"/>
      <c r="I64" s="614"/>
      <c r="J64" s="614"/>
      <c r="K64" s="628">
        <f t="shared" si="2"/>
        <v>19104.041734213242</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258915.41439428658</v>
      </c>
      <c r="D66" s="631"/>
      <c r="E66" s="631"/>
      <c r="F66" s="631"/>
      <c r="G66" s="631"/>
      <c r="H66" s="631"/>
      <c r="I66" s="630"/>
      <c r="J66" s="630"/>
      <c r="K66" s="632">
        <f t="shared" si="2"/>
        <v>258915.41439428658</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538698.03034436051</v>
      </c>
      <c r="N71" s="1122"/>
    </row>
    <row r="72" spans="2:14" s="636" customFormat="1" ht="18" customHeight="1" x14ac:dyDescent="0.25">
      <c r="B72" s="640"/>
      <c r="C72" s="641"/>
      <c r="D72" s="641"/>
      <c r="E72" s="641"/>
      <c r="F72" s="641"/>
      <c r="G72" s="641"/>
      <c r="H72" s="641"/>
      <c r="I72" s="641"/>
      <c r="J72" s="2573" t="s">
        <v>1999</v>
      </c>
      <c r="K72" s="628">
        <f>K10</f>
        <v>644924.25962383708</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766679.33735525969</v>
      </c>
      <c r="D10" s="3055" t="s">
        <v>97</v>
      </c>
      <c r="E10" s="615"/>
      <c r="F10" s="615"/>
      <c r="G10" s="615"/>
      <c r="H10" s="4219">
        <f>IF(SUM(H11:H15)=0,"NO",SUM(H11:H15))</f>
        <v>40191.294818873052</v>
      </c>
      <c r="I10" s="4219">
        <f t="shared" ref="I10:K10" si="0">IF(SUM(I11:I16)=0,"NO",SUM(I11:I16))</f>
        <v>2.3473627845463243</v>
      </c>
      <c r="J10" s="4226">
        <f t="shared" si="0"/>
        <v>1.3342298221966118</v>
      </c>
      <c r="K10" s="3044" t="str">
        <f t="shared" si="0"/>
        <v>NO</v>
      </c>
    </row>
    <row r="11" spans="2:11" ht="18" customHeight="1" x14ac:dyDescent="0.2">
      <c r="B11" s="282" t="s">
        <v>243</v>
      </c>
      <c r="C11" s="1938">
        <f>IF(SUM(C18,C25,C32,C39,C46,C53,C68,C75,C82,C89,C96,C103,C120,C110:C113)=0,"NO",SUM(C18,C25,C32,C39,C46,C53,C68,C75,C82,C89,C96,C103,C120,C110:C113))</f>
        <v>184649.86404486519</v>
      </c>
      <c r="D11" s="3056" t="s">
        <v>97</v>
      </c>
      <c r="E11" s="1938">
        <f>IFERROR(H11*1000/$C11,"NA")</f>
        <v>68.715293539644449</v>
      </c>
      <c r="F11" s="1938">
        <f t="shared" ref="F11:G16" si="1">IFERROR(I11*1000000/$C11,"NA")</f>
        <v>4.1946052248083578</v>
      </c>
      <c r="G11" s="1938">
        <f t="shared" si="1"/>
        <v>1.848906762772478</v>
      </c>
      <c r="H11" s="1938">
        <f>IF(SUM(H18,H25,H32,H39,H46,H53,H68,H75,H82,H89,H96,H103,H120,H110:H113)=0,"NO",SUM(H18,H25,H32,H39,H46,H53,H68,H75,H82,H89,H96,H103,H120,H110:H113))</f>
        <v>12688.269609898351</v>
      </c>
      <c r="I11" s="1938">
        <f>IF(SUM(I18,I25,I32,I39,I46,I53,I68,I75,I82,I89,I96,I103,I120,I110:I113)=0,"NO",SUM(I18,I25,I32,I39,I46,I53,I68,I75,I82,I89,I96,I103,I120,I110:I113))</f>
        <v>0.7745332844827445</v>
      </c>
      <c r="J11" s="1938">
        <f>IF(SUM(J18,J25,J32,J39,J46,J53,J68,J75,J82,J89,J96,J103,J120,J110:J113)=0,"NO",SUM(J18,J25,J32,J39,J46,J53,J68,J75,J82,J89,J96,J103,J120,J110:J113))</f>
        <v>0.34140038237756987</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133065.73627144683</v>
      </c>
      <c r="D12" s="3056" t="s">
        <v>97</v>
      </c>
      <c r="E12" s="1938">
        <f t="shared" ref="E12:E16" si="2">IFERROR(H12*1000/$C12,"NA")</f>
        <v>80.87120857998903</v>
      </c>
      <c r="F12" s="1938">
        <f t="shared" si="1"/>
        <v>0.9502921196302857</v>
      </c>
      <c r="G12" s="1938">
        <f t="shared" si="1"/>
        <v>0.69923490857181891</v>
      </c>
      <c r="H12" s="1938">
        <f>IF(SUM(H19,H26,H33,H40,H47,H54,H69,H76,H83,H90,H97,H104,H121)=0,"NO",SUM(H19,H26,H33,H40,H47,H54,H69,H76,H83,H90,H97,H104,H121))</f>
        <v>10761.186912857989</v>
      </c>
      <c r="I12" s="1938">
        <f>IF(SUM(I19,I26,I33,I40,I47,I54,I69,I76,I83,I90,I97,I104,I121)=0,"NO",SUM(I19,I26,I33,I40,I47,I54,I69,I76,I83,I90,I97,I104,I121))</f>
        <v>0.12645132057155781</v>
      </c>
      <c r="J12" s="1938">
        <f>IF(SUM(J19,J26,J33,J40,J47,J54,J69,J76,J83,J90,J97,J104,J121)=0,"NO",SUM(J19,J26,J33,J40,J47,J54,J69,J76,J83,J90,J97,J104,J121))</f>
        <v>9.3044207935806894E-2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324961.74214070966</v>
      </c>
      <c r="D13" s="3056" t="s">
        <v>97</v>
      </c>
      <c r="E13" s="1938">
        <f t="shared" si="2"/>
        <v>51.519413287941532</v>
      </c>
      <c r="F13" s="1938">
        <f t="shared" si="1"/>
        <v>0.96148409392329759</v>
      </c>
      <c r="G13" s="1938">
        <f t="shared" si="1"/>
        <v>0.54895692121341799</v>
      </c>
      <c r="H13" s="1938">
        <f t="shared" ref="H13:K14" si="3">IF(SUM(H20,H27,H34,H41,H48,H55,H70,H77,H84,H91,H98,H105,H122,H115)=0,"NO",SUM(H20,H27,H34,H41,H48,H55,H70,H77,H84,H91,H98,H105,H122,H115))</f>
        <v>16741.838296116708</v>
      </c>
      <c r="I13" s="1938">
        <f t="shared" si="3"/>
        <v>0.31244554620189652</v>
      </c>
      <c r="J13" s="1938">
        <f t="shared" si="3"/>
        <v>0.17838999747771261</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124001.99489823794</v>
      </c>
      <c r="D16" s="3071" t="s">
        <v>97</v>
      </c>
      <c r="E16" s="1938">
        <f t="shared" si="2"/>
        <v>94.649592257443913</v>
      </c>
      <c r="F16" s="1938">
        <f t="shared" si="1"/>
        <v>9.1444708951713682</v>
      </c>
      <c r="G16" s="1938">
        <f t="shared" si="1"/>
        <v>5.8176099102077696</v>
      </c>
      <c r="H16" s="1938">
        <f>IF(SUM(H23,H30,H37,H44,H51,H58,H73,H80,H87,H94,H101,H108,H125,H117)=0,"NO",SUM(H23,H30,H37,H44,H51,H58,H73,H80,H87,H94,H101,H108,H125,H117))</f>
        <v>11736.738256227862</v>
      </c>
      <c r="I16" s="1938">
        <f>IF(SUM(I23,I30,I37,I44,I51,I58,I73,I80,I87,I94,I101,I108,I125,I117)=0,"NO",SUM(I23,I30,I37,I44,I51,I58,I73,I80,I87,I94,I101,I108,I125,I117))</f>
        <v>1.1339326332901254</v>
      </c>
      <c r="J16" s="1938">
        <f>IF(SUM(J23,J30,J37,J44,J51,J58,J73,J80,J87,J94,J101,J108,J125,J117)=0,"NO",SUM(J23,J30,J37,J44,J51,J58,J73,J80,J87,J94,J101,J108,J125,J117))</f>
        <v>0.72139523440552233</v>
      </c>
      <c r="K16" s="3044" t="str">
        <f>IF(SUM(K23,K30,K37,K44,K51,K58,K73,K80,K87,K94,K101,K108,K125,K117)=0,"NO",SUM(K23,K30,K37,K44,K51,K58,K73,K80,K87,K94,K101,K108,K125,K117))</f>
        <v>NO</v>
      </c>
    </row>
    <row r="17" spans="2:11" ht="18" customHeight="1" x14ac:dyDescent="0.2">
      <c r="B17" s="1240" t="s">
        <v>264</v>
      </c>
      <c r="C17" s="1938">
        <f>IF(SUM(C18:C23)=0,"NO",SUM(C18:C23))</f>
        <v>53042.698036062866</v>
      </c>
      <c r="D17" s="3055" t="s">
        <v>97</v>
      </c>
      <c r="E17" s="615"/>
      <c r="F17" s="615"/>
      <c r="G17" s="615"/>
      <c r="H17" s="1938">
        <f>IF(SUM(H18:H22)=0,"NO",SUM(H18:H22))</f>
        <v>2573.2111314566109</v>
      </c>
      <c r="I17" s="1938">
        <f t="shared" ref="I17:K17" si="4">IF(SUM(I18:I23)=0,"NO",SUM(I18:I23))</f>
        <v>5.5926734335182721E-2</v>
      </c>
      <c r="J17" s="1938">
        <f t="shared" si="4"/>
        <v>3.1687363277597677E-2</v>
      </c>
      <c r="K17" s="3044" t="str">
        <f t="shared" si="4"/>
        <v>NO</v>
      </c>
    </row>
    <row r="18" spans="2:11" ht="18" customHeight="1" x14ac:dyDescent="0.2">
      <c r="B18" s="282" t="s">
        <v>243</v>
      </c>
      <c r="C18" s="699">
        <v>1835.2437697298612</v>
      </c>
      <c r="D18" s="3056" t="s">
        <v>97</v>
      </c>
      <c r="E18" s="1938">
        <f>IFERROR(H18*1000/$C18,"NA")</f>
        <v>71.376964274781301</v>
      </c>
      <c r="F18" s="1938">
        <f t="shared" ref="F18:G23" si="5">IFERROR(I18*1000000/$C18,"NA")</f>
        <v>3.8221688270859664</v>
      </c>
      <c r="G18" s="1938">
        <f t="shared" si="5"/>
        <v>1.1581903951442307</v>
      </c>
      <c r="H18" s="699">
        <v>130.99412898752325</v>
      </c>
      <c r="I18" s="699">
        <v>7.0146115267652109E-3</v>
      </c>
      <c r="J18" s="699">
        <v>2.1255617068494156E-3</v>
      </c>
      <c r="K18" s="3072" t="s">
        <v>199</v>
      </c>
    </row>
    <row r="19" spans="2:11" ht="18" customHeight="1" x14ac:dyDescent="0.2">
      <c r="B19" s="282" t="s">
        <v>245</v>
      </c>
      <c r="C19" s="699">
        <v>27296.034181190105</v>
      </c>
      <c r="D19" s="3056" t="s">
        <v>97</v>
      </c>
      <c r="E19" s="1938">
        <f t="shared" ref="E19:E23" si="6">IFERROR(H19*1000/$C19,"NA")</f>
        <v>44.434477830177528</v>
      </c>
      <c r="F19" s="1938">
        <f t="shared" si="5"/>
        <v>0.95565220311645005</v>
      </c>
      <c r="G19" s="1938">
        <f t="shared" si="5"/>
        <v>0.59489504524374093</v>
      </c>
      <c r="H19" s="699">
        <v>1212.8850256758597</v>
      </c>
      <c r="I19" s="699">
        <v>2.6085515201596247E-2</v>
      </c>
      <c r="J19" s="699">
        <v>1.6238275489193786E-2</v>
      </c>
      <c r="K19" s="3072" t="s">
        <v>199</v>
      </c>
    </row>
    <row r="20" spans="2:11" ht="18" customHeight="1" x14ac:dyDescent="0.2">
      <c r="B20" s="282" t="s">
        <v>246</v>
      </c>
      <c r="C20" s="699">
        <v>23911.420085142901</v>
      </c>
      <c r="D20" s="3056" t="s">
        <v>97</v>
      </c>
      <c r="E20" s="1938">
        <f t="shared" si="6"/>
        <v>51.411918339265007</v>
      </c>
      <c r="F20" s="1938">
        <f t="shared" si="5"/>
        <v>0.9546320346320345</v>
      </c>
      <c r="G20" s="1938">
        <f t="shared" si="5"/>
        <v>0.55720346320346315</v>
      </c>
      <c r="H20" s="699">
        <v>1229.331976793228</v>
      </c>
      <c r="I20" s="699">
        <v>2.2826607606821266E-2</v>
      </c>
      <c r="J20" s="699">
        <v>1.3323526081554472E-2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222524.314131666</v>
      </c>
      <c r="D24" s="3056" t="s">
        <v>97</v>
      </c>
      <c r="E24" s="615"/>
      <c r="F24" s="615"/>
      <c r="G24" s="615"/>
      <c r="H24" s="1938">
        <f>IF(SUM(H25:H29)=0,"NO",SUM(H25:H29))</f>
        <v>13867.544056210947</v>
      </c>
      <c r="I24" s="1938">
        <f t="shared" ref="I24:K24" si="7">IF(SUM(I25:I30)=0,"NO",SUM(I25:I30))</f>
        <v>0.26550517664676743</v>
      </c>
      <c r="J24" s="1938">
        <f t="shared" si="7"/>
        <v>0.15465014104088276</v>
      </c>
      <c r="K24" s="3044" t="str">
        <f t="shared" si="7"/>
        <v>NO</v>
      </c>
    </row>
    <row r="25" spans="2:11" ht="18" customHeight="1" x14ac:dyDescent="0.2">
      <c r="B25" s="282" t="s">
        <v>243</v>
      </c>
      <c r="C25" s="699">
        <v>34728.382798417399</v>
      </c>
      <c r="D25" s="3056" t="s">
        <v>97</v>
      </c>
      <c r="E25" s="1938">
        <f>IFERROR(H25*1000/$C25,"NA")</f>
        <v>73.09868826931374</v>
      </c>
      <c r="F25" s="1938">
        <f t="shared" ref="F25:G30" si="8">IFERROR(I25*1000000/$C25,"NA")</f>
        <v>1.925727952909976</v>
      </c>
      <c r="G25" s="1938">
        <f t="shared" si="8"/>
        <v>0.84091309154677962</v>
      </c>
      <c r="H25" s="699">
        <v>2538.5992282789111</v>
      </c>
      <c r="I25" s="699">
        <v>6.6877417514270357E-2</v>
      </c>
      <c r="J25" s="699">
        <v>2.9203551743437178E-2</v>
      </c>
      <c r="K25" s="3072" t="s">
        <v>199</v>
      </c>
    </row>
    <row r="26" spans="2:11" ht="18" customHeight="1" x14ac:dyDescent="0.2">
      <c r="B26" s="282" t="s">
        <v>245</v>
      </c>
      <c r="C26" s="699">
        <v>45072.21303744246</v>
      </c>
      <c r="D26" s="3056" t="s">
        <v>97</v>
      </c>
      <c r="E26" s="1938">
        <f t="shared" ref="E26:E30" si="9">IFERROR(H26*1000/$C26,"NA")</f>
        <v>91.202788061113651</v>
      </c>
      <c r="F26" s="1938">
        <f t="shared" si="8"/>
        <v>0.952380952380952</v>
      </c>
      <c r="G26" s="1938">
        <f t="shared" si="8"/>
        <v>0.706095238095238</v>
      </c>
      <c r="H26" s="699">
        <v>4110.7114930992284</v>
      </c>
      <c r="I26" s="699">
        <v>4.2925917178516612E-2</v>
      </c>
      <c r="J26" s="699">
        <v>3.1825274996152224E-2</v>
      </c>
      <c r="K26" s="3072" t="s">
        <v>199</v>
      </c>
    </row>
    <row r="27" spans="2:11" ht="18" customHeight="1" x14ac:dyDescent="0.2">
      <c r="B27" s="282" t="s">
        <v>246</v>
      </c>
      <c r="C27" s="699">
        <v>140400.00000000003</v>
      </c>
      <c r="D27" s="3056" t="s">
        <v>97</v>
      </c>
      <c r="E27" s="1938">
        <f t="shared" si="9"/>
        <v>51.411918339265</v>
      </c>
      <c r="F27" s="1938">
        <f t="shared" si="8"/>
        <v>0.95727272727272728</v>
      </c>
      <c r="G27" s="1938">
        <f t="shared" si="8"/>
        <v>0.57027272727272726</v>
      </c>
      <c r="H27" s="699">
        <v>7218.2333348328075</v>
      </c>
      <c r="I27" s="699">
        <v>0.13440109090909094</v>
      </c>
      <c r="J27" s="699">
        <v>8.0066290909090926E-2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2323.7182958061303</v>
      </c>
      <c r="D30" s="3056" t="s">
        <v>97</v>
      </c>
      <c r="E30" s="1938">
        <f t="shared" si="9"/>
        <v>94</v>
      </c>
      <c r="F30" s="1938">
        <f t="shared" si="8"/>
        <v>9.1666666666666679</v>
      </c>
      <c r="G30" s="1938">
        <f t="shared" si="8"/>
        <v>5.833333333333333</v>
      </c>
      <c r="H30" s="699">
        <v>218.42951980577624</v>
      </c>
      <c r="I30" s="699">
        <v>2.1300751044889529E-2</v>
      </c>
      <c r="J30" s="699">
        <v>1.3555023392202426E-2</v>
      </c>
      <c r="K30" s="3072" t="s">
        <v>199</v>
      </c>
    </row>
    <row r="31" spans="2:11" ht="18" customHeight="1" x14ac:dyDescent="0.2">
      <c r="B31" s="1240" t="s">
        <v>266</v>
      </c>
      <c r="C31" s="1938">
        <f>IF(SUM(C32:C37)=0,"NO",SUM(C32:C37))</f>
        <v>106769.89641880197</v>
      </c>
      <c r="D31" s="3056" t="s">
        <v>97</v>
      </c>
      <c r="E31" s="615"/>
      <c r="F31" s="615"/>
      <c r="G31" s="615"/>
      <c r="H31" s="1938">
        <f>IF(SUM(H32:H36)=0,"NO",SUM(H32:H36))</f>
        <v>6570.5784458041981</v>
      </c>
      <c r="I31" s="1938">
        <f t="shared" ref="I31:K31" si="10">IF(SUM(I32:I37)=0,"NO",SUM(I32:I37))</f>
        <v>0.22639885085377853</v>
      </c>
      <c r="J31" s="1938">
        <f t="shared" si="10"/>
        <v>7.0444353591148021E-2</v>
      </c>
      <c r="K31" s="3044" t="str">
        <f t="shared" si="10"/>
        <v>NO</v>
      </c>
    </row>
    <row r="32" spans="2:11" ht="18" customHeight="1" x14ac:dyDescent="0.2">
      <c r="B32" s="282" t="s">
        <v>243</v>
      </c>
      <c r="C32" s="699">
        <v>64318.923084055117</v>
      </c>
      <c r="D32" s="3056" t="s">
        <v>97</v>
      </c>
      <c r="E32" s="1938">
        <f>IFERROR(H32*1000/$C32,"NA")</f>
        <v>66.092131142222087</v>
      </c>
      <c r="F32" s="1938">
        <f t="shared" ref="F32:G37" si="11">IFERROR(I32*1000000/$C32,"NA")</f>
        <v>2.8564544364390296</v>
      </c>
      <c r="G32" s="1938">
        <f t="shared" si="11"/>
        <v>0.74676708703489691</v>
      </c>
      <c r="H32" s="699">
        <v>4250.974699397867</v>
      </c>
      <c r="I32" s="699">
        <v>0.18372407319042994</v>
      </c>
      <c r="J32" s="699">
        <v>4.8031254832701431E-2</v>
      </c>
      <c r="K32" s="3072" t="s">
        <v>199</v>
      </c>
    </row>
    <row r="33" spans="2:11" ht="18" customHeight="1" x14ac:dyDescent="0.2">
      <c r="B33" s="282" t="s">
        <v>245</v>
      </c>
      <c r="C33" s="699">
        <v>3089.8334255628715</v>
      </c>
      <c r="D33" s="3056" t="s">
        <v>97</v>
      </c>
      <c r="E33" s="1938">
        <f t="shared" ref="E33:E37" si="12">IFERROR(H33*1000/$C33,"NA")</f>
        <v>91.274000905829737</v>
      </c>
      <c r="F33" s="1938">
        <f t="shared" si="11"/>
        <v>0.95238095238095233</v>
      </c>
      <c r="G33" s="1938">
        <f t="shared" si="11"/>
        <v>0.66666666666666674</v>
      </c>
      <c r="H33" s="699">
        <v>282.02145888368858</v>
      </c>
      <c r="I33" s="699">
        <v>2.942698500536068E-3</v>
      </c>
      <c r="J33" s="699">
        <v>2.0598889503752479E-3</v>
      </c>
      <c r="K33" s="3072" t="s">
        <v>199</v>
      </c>
    </row>
    <row r="34" spans="2:11" ht="18" customHeight="1" x14ac:dyDescent="0.2">
      <c r="B34" s="282" t="s">
        <v>246</v>
      </c>
      <c r="C34" s="699">
        <v>38953.0405870869</v>
      </c>
      <c r="D34" s="3056" t="s">
        <v>97</v>
      </c>
      <c r="E34" s="1938">
        <f t="shared" si="12"/>
        <v>52.308683913062985</v>
      </c>
      <c r="F34" s="1938">
        <f t="shared" si="11"/>
        <v>0.95635855149418492</v>
      </c>
      <c r="G34" s="1938">
        <f t="shared" si="11"/>
        <v>0.48840889170175517</v>
      </c>
      <c r="H34" s="699">
        <v>2037.5822875226422</v>
      </c>
      <c r="I34" s="699">
        <v>3.7253073472160621E-2</v>
      </c>
      <c r="J34" s="699">
        <v>1.90250113815526E-2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408.09932209709001</v>
      </c>
      <c r="D37" s="3056" t="s">
        <v>97</v>
      </c>
      <c r="E37" s="1938">
        <f t="shared" si="12"/>
        <v>80.895347013765274</v>
      </c>
      <c r="F37" s="1938">
        <f t="shared" si="11"/>
        <v>6.0745155809450777</v>
      </c>
      <c r="G37" s="1938">
        <f t="shared" si="11"/>
        <v>3.2545960127881579</v>
      </c>
      <c r="H37" s="699">
        <v>33.013336277126463</v>
      </c>
      <c r="I37" s="699">
        <v>2.4790056906518971E-3</v>
      </c>
      <c r="J37" s="699">
        <v>1.3281984265187394E-3</v>
      </c>
      <c r="K37" s="3072" t="s">
        <v>199</v>
      </c>
    </row>
    <row r="38" spans="2:11" ht="18" customHeight="1" x14ac:dyDescent="0.2">
      <c r="B38" s="1240" t="s">
        <v>267</v>
      </c>
      <c r="C38" s="1938">
        <f>IF(SUM(C39:C44)=0,"NO",SUM(C39:C44))</f>
        <v>52674.864691204726</v>
      </c>
      <c r="D38" s="3056" t="s">
        <v>97</v>
      </c>
      <c r="E38" s="615"/>
      <c r="F38" s="615"/>
      <c r="G38" s="615"/>
      <c r="H38" s="1938">
        <f>IF(SUM(H39:H43)=0,"NO",SUM(H39:H43))</f>
        <v>1770.9591543256661</v>
      </c>
      <c r="I38" s="1938">
        <f t="shared" ref="I38:K38" si="13">IF(SUM(I39:I44)=0,"NO",SUM(I39:I44))</f>
        <v>0.24264111665164254</v>
      </c>
      <c r="J38" s="1938">
        <f t="shared" si="13"/>
        <v>0.16137317586815389</v>
      </c>
      <c r="K38" s="3044" t="str">
        <f t="shared" si="13"/>
        <v>NO</v>
      </c>
    </row>
    <row r="39" spans="2:11" ht="18" customHeight="1" x14ac:dyDescent="0.2">
      <c r="B39" s="282" t="s">
        <v>243</v>
      </c>
      <c r="C39" s="699">
        <v>650.06247735592103</v>
      </c>
      <c r="D39" s="3056" t="s">
        <v>97</v>
      </c>
      <c r="E39" s="1938">
        <f>IFERROR(H39*1000/$C39,"NA")</f>
        <v>68.031016826550058</v>
      </c>
      <c r="F39" s="1938">
        <f t="shared" ref="F39:G44" si="14">IFERROR(I39*1000000/$C39,"NA")</f>
        <v>0.56592871569118131</v>
      </c>
      <c r="G39" s="1938">
        <f t="shared" si="14"/>
        <v>0.88025924532335342</v>
      </c>
      <c r="H39" s="699">
        <v>44.224411335309483</v>
      </c>
      <c r="I39" s="699">
        <v>3.6788902292906402E-4</v>
      </c>
      <c r="J39" s="699">
        <v>5.7222350573035263E-4</v>
      </c>
      <c r="K39" s="3072" t="s">
        <v>199</v>
      </c>
    </row>
    <row r="40" spans="2:11" ht="18" customHeight="1" x14ac:dyDescent="0.2">
      <c r="B40" s="282" t="s">
        <v>245</v>
      </c>
      <c r="C40" s="699">
        <v>6829.2</v>
      </c>
      <c r="D40" s="3056" t="s">
        <v>97</v>
      </c>
      <c r="E40" s="1938">
        <f t="shared" ref="E40:E44" si="15">IFERROR(H40*1000/$C40,"NA")</f>
        <v>89.999999999999986</v>
      </c>
      <c r="F40" s="1938">
        <f t="shared" si="14"/>
        <v>0.95238095238095233</v>
      </c>
      <c r="G40" s="1938">
        <f t="shared" si="14"/>
        <v>0.66666666666666674</v>
      </c>
      <c r="H40" s="699">
        <v>614.62799999999993</v>
      </c>
      <c r="I40" s="699">
        <v>6.5039999999999994E-3</v>
      </c>
      <c r="J40" s="699">
        <v>4.5528000000000001E-3</v>
      </c>
      <c r="K40" s="3072" t="s">
        <v>199</v>
      </c>
    </row>
    <row r="41" spans="2:11" ht="18" customHeight="1" x14ac:dyDescent="0.2">
      <c r="B41" s="282" t="s">
        <v>246</v>
      </c>
      <c r="C41" s="699">
        <v>21631.302213848801</v>
      </c>
      <c r="D41" s="3056" t="s">
        <v>97</v>
      </c>
      <c r="E41" s="1938">
        <f t="shared" si="15"/>
        <v>51.411918339264993</v>
      </c>
      <c r="F41" s="1938">
        <f t="shared" si="14"/>
        <v>0.91363636363636358</v>
      </c>
      <c r="G41" s="1938">
        <f t="shared" si="14"/>
        <v>0.86863636363636365</v>
      </c>
      <c r="H41" s="699">
        <v>1112.1067429903567</v>
      </c>
      <c r="I41" s="699">
        <v>1.976314429538004E-2</v>
      </c>
      <c r="J41" s="699">
        <v>1.8789735695756843E-2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23564.3</v>
      </c>
      <c r="D44" s="3055" t="s">
        <v>97</v>
      </c>
      <c r="E44" s="1938">
        <f t="shared" si="15"/>
        <v>94.000000000000028</v>
      </c>
      <c r="F44" s="1938">
        <f t="shared" si="14"/>
        <v>9.1666666666666714</v>
      </c>
      <c r="G44" s="1938">
        <f t="shared" si="14"/>
        <v>5.8333333333333339</v>
      </c>
      <c r="H44" s="699">
        <v>2215.0442000000007</v>
      </c>
      <c r="I44" s="699">
        <v>0.21600608333333343</v>
      </c>
      <c r="J44" s="699">
        <v>0.13745841666666669</v>
      </c>
      <c r="K44" s="3072" t="s">
        <v>199</v>
      </c>
    </row>
    <row r="45" spans="2:11" ht="18" customHeight="1" x14ac:dyDescent="0.2">
      <c r="B45" s="1240" t="s">
        <v>268</v>
      </c>
      <c r="C45" s="1938">
        <f>IF(SUM(C46:C51)=0,"NO",SUM(C46:C51))</f>
        <v>146998.34012903096</v>
      </c>
      <c r="D45" s="3055" t="s">
        <v>97</v>
      </c>
      <c r="E45" s="615"/>
      <c r="F45" s="615"/>
      <c r="G45" s="615"/>
      <c r="H45" s="1938">
        <f>IF(SUM(H46:H50)=0,"NO",SUM(H46:H50))</f>
        <v>3309.006745054241</v>
      </c>
      <c r="I45" s="1938">
        <f t="shared" ref="I45:K45" si="16">IF(SUM(I46:I51)=0,"NO",SUM(I46:I51))</f>
        <v>0.93449619070877787</v>
      </c>
      <c r="J45" s="1938">
        <f t="shared" si="16"/>
        <v>0.60752144803479136</v>
      </c>
      <c r="K45" s="3044" t="str">
        <f t="shared" si="16"/>
        <v>NO</v>
      </c>
    </row>
    <row r="46" spans="2:11" ht="18" customHeight="1" x14ac:dyDescent="0.2">
      <c r="B46" s="282" t="s">
        <v>243</v>
      </c>
      <c r="C46" s="699">
        <v>2967.6688957965421</v>
      </c>
      <c r="D46" s="3055" t="s">
        <v>97</v>
      </c>
      <c r="E46" s="1938">
        <f>IFERROR(H46*1000/$C46,"NA")</f>
        <v>67.522761705863658</v>
      </c>
      <c r="F46" s="1938">
        <f t="shared" ref="F46:G51" si="17">IFERROR(I46*1000000/$C46,"NA")</f>
        <v>2.0357421832124731</v>
      </c>
      <c r="G46" s="1938">
        <f t="shared" si="17"/>
        <v>2.3580584027776887</v>
      </c>
      <c r="H46" s="699">
        <v>200.38519967277341</v>
      </c>
      <c r="I46" s="699">
        <v>6.0414087569806013E-3</v>
      </c>
      <c r="J46" s="699">
        <v>6.9979365763950217E-3</v>
      </c>
      <c r="K46" s="3072" t="s">
        <v>199</v>
      </c>
    </row>
    <row r="47" spans="2:11" ht="18" customHeight="1" x14ac:dyDescent="0.2">
      <c r="B47" s="282" t="s">
        <v>245</v>
      </c>
      <c r="C47" s="699">
        <v>17622.24506956985</v>
      </c>
      <c r="D47" s="3055" t="s">
        <v>97</v>
      </c>
      <c r="E47" s="1938">
        <f t="shared" ref="E47:E51" si="18">IFERROR(H47*1000/$C47,"NA")</f>
        <v>89.585372966129512</v>
      </c>
      <c r="F47" s="1938">
        <f t="shared" si="17"/>
        <v>0.95238095238095244</v>
      </c>
      <c r="G47" s="1938">
        <f t="shared" si="17"/>
        <v>0.67523809523809519</v>
      </c>
      <c r="H47" s="699">
        <v>1578.6953970579518</v>
      </c>
      <c r="I47" s="699">
        <v>1.6783090542447476E-2</v>
      </c>
      <c r="J47" s="699">
        <v>1.189921119459526E-2</v>
      </c>
      <c r="K47" s="3072" t="s">
        <v>199</v>
      </c>
    </row>
    <row r="48" spans="2:11" ht="18" customHeight="1" x14ac:dyDescent="0.2">
      <c r="B48" s="282" t="s">
        <v>246</v>
      </c>
      <c r="C48" s="699">
        <v>29758.2</v>
      </c>
      <c r="D48" s="3055" t="s">
        <v>97</v>
      </c>
      <c r="E48" s="1938">
        <f t="shared" si="18"/>
        <v>51.411918339265</v>
      </c>
      <c r="F48" s="1938">
        <f t="shared" si="17"/>
        <v>0.91409090909090929</v>
      </c>
      <c r="G48" s="1938">
        <f t="shared" si="17"/>
        <v>0.86459090909090908</v>
      </c>
      <c r="H48" s="699">
        <v>1529.9261483235157</v>
      </c>
      <c r="I48" s="699">
        <v>2.7201700090909095E-2</v>
      </c>
      <c r="J48" s="699">
        <v>2.572866919090909E-2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96650.226163664571</v>
      </c>
      <c r="D51" s="3055" t="s">
        <v>97</v>
      </c>
      <c r="E51" s="1938">
        <f t="shared" si="18"/>
        <v>94.888758766565488</v>
      </c>
      <c r="F51" s="1938">
        <f t="shared" si="17"/>
        <v>9.1512459559143302</v>
      </c>
      <c r="G51" s="1938">
        <f t="shared" si="17"/>
        <v>5.8240487727333567</v>
      </c>
      <c r="H51" s="699">
        <v>9171.0199951779632</v>
      </c>
      <c r="I51" s="699">
        <v>0.88446999131844073</v>
      </c>
      <c r="J51" s="699">
        <v>0.56289563107289198</v>
      </c>
      <c r="K51" s="3072" t="s">
        <v>199</v>
      </c>
    </row>
    <row r="52" spans="2:11" ht="18" customHeight="1" x14ac:dyDescent="0.2">
      <c r="B52" s="1240" t="s">
        <v>269</v>
      </c>
      <c r="C52" s="3073">
        <f>IF(SUM(C53:C58)=0,"NO",SUM(C53:C58))</f>
        <v>94443.87676634411</v>
      </c>
      <c r="D52" s="3055" t="s">
        <v>97</v>
      </c>
      <c r="E52" s="615"/>
      <c r="F52" s="615"/>
      <c r="G52" s="615"/>
      <c r="H52" s="1938">
        <f>IF(SUM(H53:H57)=0,"NO",SUM(H53:H57))</f>
        <v>6117.5864879602923</v>
      </c>
      <c r="I52" s="1938">
        <f t="shared" ref="I52:K52" si="19">IF(SUM(I53:I58)=0,"NO",SUM(I53:I58))</f>
        <v>0.30835942225642404</v>
      </c>
      <c r="J52" s="1938">
        <f t="shared" si="19"/>
        <v>5.3581616885861105E-2</v>
      </c>
      <c r="K52" s="3044" t="str">
        <f t="shared" si="19"/>
        <v>NO</v>
      </c>
    </row>
    <row r="53" spans="2:11" ht="18" customHeight="1" x14ac:dyDescent="0.2">
      <c r="B53" s="282" t="s">
        <v>243</v>
      </c>
      <c r="C53" s="2173">
        <v>9807.7091696409225</v>
      </c>
      <c r="D53" s="3055" t="s">
        <v>97</v>
      </c>
      <c r="E53" s="1938">
        <f>IFERROR(H53*1000/$C53,"NA")</f>
        <v>64.945521966582859</v>
      </c>
      <c r="F53" s="1938">
        <f t="shared" ref="F53:G58" si="20">IFERROR(I53*1000000/$C53,"NA")</f>
        <v>22.129672026409928</v>
      </c>
      <c r="G53" s="1938">
        <f t="shared" si="20"/>
        <v>1.6566650065012116</v>
      </c>
      <c r="H53" s="699">
        <v>636.96679131877079</v>
      </c>
      <c r="I53" s="699">
        <v>0.21704138725456684</v>
      </c>
      <c r="J53" s="699">
        <v>1.6248088575285171E-2</v>
      </c>
      <c r="K53" s="3072" t="s">
        <v>199</v>
      </c>
    </row>
    <row r="54" spans="2:11" ht="18" customHeight="1" x14ac:dyDescent="0.2">
      <c r="B54" s="282" t="s">
        <v>245</v>
      </c>
      <c r="C54" s="699">
        <v>31393.425459543669</v>
      </c>
      <c r="D54" s="3055" t="s">
        <v>97</v>
      </c>
      <c r="E54" s="1938">
        <f t="shared" ref="E54:E58" si="21">IFERROR(H54*1000/$C54,"NA")</f>
        <v>89.113602411356496</v>
      </c>
      <c r="F54" s="1938">
        <f t="shared" si="20"/>
        <v>0.94068282659725921</v>
      </c>
      <c r="G54" s="1938">
        <f t="shared" si="20"/>
        <v>0.80496276942182143</v>
      </c>
      <c r="H54" s="699">
        <v>2797.5812347323313</v>
      </c>
      <c r="I54" s="699">
        <v>2.9531256197853899E-2</v>
      </c>
      <c r="J54" s="699">
        <v>2.5270538699551787E-2</v>
      </c>
      <c r="K54" s="3072" t="s">
        <v>199</v>
      </c>
    </row>
    <row r="55" spans="2:11" ht="18" customHeight="1" x14ac:dyDescent="0.2">
      <c r="B55" s="282" t="s">
        <v>246</v>
      </c>
      <c r="C55" s="699">
        <v>52187.091020489373</v>
      </c>
      <c r="D55" s="3055" t="s">
        <v>97</v>
      </c>
      <c r="E55" s="1938">
        <f t="shared" si="21"/>
        <v>51.411918339265007</v>
      </c>
      <c r="F55" s="1938">
        <f t="shared" si="20"/>
        <v>0.99852235260123012</v>
      </c>
      <c r="G55" s="1938">
        <f t="shared" si="20"/>
        <v>0.11315106184905362</v>
      </c>
      <c r="H55" s="699">
        <v>2683.0384619091897</v>
      </c>
      <c r="I55" s="699">
        <v>5.210997690119358E-2</v>
      </c>
      <c r="J55" s="699">
        <v>5.905024763781584E-3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1055.6511166701528</v>
      </c>
      <c r="D58" s="3055" t="s">
        <v>97</v>
      </c>
      <c r="E58" s="3074">
        <f t="shared" si="21"/>
        <v>94.000000000000028</v>
      </c>
      <c r="F58" s="3074">
        <f t="shared" si="20"/>
        <v>9.1666666666666696</v>
      </c>
      <c r="G58" s="3074">
        <f t="shared" si="20"/>
        <v>5.8333333333333339</v>
      </c>
      <c r="H58" s="2215">
        <v>99.231204966994397</v>
      </c>
      <c r="I58" s="699">
        <v>9.6768019028097372E-3</v>
      </c>
      <c r="J58" s="699">
        <v>6.1579648472425592E-3</v>
      </c>
      <c r="K58" s="3072" t="s">
        <v>199</v>
      </c>
    </row>
    <row r="59" spans="2:11" ht="18" customHeight="1" x14ac:dyDescent="0.2">
      <c r="B59" s="1240" t="s">
        <v>270</v>
      </c>
      <c r="C59" s="3073">
        <f>IF(SUM(C60:C65)=0,"NO",SUM(C60:C65))</f>
        <v>90225.34718214898</v>
      </c>
      <c r="D59" s="4224" t="s">
        <v>97</v>
      </c>
      <c r="E59" s="4225"/>
      <c r="F59" s="4225"/>
      <c r="G59" s="4225"/>
      <c r="H59" s="1938">
        <f>IF(SUM(H60:H64)=0,"NO",SUM(H60:H64))</f>
        <v>5982.4087980610984</v>
      </c>
      <c r="I59" s="1938">
        <f t="shared" ref="I59:K59" si="22">IF(SUM(I60:I65)=0,"NO",SUM(I60:I65))</f>
        <v>0.31403529309375094</v>
      </c>
      <c r="J59" s="1938">
        <f t="shared" si="22"/>
        <v>0.25497172349817698</v>
      </c>
      <c r="K59" s="3044" t="str">
        <f t="shared" si="22"/>
        <v>NO</v>
      </c>
    </row>
    <row r="60" spans="2:11" ht="18" customHeight="1" x14ac:dyDescent="0.2">
      <c r="B60" s="282" t="s">
        <v>243</v>
      </c>
      <c r="C60" s="4223">
        <f>IF(SUM(C68,C75,C82,C89,C96,C103,C110,C111,C111,C112,C113,C120)=0,"NO",SUM(C68,C75,C82,C89,C96,C103,C110,C111,C111,C112,C113,C120))</f>
        <v>70341.873849869429</v>
      </c>
      <c r="D60" s="4224" t="s">
        <v>97</v>
      </c>
      <c r="E60" s="3074">
        <f t="shared" ref="E60:E65" si="23">IFERROR(H60*1000/$C60,"NA")</f>
        <v>69.46253893286449</v>
      </c>
      <c r="F60" s="3074">
        <f t="shared" ref="F60:F65" si="24">IFERROR(I60*1000000/$C60,"NA")</f>
        <v>4.1720028363638368</v>
      </c>
      <c r="G60" s="3074">
        <f t="shared" ref="G60:G65" si="25">IFERROR(J60*1000000/$C60,"NA")</f>
        <v>3.386628083659069</v>
      </c>
      <c r="H60" s="3074">
        <f>IF(SUM(H68,H75,H82,H89,H96,H103,H110,H111,H111,H112,H113,H120)=0,"NO",SUM(H68,H75,H82,H89,H96,H103,H110,H111,H111,H112,H113,H120))</f>
        <v>4886.1251509071981</v>
      </c>
      <c r="I60" s="3074">
        <f>IF(SUM(I68,I75,I82,I89,I96,I103,I110,I111,I111,I112,I113,I120)=0,"NO",SUM(I68,I75,I82,I89,I96,I103,I110,I111,I111,I112,I113,I120))</f>
        <v>0.29346649721680246</v>
      </c>
      <c r="J60" s="3074">
        <f>IF(SUM(J68,J75,J82,J89,J96,J103,J110,J111,J111,J112,J113,J120)=0,"NO",SUM(J68,J75,J82,J89,J96,J103,J110,J111,J111,J112,J113,J120))</f>
        <v>0.23822176543717127</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1762.7850981378963</v>
      </c>
      <c r="D61" s="4224" t="s">
        <v>97</v>
      </c>
      <c r="E61" s="3074">
        <f t="shared" si="23"/>
        <v>93.411445094965003</v>
      </c>
      <c r="F61" s="3074">
        <f t="shared" si="24"/>
        <v>0.95238095238095233</v>
      </c>
      <c r="G61" s="3074">
        <f t="shared" si="25"/>
        <v>0.67973039209619457</v>
      </c>
      <c r="H61" s="3074">
        <f>IF(SUM(H69,H76,H83,H90,H97,H104,H121)=0,"NO",SUM(H69,H76,H83,H90,H97,H104,H121))</f>
        <v>164.66430340893061</v>
      </c>
      <c r="I61" s="3074">
        <f>IF(SUM(I69,I76,I83,I90,I97,I104,I121)=0,"NO",SUM(I69,I76,I83,I90,I97,I104,I121))</f>
        <v>1.6788429506075201E-3</v>
      </c>
      <c r="J61" s="3074">
        <f>IF(SUM(J69,J76,J83,J90,J97,J104,J121)=0,"NO",SUM(J69,J76,J83,J90,J97,J104,J121))</f>
        <v>1.198218605938601E-3</v>
      </c>
      <c r="K61" s="3044" t="str">
        <f>IF(SUM(K69,K76,K83,K90,K97,K104,K121)=0,"NO",SUM(K69,K76,K83,K90,K97,K104,K121))</f>
        <v>NO</v>
      </c>
    </row>
    <row r="62" spans="2:11" ht="18" customHeight="1" x14ac:dyDescent="0.2">
      <c r="B62" s="282" t="s">
        <v>246</v>
      </c>
      <c r="C62" s="4223">
        <f>IF(SUM(C70,C77,C84,C91,C98,C105,C115,C122)=0,"NO",SUM(C70,C77,C84,C91,C98,C105,C115,C122))</f>
        <v>18120.688234141646</v>
      </c>
      <c r="D62" s="4224" t="s">
        <v>97</v>
      </c>
      <c r="E62" s="3074">
        <f t="shared" si="23"/>
        <v>51.411918339264986</v>
      </c>
      <c r="F62" s="3074">
        <f t="shared" si="24"/>
        <v>1.0424522889119618</v>
      </c>
      <c r="G62" s="3074">
        <f t="shared" si="25"/>
        <v>0.85823116948536682</v>
      </c>
      <c r="H62" s="3074">
        <f t="shared" ref="H62:K63" si="26">IF(SUM(H70,H77,H84,H91,H98,H105,H115,H122)=0,"NO",SUM(H70,H77,H84,H91,H98,H105,H115,H122))</f>
        <v>931.61934374497014</v>
      </c>
      <c r="I62" s="3074">
        <f t="shared" si="26"/>
        <v>1.8889952926341016E-2</v>
      </c>
      <c r="J62" s="3074">
        <f t="shared" si="26"/>
        <v>1.5551739455067111E-2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5952.6430666179522</v>
      </c>
      <c r="D67" s="3055" t="s">
        <v>97</v>
      </c>
      <c r="E67" s="615"/>
      <c r="F67" s="615"/>
      <c r="G67" s="615"/>
      <c r="H67" s="1938">
        <f>IF(SUM(H68:H72)=0,"NO",SUM(H68:H72))</f>
        <v>328.22947730316673</v>
      </c>
      <c r="I67" s="1938">
        <f t="shared" ref="I67:K67" si="27">IF(SUM(I68:I73)=0,"NO",SUM(I68:I73))</f>
        <v>3.9322041267521521E-2</v>
      </c>
      <c r="J67" s="1938">
        <f t="shared" si="27"/>
        <v>8.1208839364151457E-3</v>
      </c>
      <c r="K67" s="3044" t="str">
        <f t="shared" si="27"/>
        <v>NO</v>
      </c>
    </row>
    <row r="68" spans="2:11" ht="18" customHeight="1" x14ac:dyDescent="0.2">
      <c r="B68" s="158" t="s">
        <v>243</v>
      </c>
      <c r="C68" s="699">
        <v>1552.6430666179519</v>
      </c>
      <c r="D68" s="3055" t="s">
        <v>97</v>
      </c>
      <c r="E68" s="1938">
        <f>IFERROR(H68*1000/$C68,"NA")</f>
        <v>65.705401842691089</v>
      </c>
      <c r="F68" s="1938">
        <f t="shared" ref="F68:G73" si="28">IFERROR(I68*1000000/$C68,"NA")</f>
        <v>22.690367171291616</v>
      </c>
      <c r="G68" s="1938">
        <f t="shared" si="28"/>
        <v>2.9264188493189458</v>
      </c>
      <c r="H68" s="699">
        <v>102.01703661040072</v>
      </c>
      <c r="I68" s="699">
        <v>3.5230041267521522E-2</v>
      </c>
      <c r="J68" s="699">
        <v>4.5436839364151466E-3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4400</v>
      </c>
      <c r="D70" s="3055" t="s">
        <v>97</v>
      </c>
      <c r="E70" s="1938">
        <f t="shared" si="29"/>
        <v>51.411918339265</v>
      </c>
      <c r="F70" s="1938">
        <f t="shared" si="28"/>
        <v>0.93</v>
      </c>
      <c r="G70" s="1938">
        <f t="shared" si="28"/>
        <v>0.81299999999999983</v>
      </c>
      <c r="H70" s="699">
        <v>226.21244069276599</v>
      </c>
      <c r="I70" s="699">
        <v>4.0920000000000002E-3</v>
      </c>
      <c r="J70" s="699">
        <v>3.5771999999999996E-3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46726.743285306402</v>
      </c>
      <c r="D81" s="3056" t="s">
        <v>97</v>
      </c>
      <c r="E81" s="615"/>
      <c r="F81" s="615"/>
      <c r="G81" s="615"/>
      <c r="H81" s="1938">
        <f>IF(SUM(H82:H86)=0,"NO",SUM(H82:H86))</f>
        <v>3219.7408101720621</v>
      </c>
      <c r="I81" s="1938">
        <f t="shared" ref="I81:K81" si="33">IF(SUM(I82:I87)=0,"NO",SUM(I82:I87))</f>
        <v>0.15450122167800737</v>
      </c>
      <c r="J81" s="1938">
        <f t="shared" si="33"/>
        <v>0.15152684140175535</v>
      </c>
      <c r="K81" s="3044" t="str">
        <f t="shared" si="33"/>
        <v>NO</v>
      </c>
    </row>
    <row r="82" spans="2:11" ht="18" customHeight="1" x14ac:dyDescent="0.2">
      <c r="B82" s="158" t="s">
        <v>243</v>
      </c>
      <c r="C82" s="699">
        <v>44348.072547924283</v>
      </c>
      <c r="D82" s="3056" t="s">
        <v>97</v>
      </c>
      <c r="E82" s="1938">
        <f>IFERROR(H82*1000/$C82,"NA")</f>
        <v>69.522144815564829</v>
      </c>
      <c r="F82" s="1938">
        <f t="shared" ref="F82:G87" si="34">IFERROR(I82*1000000/$C82,"NA")</f>
        <v>3.3836142618900089</v>
      </c>
      <c r="G82" s="1938">
        <f t="shared" si="34"/>
        <v>3.3700086980289345</v>
      </c>
      <c r="H82" s="699">
        <v>3083.1731219679673</v>
      </c>
      <c r="I82" s="699">
        <v>0.1500567707604894</v>
      </c>
      <c r="J82" s="699">
        <v>0.14945339022732304</v>
      </c>
      <c r="K82" s="3072" t="s">
        <v>199</v>
      </c>
    </row>
    <row r="83" spans="2:11" ht="18" customHeight="1" x14ac:dyDescent="0.2">
      <c r="B83" s="158" t="s">
        <v>245</v>
      </c>
      <c r="C83" s="699">
        <v>248.7650981378963</v>
      </c>
      <c r="D83" s="3056" t="s">
        <v>97</v>
      </c>
      <c r="E83" s="1938">
        <f t="shared" ref="E83:E87" si="35">IFERROR(H83*1000/$C83,"NA")</f>
        <v>108.79803321094397</v>
      </c>
      <c r="F83" s="1938">
        <f t="shared" si="34"/>
        <v>0.95238095238095244</v>
      </c>
      <c r="G83" s="1938">
        <f t="shared" si="34"/>
        <v>0.75923809523809538</v>
      </c>
      <c r="H83" s="699">
        <v>27.065153408930581</v>
      </c>
      <c r="I83" s="699">
        <v>2.3691914108371078E-4</v>
      </c>
      <c r="J83" s="699">
        <v>1.8887193927193425E-4</v>
      </c>
      <c r="K83" s="3072" t="s">
        <v>199</v>
      </c>
    </row>
    <row r="84" spans="2:11" ht="18" customHeight="1" x14ac:dyDescent="0.2">
      <c r="B84" s="158" t="s">
        <v>246</v>
      </c>
      <c r="C84" s="699">
        <v>2129.905639244223</v>
      </c>
      <c r="D84" s="3056" t="s">
        <v>97</v>
      </c>
      <c r="E84" s="1938">
        <f t="shared" si="35"/>
        <v>51.411918339265</v>
      </c>
      <c r="F84" s="1938">
        <f t="shared" si="34"/>
        <v>1.9754545454545456</v>
      </c>
      <c r="G84" s="1938">
        <f t="shared" si="34"/>
        <v>0.88481818181818161</v>
      </c>
      <c r="H84" s="699">
        <v>109.50253479516401</v>
      </c>
      <c r="I84" s="699">
        <v>4.2075317764342698E-3</v>
      </c>
      <c r="J84" s="699">
        <v>1.8845792351603653E-3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26035.038449117466</v>
      </c>
      <c r="D95" s="3056" t="s">
        <v>97</v>
      </c>
      <c r="E95" s="615"/>
      <c r="F95" s="615"/>
      <c r="G95" s="615"/>
      <c r="H95" s="1938">
        <f>IF(SUM(H96:H100)=0,"NO",SUM(H96:H100))</f>
        <v>1761.4540093197747</v>
      </c>
      <c r="I95" s="1938">
        <f t="shared" ref="I95:K95" si="41">IF(SUM(I96:I101)=0,"NO",SUM(I96:I101))</f>
        <v>8.7435557815414608E-2</v>
      </c>
      <c r="J95" s="1938">
        <f t="shared" si="41"/>
        <v>8.503005889785438E-2</v>
      </c>
      <c r="K95" s="3044" t="str">
        <f t="shared" si="41"/>
        <v>NO</v>
      </c>
    </row>
    <row r="96" spans="2:11" ht="18" customHeight="1" x14ac:dyDescent="0.2">
      <c r="B96" s="158" t="s">
        <v>243</v>
      </c>
      <c r="C96" s="699">
        <v>22926.135854220047</v>
      </c>
      <c r="D96" s="3056" t="s">
        <v>97</v>
      </c>
      <c r="E96" s="1938">
        <f>IFERROR(H96*1000/$C96,"NA")</f>
        <v>69.859978723425698</v>
      </c>
      <c r="F96" s="1938">
        <f t="shared" ref="F96:G101" si="42">IFERROR(I96*1000000/$C96,"NA")</f>
        <v>3.6905165033980234</v>
      </c>
      <c r="G96" s="1938">
        <f t="shared" si="42"/>
        <v>3.5855926325435532</v>
      </c>
      <c r="H96" s="699">
        <v>1601.6193629861796</v>
      </c>
      <c r="I96" s="699">
        <v>8.4609282729144225E-2</v>
      </c>
      <c r="J96" s="699">
        <v>8.2203783811583997E-2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3108.9025948974204</v>
      </c>
      <c r="D98" s="3056" t="s">
        <v>97</v>
      </c>
      <c r="E98" s="1938">
        <f t="shared" si="43"/>
        <v>51.411918339265</v>
      </c>
      <c r="F98" s="1938">
        <f t="shared" si="42"/>
        <v>0.90909090909090906</v>
      </c>
      <c r="G98" s="1938">
        <f t="shared" si="42"/>
        <v>0.90909090909090884</v>
      </c>
      <c r="H98" s="699">
        <v>159.83464633359523</v>
      </c>
      <c r="I98" s="699">
        <v>2.826275086270382E-3</v>
      </c>
      <c r="J98" s="699">
        <v>2.8262750862703815E-3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8151.61</v>
      </c>
      <c r="D102" s="3055" t="s">
        <v>97</v>
      </c>
      <c r="E102" s="615"/>
      <c r="F102" s="615"/>
      <c r="G102" s="615"/>
      <c r="H102" s="1938">
        <f>IF(SUM(H103:H107)=0,"NO",SUM(H103:H107))</f>
        <v>467.67338933446126</v>
      </c>
      <c r="I102" s="1938">
        <f t="shared" ref="I102:K102" si="47">IF(SUM(I103:I108)=0,"NO",SUM(I103:I108))</f>
        <v>7.3835119445887437E-3</v>
      </c>
      <c r="J102" s="1938">
        <f t="shared" si="47"/>
        <v>6.9809594143722944E-3</v>
      </c>
      <c r="K102" s="3044" t="str">
        <f t="shared" si="47"/>
        <v>NO</v>
      </c>
    </row>
    <row r="103" spans="2:11" ht="18" customHeight="1" x14ac:dyDescent="0.2">
      <c r="B103" s="158" t="s">
        <v>243</v>
      </c>
      <c r="C103" s="699">
        <v>964.09999999999991</v>
      </c>
      <c r="D103" s="3055" t="s">
        <v>97</v>
      </c>
      <c r="E103" s="1938">
        <f>IFERROR(H103*1000/$C103,"NA")</f>
        <v>67.876236904885388</v>
      </c>
      <c r="F103" s="1938">
        <f t="shared" ref="F103:G108" si="48">IFERROR(I103*1000000/$C103,"NA")</f>
        <v>0.79644886040903062</v>
      </c>
      <c r="G103" s="1938">
        <f t="shared" si="48"/>
        <v>1.0959013843743646</v>
      </c>
      <c r="H103" s="699">
        <v>65.439480000000003</v>
      </c>
      <c r="I103" s="699">
        <v>7.6785634632034634E-4</v>
      </c>
      <c r="J103" s="699">
        <v>1.0565585246753249E-3</v>
      </c>
      <c r="K103" s="3072" t="s">
        <v>199</v>
      </c>
    </row>
    <row r="104" spans="2:11" ht="18" customHeight="1" x14ac:dyDescent="0.2">
      <c r="B104" s="158" t="s">
        <v>245</v>
      </c>
      <c r="C104" s="699">
        <v>813.02</v>
      </c>
      <c r="D104" s="3055" t="s">
        <v>97</v>
      </c>
      <c r="E104" s="1938">
        <f t="shared" ref="E104:E108" si="49">IFERROR(H104*1000/$C104,"NA")</f>
        <v>91.644916484219337</v>
      </c>
      <c r="F104" s="1938">
        <f t="shared" si="48"/>
        <v>0.95238095238095222</v>
      </c>
      <c r="G104" s="1938">
        <f t="shared" si="48"/>
        <v>0.66666666666666663</v>
      </c>
      <c r="H104" s="699">
        <v>74.509150000000005</v>
      </c>
      <c r="I104" s="699">
        <v>7.7430476190476179E-4</v>
      </c>
      <c r="J104" s="699">
        <v>5.4201333333333331E-4</v>
      </c>
      <c r="K104" s="3072" t="s">
        <v>199</v>
      </c>
    </row>
    <row r="105" spans="2:11" ht="18" customHeight="1" x14ac:dyDescent="0.2">
      <c r="B105" s="158" t="s">
        <v>246</v>
      </c>
      <c r="C105" s="699">
        <v>6374.49</v>
      </c>
      <c r="D105" s="3055" t="s">
        <v>97</v>
      </c>
      <c r="E105" s="1938">
        <f t="shared" si="49"/>
        <v>51.411918339264993</v>
      </c>
      <c r="F105" s="1938">
        <f t="shared" si="48"/>
        <v>0.91636363636363627</v>
      </c>
      <c r="G105" s="1938">
        <f t="shared" si="48"/>
        <v>0.84436363636363643</v>
      </c>
      <c r="H105" s="699">
        <v>327.72475933446128</v>
      </c>
      <c r="I105" s="699">
        <v>5.8413508363636358E-3</v>
      </c>
      <c r="J105" s="699">
        <v>5.3823875563636363E-3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3359.3123811071396</v>
      </c>
      <c r="D118" s="3055" t="s">
        <v>97</v>
      </c>
      <c r="E118" s="615"/>
      <c r="F118" s="615"/>
      <c r="G118" s="615"/>
      <c r="H118" s="1938">
        <f>H119</f>
        <v>205.31111193163346</v>
      </c>
      <c r="I118" s="1938">
        <f>I119</f>
        <v>2.5392960388218734E-2</v>
      </c>
      <c r="J118" s="1938">
        <f>J119</f>
        <v>3.3129798477798318E-3</v>
      </c>
      <c r="K118" s="3044" t="str">
        <f>K119</f>
        <v>NO</v>
      </c>
    </row>
    <row r="119" spans="2:11" ht="18" customHeight="1" x14ac:dyDescent="0.2">
      <c r="B119" s="3069" t="s">
        <v>286</v>
      </c>
      <c r="C119" s="3077">
        <f>IF(SUM(C120:C125)=0,"NO",SUM(C120:C125))</f>
        <v>3359.3123811071396</v>
      </c>
      <c r="D119" s="3055" t="s">
        <v>97</v>
      </c>
      <c r="E119" s="615"/>
      <c r="F119" s="615"/>
      <c r="G119" s="615"/>
      <c r="H119" s="3077">
        <f>IF(SUM(H120:H124)=0,"NO",SUM(H120:H124))</f>
        <v>205.31111193163346</v>
      </c>
      <c r="I119" s="3077">
        <f t="shared" ref="I119" si="56">IF(SUM(I120:I125)=0,"NO",SUM(I120:I125))</f>
        <v>2.5392960388218734E-2</v>
      </c>
      <c r="J119" s="3077">
        <f t="shared" ref="J119" si="57">IF(SUM(J120:J125)=0,"NO",SUM(J120:J125))</f>
        <v>3.3129798477798318E-3</v>
      </c>
      <c r="K119" s="3078" t="str">
        <f t="shared" ref="K119" si="58">IF(SUM(K120:K125)=0,"NO",SUM(K120:K125))</f>
        <v>NO</v>
      </c>
    </row>
    <row r="120" spans="2:11" ht="18" customHeight="1" x14ac:dyDescent="0.2">
      <c r="B120" s="158" t="s">
        <v>243</v>
      </c>
      <c r="C120" s="699">
        <v>550.92238110713913</v>
      </c>
      <c r="D120" s="3055" t="s">
        <v>97</v>
      </c>
      <c r="E120" s="1938">
        <f>IFERROR(H120*1000/$C120,"NA")</f>
        <v>61.489876803646858</v>
      </c>
      <c r="F120" s="1938">
        <f t="shared" ref="F120:G125" si="59">IFERROR(I120*1000000/$C120,"NA")</f>
        <v>41.389761780058265</v>
      </c>
      <c r="G120" s="1938">
        <f t="shared" si="59"/>
        <v>1.7504261403136421</v>
      </c>
      <c r="H120" s="699">
        <v>33.876149342649768</v>
      </c>
      <c r="I120" s="699">
        <v>2.2802546113326959E-2</v>
      </c>
      <c r="J120" s="699">
        <v>9.6434893717377084E-4</v>
      </c>
      <c r="K120" s="3072" t="s">
        <v>199</v>
      </c>
    </row>
    <row r="121" spans="2:11" ht="18" customHeight="1" x14ac:dyDescent="0.2">
      <c r="B121" s="158" t="s">
        <v>245</v>
      </c>
      <c r="C121" s="699">
        <v>701</v>
      </c>
      <c r="D121" s="3055" t="s">
        <v>97</v>
      </c>
      <c r="E121" s="1938">
        <f t="shared" ref="E121:E125" si="60">IFERROR(H121*1000/$C121,"NA")</f>
        <v>90</v>
      </c>
      <c r="F121" s="1938">
        <f t="shared" si="59"/>
        <v>0.95238095238095222</v>
      </c>
      <c r="G121" s="1938">
        <f t="shared" si="59"/>
        <v>0.66666666666666663</v>
      </c>
      <c r="H121" s="699">
        <v>63.09</v>
      </c>
      <c r="I121" s="699">
        <v>6.6761904761904753E-4</v>
      </c>
      <c r="J121" s="699">
        <v>4.6733333333333333E-4</v>
      </c>
      <c r="K121" s="3072" t="s">
        <v>199</v>
      </c>
    </row>
    <row r="122" spans="2:11" ht="18" customHeight="1" x14ac:dyDescent="0.2">
      <c r="B122" s="158" t="s">
        <v>246</v>
      </c>
      <c r="C122" s="699">
        <v>2107.3900000000003</v>
      </c>
      <c r="D122" s="3055" t="s">
        <v>97</v>
      </c>
      <c r="E122" s="1938">
        <f t="shared" si="60"/>
        <v>51.411918339265</v>
      </c>
      <c r="F122" s="1938">
        <f t="shared" si="59"/>
        <v>0.91240597481848507</v>
      </c>
      <c r="G122" s="1938">
        <f t="shared" si="59"/>
        <v>0.89271448439668366</v>
      </c>
      <c r="H122" s="699">
        <v>108.34496258898369</v>
      </c>
      <c r="I122" s="699">
        <v>1.9227952272727275E-3</v>
      </c>
      <c r="J122" s="699">
        <v>1.8812975772727275E-3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5195.5457249247056</v>
      </c>
      <c r="D10" s="695">
        <f t="shared" ref="D10:F10" si="0">SUM(D11:D16)</f>
        <v>29878.889973054542</v>
      </c>
      <c r="E10" s="695">
        <f t="shared" si="0"/>
        <v>2022.8435419760499</v>
      </c>
      <c r="F10" s="695">
        <f t="shared" si="0"/>
        <v>3181.369812762855</v>
      </c>
      <c r="G10" s="696" t="s">
        <v>199</v>
      </c>
      <c r="H10" s="697" t="s">
        <v>2035</v>
      </c>
      <c r="I10" s="698" t="s">
        <v>2036</v>
      </c>
    </row>
    <row r="11" spans="2:9" ht="18" customHeight="1" x14ac:dyDescent="0.2">
      <c r="B11" s="1561" t="s">
        <v>1921</v>
      </c>
      <c r="C11" s="3696">
        <f>Table1!D10</f>
        <v>1391.6572113588334</v>
      </c>
      <c r="D11" s="3697">
        <f>Table1!G10</f>
        <v>3483.2039315229672</v>
      </c>
      <c r="E11" s="3697">
        <f>Table1!H10</f>
        <v>718.39943684459274</v>
      </c>
      <c r="F11" s="3697">
        <f>Table1!F10</f>
        <v>2138.0752347124071</v>
      </c>
      <c r="G11" s="3698" t="s">
        <v>199</v>
      </c>
      <c r="H11" s="3699" t="s">
        <v>221</v>
      </c>
      <c r="I11" s="3700" t="s">
        <v>221</v>
      </c>
    </row>
    <row r="12" spans="2:9" ht="18" customHeight="1" x14ac:dyDescent="0.2">
      <c r="B12" s="2419" t="s">
        <v>2037</v>
      </c>
      <c r="C12" s="3149">
        <f>'Table2(I)'!D10</f>
        <v>3.5465822636148943</v>
      </c>
      <c r="D12" s="699">
        <f>'Table2(I)'!L10</f>
        <v>10.314809980880623</v>
      </c>
      <c r="E12" s="699">
        <f>'Table2(I)'!M10</f>
        <v>239.36323775397858</v>
      </c>
      <c r="F12" s="699">
        <f>'Table2(I)'!K10</f>
        <v>38.506250117455551</v>
      </c>
      <c r="G12" s="3125" t="s">
        <v>199</v>
      </c>
      <c r="H12" s="3701" t="s">
        <v>199</v>
      </c>
      <c r="I12" s="2921" t="s">
        <v>199</v>
      </c>
    </row>
    <row r="13" spans="2:9" ht="18" customHeight="1" x14ac:dyDescent="0.2">
      <c r="B13" s="2419" t="s">
        <v>2038</v>
      </c>
      <c r="C13" s="3149">
        <f>Table3!D10</f>
        <v>2513.5418167519015</v>
      </c>
      <c r="D13" s="699">
        <f>Table3!G10</f>
        <v>449.81958222232674</v>
      </c>
      <c r="E13" s="699">
        <f>Table3!H10</f>
        <v>26.239475629635731</v>
      </c>
      <c r="F13" s="699">
        <f>Table3!F10</f>
        <v>27.414561599679626</v>
      </c>
      <c r="G13" s="3702"/>
      <c r="H13" s="3701" t="s">
        <v>221</v>
      </c>
      <c r="I13" s="2921" t="s">
        <v>274</v>
      </c>
    </row>
    <row r="14" spans="2:9" ht="18" customHeight="1" x14ac:dyDescent="0.2">
      <c r="B14" s="2419" t="s">
        <v>2039</v>
      </c>
      <c r="C14" s="3149">
        <f>Table4!D10</f>
        <v>744.64760208758366</v>
      </c>
      <c r="D14" s="699">
        <f>Table4!G10</f>
        <v>25935.551649328369</v>
      </c>
      <c r="E14" s="3125">
        <f>Table4!H10</f>
        <v>780.97333369252385</v>
      </c>
      <c r="F14" s="3125">
        <f>Table4!F10</f>
        <v>977.37376633331246</v>
      </c>
      <c r="G14" s="3702"/>
      <c r="H14" s="3703" t="s">
        <v>221</v>
      </c>
      <c r="I14" s="2921" t="s">
        <v>221</v>
      </c>
    </row>
    <row r="15" spans="2:9" ht="18" customHeight="1" x14ac:dyDescent="0.2">
      <c r="B15" s="2419" t="s">
        <v>2040</v>
      </c>
      <c r="C15" s="3149">
        <f>Table5!D10</f>
        <v>542.15251246277239</v>
      </c>
      <c r="D15" s="699" t="str">
        <f>Table5!G10</f>
        <v>NO</v>
      </c>
      <c r="E15" s="3125">
        <f>Table5!H10</f>
        <v>257.86805805531901</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2006</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454289.46254824416</v>
      </c>
      <c r="D10" s="3840">
        <f>SUM(D11,D22,D30,D41,D50,D56)</f>
        <v>473020.25967650407</v>
      </c>
      <c r="E10" s="3842">
        <f>IF(D10="NO",IF(C10="NO","NA",-C10),IF(C10="NO",D10,D10-C10))</f>
        <v>18730.797128259903</v>
      </c>
      <c r="F10" s="3840">
        <f>IF(E10="NA","NA",E10/C10*100)</f>
        <v>4.1230974240946097</v>
      </c>
      <c r="G10" s="3843">
        <f>IF(E10="NA","NA",E10/Table8s2!$G$35*100)</f>
        <v>3.4770494921405817</v>
      </c>
      <c r="H10" s="3844">
        <f>IF(E10="NA","NA",E10/Table8s2!$G$34*100)</f>
        <v>2.9043406025980412</v>
      </c>
      <c r="I10" s="4488">
        <f>SUM(I11,I22,I30,I41,I50,I56)</f>
        <v>144992.01181712624</v>
      </c>
      <c r="J10" s="3840">
        <f>SUM(J11,J22,J30,J41,J50,J56)</f>
        <v>145475.28029789176</v>
      </c>
      <c r="K10" s="3842">
        <f t="shared" ref="K10:K12" si="0">IF(J10="NO",IF(I10="NO","NA",-I10),IF(I10="NO",J10,J10-I10))</f>
        <v>483.26848076551687</v>
      </c>
      <c r="L10" s="3840">
        <f t="shared" ref="L10:L12" si="1">IF(K10="NA","NA",K10/I10*100)</f>
        <v>0.33330696961088302</v>
      </c>
      <c r="M10" s="3843">
        <f>IF(K10="NA","NA",K10/Table8s2!$G$35*100)</f>
        <v>8.9710459950371357E-2</v>
      </c>
      <c r="N10" s="3844">
        <f>IF(K10="NA","NA",K10/Table8s2!$G$34*100)</f>
        <v>7.4934145142468572E-2</v>
      </c>
      <c r="O10" s="4488">
        <f>SUM(O11,O22,O30,O41,O50,O56)</f>
        <v>22590.570952594819</v>
      </c>
      <c r="P10" s="3840">
        <f>SUM(P11,P22,P30,P41,P50,P56)</f>
        <v>21510.284345844073</v>
      </c>
      <c r="Q10" s="3842">
        <f t="shared" ref="Q10:Q12" si="2">IF(P10="NO",IF(O10="NO","NA",-O10),IF(O10="NO",P10,P10-O10))</f>
        <v>-1080.2866067507457</v>
      </c>
      <c r="R10" s="3840">
        <f t="shared" ref="R10:R12" si="3">IF(Q10="NA","NA",Q10/O10*100)</f>
        <v>-4.7820243632516997</v>
      </c>
      <c r="S10" s="3843">
        <f>IF(Q10="NA","NA",Q10/Table8s2!$G$35*100)</f>
        <v>-0.20053658003170663</v>
      </c>
      <c r="T10" s="3844">
        <f>IF(Q10="NA","NA",Q10/Table8s2!$G$34*100)</f>
        <v>-0.16750596533317588</v>
      </c>
    </row>
    <row r="11" spans="2:20" ht="18" customHeight="1" x14ac:dyDescent="0.2">
      <c r="B11" s="1404" t="s">
        <v>1921</v>
      </c>
      <c r="C11" s="3841">
        <f>SUM(C12,C18,C21)</f>
        <v>367332.27677549474</v>
      </c>
      <c r="D11" s="3841">
        <f>Summary2!C11</f>
        <v>367255.89690506988</v>
      </c>
      <c r="E11" s="3845">
        <f t="shared" ref="E11:E38" si="4">IF(D11="NO",IF(C11="NO","NA",-C11),IF(C11="NO",D11,D11-C11))</f>
        <v>-76.37987042486202</v>
      </c>
      <c r="F11" s="3841">
        <f t="shared" ref="F11:F38" si="5">IF(E11="NA","NA",E11/C11*100)</f>
        <v>-2.0793127980839998E-2</v>
      </c>
      <c r="G11" s="3846">
        <f>IF(E11="NA","NA",E11/Table8s2!$G$35*100)</f>
        <v>-1.4178605846402762E-2</v>
      </c>
      <c r="H11" s="3847">
        <f>IF(E11="NA","NA",E11/Table8s2!$G$34*100)</f>
        <v>-1.1843231090331734E-2</v>
      </c>
      <c r="I11" s="3848">
        <f>SUM(I12,I18,I21)</f>
        <v>38967.173482103994</v>
      </c>
      <c r="J11" s="3841">
        <f>Summary2!D11</f>
        <v>38966.401918047333</v>
      </c>
      <c r="K11" s="3845">
        <f t="shared" si="0"/>
        <v>-0.77156405666028149</v>
      </c>
      <c r="L11" s="3841">
        <f t="shared" si="1"/>
        <v>-1.9800359834018467E-3</v>
      </c>
      <c r="M11" s="3846">
        <f>IF(K11="NA","NA",K11/Table8s2!$G$35*100)</f>
        <v>-1.4322756223316102E-4</v>
      </c>
      <c r="N11" s="3847">
        <f>IF(K11="NA","NA",K11/Table8s2!$G$34*100)</f>
        <v>-1.1963638290026633E-4</v>
      </c>
      <c r="O11" s="3848">
        <f>SUM(O12,O18,O21)</f>
        <v>3340.2776493978763</v>
      </c>
      <c r="P11" s="3841">
        <f>Summary2!E11</f>
        <v>3339.549306820707</v>
      </c>
      <c r="Q11" s="3845">
        <f t="shared" si="2"/>
        <v>-0.72834257716931461</v>
      </c>
      <c r="R11" s="3841">
        <f t="shared" si="3"/>
        <v>-2.180485138116009E-2</v>
      </c>
      <c r="S11" s="3846">
        <f>IF(Q11="NA","NA",Q11/Table8s2!$G$35*100)</f>
        <v>-1.352042398788287E-4</v>
      </c>
      <c r="T11" s="3847">
        <f>IF(Q11="NA","NA",Q11/Table8s2!$G$34*100)</f>
        <v>-1.129345913571514E-4</v>
      </c>
    </row>
    <row r="12" spans="2:20" ht="18" customHeight="1" x14ac:dyDescent="0.2">
      <c r="B12" s="606" t="s">
        <v>242</v>
      </c>
      <c r="C12" s="3841">
        <f>SUM(C13:C17)</f>
        <v>360285.88298889197</v>
      </c>
      <c r="D12" s="3841">
        <f>Summary2!C12</f>
        <v>360209.50711034512</v>
      </c>
      <c r="E12" s="3841">
        <f t="shared" si="4"/>
        <v>-76.375878546852618</v>
      </c>
      <c r="F12" s="3849">
        <f t="shared" si="5"/>
        <v>-2.1198687529260584E-2</v>
      </c>
      <c r="G12" s="3846">
        <f>IF(E12="NA","NA",E12/Table8s2!$G$35*100)</f>
        <v>-1.4177864823086443E-2</v>
      </c>
      <c r="H12" s="3847">
        <f>IF(E12="NA","NA",E12/Table8s2!$G$34*100)</f>
        <v>-1.1842612121832746E-2</v>
      </c>
      <c r="I12" s="3848">
        <f>SUM(I13:I17)</f>
        <v>2391.7165835167457</v>
      </c>
      <c r="J12" s="3841">
        <f>Summary2!D12</f>
        <v>2391.2476215599563</v>
      </c>
      <c r="K12" s="3841">
        <f t="shared" si="0"/>
        <v>-0.46896195678937147</v>
      </c>
      <c r="L12" s="3849">
        <f t="shared" si="1"/>
        <v>-1.9607756204115812E-2</v>
      </c>
      <c r="M12" s="3846">
        <f>IF(K12="NA","NA",K12/Table8s2!$G$35*100)</f>
        <v>-8.70547004765526E-5</v>
      </c>
      <c r="N12" s="3847">
        <f>IF(K12="NA","NA",K12/Table8s2!$G$34*100)</f>
        <v>-7.2715818918472921E-5</v>
      </c>
      <c r="O12" s="3850">
        <f>SUM(O13:O17)</f>
        <v>3318.768369585217</v>
      </c>
      <c r="P12" s="3849">
        <f>Summary2!E12</f>
        <v>3318.0400270080472</v>
      </c>
      <c r="Q12" s="3841">
        <f t="shared" si="2"/>
        <v>-0.72834257716976936</v>
      </c>
      <c r="R12" s="3849">
        <f t="shared" si="3"/>
        <v>-2.1946170870032679E-2</v>
      </c>
      <c r="S12" s="3846">
        <f>IF(Q12="NA","NA",Q12/Table8s2!$G$35*100)</f>
        <v>-1.3520423987891314E-4</v>
      </c>
      <c r="T12" s="3847">
        <f>IF(Q12="NA","NA",Q12/Table8s2!$G$34*100)</f>
        <v>-1.1293459135722191E-4</v>
      </c>
    </row>
    <row r="13" spans="2:20" ht="18" customHeight="1" x14ac:dyDescent="0.2">
      <c r="B13" s="1391" t="s">
        <v>1923</v>
      </c>
      <c r="C13" s="3849">
        <v>219705.33865122736</v>
      </c>
      <c r="D13" s="3841">
        <f>Summary2!C13</f>
        <v>219705.33865122739</v>
      </c>
      <c r="E13" s="3841">
        <f t="shared" si="4"/>
        <v>2.9103830456733704E-11</v>
      </c>
      <c r="F13" s="3849">
        <f t="shared" si="5"/>
        <v>1.3246756148668178E-14</v>
      </c>
      <c r="G13" s="3846">
        <f>IF(E13="NA","NA",E13/Table8s2!$G$35*100)</f>
        <v>5.4026242565114262E-15</v>
      </c>
      <c r="H13" s="3847">
        <f>IF(E13="NA","NA",E13/Table8s2!$G$34*100)</f>
        <v>4.5127516948593314E-15</v>
      </c>
      <c r="I13" s="3848">
        <v>355.45472854673091</v>
      </c>
      <c r="J13" s="3841">
        <f>Summary2!D13</f>
        <v>355.45472854673079</v>
      </c>
      <c r="K13" s="3841">
        <f t="shared" ref="K13" si="6">IF(J13="NO",IF(I13="NO","NA",-I13),IF(I13="NO",J13,J13-I13))</f>
        <v>-1.1368683772161603E-13</v>
      </c>
      <c r="L13" s="3849">
        <f t="shared" ref="L13" si="7">IF(K13="NA","NA",K13/I13*100)</f>
        <v>-3.1983492858970321E-14</v>
      </c>
      <c r="M13" s="3846">
        <f>IF(K13="NA","NA",K13/Table8s2!$G$35*100)</f>
        <v>-2.1104001001997759E-17</v>
      </c>
      <c r="N13" s="3847">
        <f>IF(K13="NA","NA",K13/Table8s2!$G$34*100)</f>
        <v>-1.7627936308044263E-17</v>
      </c>
      <c r="O13" s="3850">
        <v>965.94722527787201</v>
      </c>
      <c r="P13" s="3849">
        <f>Summary2!E13</f>
        <v>965.94722527787201</v>
      </c>
      <c r="Q13" s="3841">
        <f t="shared" ref="Q13" si="8">IF(P13="NO",IF(O13="NO","NA",-O13),IF(O13="NO",P13,P13-O13))</f>
        <v>0</v>
      </c>
      <c r="R13" s="3849">
        <f t="shared" ref="R13" si="9">IF(Q13="NA","NA",Q13/O13*100)</f>
        <v>0</v>
      </c>
      <c r="S13" s="3846">
        <f>IF(Q13="NA","NA",Q13/Table8s2!$G$35*100)</f>
        <v>0</v>
      </c>
      <c r="T13" s="3847">
        <f>IF(Q13="NA","NA",Q13/Table8s2!$G$34*100)</f>
        <v>0</v>
      </c>
    </row>
    <row r="14" spans="2:20" ht="18" customHeight="1" x14ac:dyDescent="0.2">
      <c r="B14" s="1391" t="s">
        <v>1976</v>
      </c>
      <c r="C14" s="3849">
        <v>40191.294818873052</v>
      </c>
      <c r="D14" s="3841">
        <f>Summary2!C14</f>
        <v>40191.294818873052</v>
      </c>
      <c r="E14" s="3841">
        <f t="shared" si="4"/>
        <v>0</v>
      </c>
      <c r="F14" s="3849">
        <f t="shared" si="5"/>
        <v>0</v>
      </c>
      <c r="G14" s="3846">
        <f>IF(E14="NA","NA",E14/Table8s2!$G$35*100)</f>
        <v>0</v>
      </c>
      <c r="H14" s="3847">
        <f>IF(E14="NA","NA",E14/Table8s2!$G$34*100)</f>
        <v>0</v>
      </c>
      <c r="I14" s="3848">
        <v>65.72615796729707</v>
      </c>
      <c r="J14" s="3841">
        <f>Summary2!D14</f>
        <v>65.726157967297084</v>
      </c>
      <c r="K14" s="3841">
        <f t="shared" ref="K14:K20" si="10">IF(J14="NO",IF(I14="NO","NA",-I14),IF(I14="NO",J14,J14-I14))</f>
        <v>1.4210854715202004E-14</v>
      </c>
      <c r="L14" s="3849">
        <f t="shared" ref="L14:L20" si="11">IF(K14="NA","NA",K14/I14*100)</f>
        <v>2.1621307489588549E-14</v>
      </c>
      <c r="M14" s="3846">
        <f>IF(K14="NA","NA",K14/Table8s2!$G$35*100)</f>
        <v>2.6380001252497198E-18</v>
      </c>
      <c r="N14" s="3847">
        <f>IF(K14="NA","NA",K14/Table8s2!$G$34*100)</f>
        <v>2.2034920385055329E-18</v>
      </c>
      <c r="O14" s="3850">
        <v>353.57090288210219</v>
      </c>
      <c r="P14" s="3849">
        <f>Summary2!E14</f>
        <v>353.57090288210213</v>
      </c>
      <c r="Q14" s="3841">
        <f t="shared" ref="Q14:Q20" si="12">IF(P14="NO",IF(O14="NO","NA",-O14),IF(O14="NO",P14,P14-O14))</f>
        <v>-5.6843418860808015E-14</v>
      </c>
      <c r="R14" s="3849">
        <f t="shared" ref="R14:R20" si="13">IF(Q14="NA","NA",Q14/O14*100)</f>
        <v>-1.6076950449670453E-14</v>
      </c>
      <c r="S14" s="3846">
        <f>IF(Q14="NA","NA",Q14/Table8s2!$G$35*100)</f>
        <v>-1.0552000500998879E-17</v>
      </c>
      <c r="T14" s="3847">
        <f>IF(Q14="NA","NA",Q14/Table8s2!$G$34*100)</f>
        <v>-8.8139681540221317E-18</v>
      </c>
    </row>
    <row r="15" spans="2:20" ht="18" customHeight="1" x14ac:dyDescent="0.2">
      <c r="B15" s="1391" t="s">
        <v>1925</v>
      </c>
      <c r="C15" s="3849">
        <v>80926.112954754557</v>
      </c>
      <c r="D15" s="3841">
        <f>Summary2!C15</f>
        <v>80852.979449696941</v>
      </c>
      <c r="E15" s="3841">
        <f t="shared" si="4"/>
        <v>-73.133505057616276</v>
      </c>
      <c r="F15" s="3849">
        <f t="shared" si="5"/>
        <v>-9.037071272471088E-2</v>
      </c>
      <c r="G15" s="3846">
        <f>IF(E15="NA","NA",E15/Table8s2!$G$35*100)</f>
        <v>-1.3575974096446201E-2</v>
      </c>
      <c r="H15" s="3847">
        <f>IF(E15="NA","NA",E15/Table8s2!$G$34*100)</f>
        <v>-1.1339859520910661E-2</v>
      </c>
      <c r="I15" s="3848">
        <v>595.46414893406188</v>
      </c>
      <c r="J15" s="3841">
        <f>Summary2!D15</f>
        <v>595.00817241745779</v>
      </c>
      <c r="K15" s="3841">
        <f t="shared" si="10"/>
        <v>-0.4559765166040961</v>
      </c>
      <c r="L15" s="3849">
        <f t="shared" si="11"/>
        <v>-7.6574973895630477E-2</v>
      </c>
      <c r="M15" s="3846">
        <f>IF(K15="NA","NA",K15/Table8s2!$G$35*100)</f>
        <v>-8.4644177427679656E-5</v>
      </c>
      <c r="N15" s="3847">
        <f>IF(K15="NA","NA",K15/Table8s2!$G$34*100)</f>
        <v>-7.0702335940975777E-5</v>
      </c>
      <c r="O15" s="3850">
        <v>1818.9005494029889</v>
      </c>
      <c r="P15" s="3849">
        <f>Summary2!E15</f>
        <v>1818.197081993728</v>
      </c>
      <c r="Q15" s="3841">
        <f t="shared" si="12"/>
        <v>-0.70346740926083839</v>
      </c>
      <c r="R15" s="3849">
        <f t="shared" si="13"/>
        <v>-3.8675419032213443E-2</v>
      </c>
      <c r="S15" s="3846">
        <f>IF(Q15="NA","NA",Q15/Table8s2!$G$35*100)</f>
        <v>-1.3058659390515124E-4</v>
      </c>
      <c r="T15" s="3847">
        <f>IF(Q15="NA","NA",Q15/Table8s2!$G$34*100)</f>
        <v>-1.0907752325383876E-4</v>
      </c>
    </row>
    <row r="16" spans="2:20" ht="18" customHeight="1" x14ac:dyDescent="0.2">
      <c r="B16" s="1391" t="s">
        <v>1926</v>
      </c>
      <c r="C16" s="3849">
        <v>18814.081690346997</v>
      </c>
      <c r="D16" s="3841">
        <f>Summary2!C16</f>
        <v>18814.077822321706</v>
      </c>
      <c r="E16" s="3841">
        <f t="shared" si="4"/>
        <v>-3.8680252910126001E-3</v>
      </c>
      <c r="F16" s="3849">
        <f t="shared" si="5"/>
        <v>-2.0559203232317105E-5</v>
      </c>
      <c r="G16" s="3846">
        <f>IF(E16="NA","NA",E16/Table8s2!$G$35*100)</f>
        <v>-7.1803219487176901E-7</v>
      </c>
      <c r="H16" s="3847">
        <f>IF(E16="NA","NA",E16/Table8s2!$G$34*100)</f>
        <v>-5.9976427205090578E-7</v>
      </c>
      <c r="I16" s="3848">
        <v>1374.4479828963026</v>
      </c>
      <c r="J16" s="3841">
        <f>Summary2!D16</f>
        <v>1374.4438727636116</v>
      </c>
      <c r="K16" s="3841">
        <f t="shared" si="10"/>
        <v>-4.1101326910393254E-3</v>
      </c>
      <c r="L16" s="3849">
        <f t="shared" si="11"/>
        <v>-2.9903879536992422E-4</v>
      </c>
      <c r="M16" s="3846">
        <f>IF(K16="NA","NA",K16/Table8s2!$G$35*100)</f>
        <v>-7.629752587756706E-7</v>
      </c>
      <c r="N16" s="3847">
        <f>IF(K16="NA","NA",K16/Table8s2!$G$34*100)</f>
        <v>-6.3730471132170307E-7</v>
      </c>
      <c r="O16" s="3850">
        <v>175.58051004359788</v>
      </c>
      <c r="P16" s="3849">
        <f>Summary2!E16</f>
        <v>175.58024856324832</v>
      </c>
      <c r="Q16" s="3841">
        <f t="shared" si="12"/>
        <v>-2.6148034956463562E-4</v>
      </c>
      <c r="R16" s="3849">
        <f t="shared" si="13"/>
        <v>-1.4892333408742702E-4</v>
      </c>
      <c r="S16" s="3846">
        <f>IF(Q16="NA","NA",Q16/Table8s2!$G$35*100)</f>
        <v>-4.8539317917588337E-8</v>
      </c>
      <c r="T16" s="3847">
        <f>IF(Q16="NA","NA",Q16/Table8s2!$G$34*100)</f>
        <v>-4.0544350078743883E-8</v>
      </c>
    </row>
    <row r="17" spans="2:20" ht="18" customHeight="1" x14ac:dyDescent="0.2">
      <c r="B17" s="1391" t="s">
        <v>1927</v>
      </c>
      <c r="C17" s="3849">
        <v>649.05487369003185</v>
      </c>
      <c r="D17" s="3841">
        <f>Summary2!C17</f>
        <v>645.81636822602309</v>
      </c>
      <c r="E17" s="3841">
        <f t="shared" si="4"/>
        <v>-3.2385054640087674</v>
      </c>
      <c r="F17" s="3849">
        <f t="shared" si="5"/>
        <v>-0.49895711368702789</v>
      </c>
      <c r="G17" s="3846">
        <f>IF(E17="NA","NA",E17/Table8s2!$G$35*100)</f>
        <v>-6.0117269445714627E-4</v>
      </c>
      <c r="H17" s="3847">
        <f>IF(E17="NA","NA",E17/Table8s2!$G$34*100)</f>
        <v>-5.0215283665987068E-4</v>
      </c>
      <c r="I17" s="3848">
        <v>0.62356517235336206</v>
      </c>
      <c r="J17" s="3841">
        <f>Summary2!D17</f>
        <v>0.61468986485902832</v>
      </c>
      <c r="K17" s="3841">
        <f t="shared" si="10"/>
        <v>-8.8753074943337396E-3</v>
      </c>
      <c r="L17" s="3849">
        <f t="shared" si="11"/>
        <v>-1.4233167418311614</v>
      </c>
      <c r="M17" s="3846">
        <f>IF(K17="NA","NA",K17/Table8s2!$G$35*100)</f>
        <v>-1.6475477901154079E-6</v>
      </c>
      <c r="N17" s="3847">
        <f>IF(K17="NA","NA",K17/Table8s2!$G$34*100)</f>
        <v>-1.3761782661905775E-6</v>
      </c>
      <c r="O17" s="3850">
        <v>4.7691819786558005</v>
      </c>
      <c r="P17" s="3849">
        <f>Summary2!E17</f>
        <v>4.74456829109696</v>
      </c>
      <c r="Q17" s="3841">
        <f t="shared" si="12"/>
        <v>-2.4613687558840525E-2</v>
      </c>
      <c r="R17" s="3849">
        <f t="shared" si="13"/>
        <v>-0.51609872864985373</v>
      </c>
      <c r="S17" s="3846">
        <f>IF(Q17="NA","NA",Q17/Table8s2!$G$35*100)</f>
        <v>-4.5691066557466952E-6</v>
      </c>
      <c r="T17" s="3847">
        <f>IF(Q17="NA","NA",Q17/Table8s2!$G$34*100)</f>
        <v>-3.816523753222878E-6</v>
      </c>
    </row>
    <row r="18" spans="2:20" ht="18" customHeight="1" x14ac:dyDescent="0.2">
      <c r="B18" s="606" t="s">
        <v>201</v>
      </c>
      <c r="C18" s="3849">
        <f>SUM(C19:C20)</f>
        <v>7046.3937866027927</v>
      </c>
      <c r="D18" s="3841">
        <f>Summary2!C18</f>
        <v>7046.3897947247669</v>
      </c>
      <c r="E18" s="3841">
        <f t="shared" si="4"/>
        <v>-3.9918780257721664E-3</v>
      </c>
      <c r="F18" s="3849">
        <f t="shared" si="5"/>
        <v>-5.66513616278708E-5</v>
      </c>
      <c r="G18" s="3846">
        <f>IF(E18="NA","NA",E18/Table8s2!$G$35*100)</f>
        <v>-7.4102331935766958E-7</v>
      </c>
      <c r="H18" s="3847">
        <f>IF(E18="NA","NA",E18/Table8s2!$G$34*100)</f>
        <v>-6.1896850152613219E-7</v>
      </c>
      <c r="I18" s="3848">
        <f>SUM(I19:I20)</f>
        <v>36575.456898587247</v>
      </c>
      <c r="J18" s="3841">
        <f>Summary2!D18</f>
        <v>36575.154296487381</v>
      </c>
      <c r="K18" s="3841">
        <f t="shared" si="10"/>
        <v>-0.3026020998659078</v>
      </c>
      <c r="L18" s="3849">
        <f t="shared" si="11"/>
        <v>-8.2733648606204014E-4</v>
      </c>
      <c r="M18" s="3846">
        <f>IF(K18="NA","NA",K18/Table8s2!$G$35*100)</f>
        <v>-5.6172861755679826E-5</v>
      </c>
      <c r="N18" s="3847">
        <f>IF(K18="NA","NA",K18/Table8s2!$G$34*100)</f>
        <v>-4.6920563981017796E-5</v>
      </c>
      <c r="O18" s="3850">
        <f>SUM(O19:O20)</f>
        <v>21.50927981265944</v>
      </c>
      <c r="P18" s="3849">
        <f>Summary2!E18</f>
        <v>21.50927981265944</v>
      </c>
      <c r="Q18" s="3841">
        <f t="shared" si="12"/>
        <v>0</v>
      </c>
      <c r="R18" s="3849">
        <f t="shared" si="13"/>
        <v>0</v>
      </c>
      <c r="S18" s="3846">
        <f>IF(Q18="NA","NA",Q18/Table8s2!$G$35*100)</f>
        <v>0</v>
      </c>
      <c r="T18" s="3847">
        <f>IF(Q18="NA","NA",Q18/Table8s2!$G$34*100)</f>
        <v>0</v>
      </c>
    </row>
    <row r="19" spans="2:20" ht="18" customHeight="1" x14ac:dyDescent="0.2">
      <c r="B19" s="1391" t="s">
        <v>1928</v>
      </c>
      <c r="C19" s="3849">
        <v>1212.9142005812867</v>
      </c>
      <c r="D19" s="3841">
        <f>Summary2!C19</f>
        <v>1212.9142005812867</v>
      </c>
      <c r="E19" s="3841">
        <f t="shared" si="4"/>
        <v>0</v>
      </c>
      <c r="F19" s="3849">
        <f t="shared" si="5"/>
        <v>0</v>
      </c>
      <c r="G19" s="3846">
        <f>IF(E19="NA","NA",E19/Table8s2!$G$35*100)</f>
        <v>0</v>
      </c>
      <c r="H19" s="3847">
        <f>IF(E19="NA","NA",E19/Table8s2!$G$34*100)</f>
        <v>0</v>
      </c>
      <c r="I19" s="3848">
        <v>30802.500206679775</v>
      </c>
      <c r="J19" s="3841">
        <f>Summary2!D19</f>
        <v>30802.500206679772</v>
      </c>
      <c r="K19" s="3841">
        <f t="shared" si="10"/>
        <v>-3.637978807091713E-12</v>
      </c>
      <c r="L19" s="3849">
        <f t="shared" si="11"/>
        <v>-1.1810660766760704E-14</v>
      </c>
      <c r="M19" s="3846">
        <f>IF(K19="NA","NA",K19/Table8s2!$G$35*100)</f>
        <v>-6.7532803206392827E-16</v>
      </c>
      <c r="N19" s="3847">
        <f>IF(K19="NA","NA",K19/Table8s2!$G$34*100)</f>
        <v>-5.6409396185741643E-16</v>
      </c>
      <c r="O19" s="3850">
        <v>3.3336402948205446E-2</v>
      </c>
      <c r="P19" s="3849">
        <f>Summary2!E19</f>
        <v>3.3336402948205446E-2</v>
      </c>
      <c r="Q19" s="3841">
        <f t="shared" si="12"/>
        <v>0</v>
      </c>
      <c r="R19" s="3849">
        <f t="shared" si="13"/>
        <v>0</v>
      </c>
      <c r="S19" s="3846">
        <f>IF(Q19="NA","NA",Q19/Table8s2!$G$35*100)</f>
        <v>0</v>
      </c>
      <c r="T19" s="3847">
        <f>IF(Q19="NA","NA",Q19/Table8s2!$G$34*100)</f>
        <v>0</v>
      </c>
    </row>
    <row r="20" spans="2:20" ht="18" customHeight="1" x14ac:dyDescent="0.2">
      <c r="B20" s="1392" t="s">
        <v>1929</v>
      </c>
      <c r="C20" s="3851">
        <v>5833.4795860215063</v>
      </c>
      <c r="D20" s="3852">
        <f>Summary2!C20</f>
        <v>5833.4755941434805</v>
      </c>
      <c r="E20" s="3852">
        <f t="shared" si="4"/>
        <v>-3.9918780257721664E-3</v>
      </c>
      <c r="F20" s="3851">
        <f t="shared" si="5"/>
        <v>-6.8430479046120555E-5</v>
      </c>
      <c r="G20" s="3853">
        <f>IF(E20="NA","NA",E20/Table8s2!$G$35*100)</f>
        <v>-7.4102331935766958E-7</v>
      </c>
      <c r="H20" s="3854">
        <f>IF(E20="NA","NA",E20/Table8s2!$G$34*100)</f>
        <v>-6.1896850152613219E-7</v>
      </c>
      <c r="I20" s="3855">
        <v>5772.9566919074741</v>
      </c>
      <c r="J20" s="3852">
        <f>Summary2!D20</f>
        <v>5772.6540898076128</v>
      </c>
      <c r="K20" s="3841">
        <f t="shared" si="10"/>
        <v>-0.30260209986136033</v>
      </c>
      <c r="L20" s="3849">
        <f t="shared" si="11"/>
        <v>-5.2417178234776592E-3</v>
      </c>
      <c r="M20" s="3846">
        <f>IF(K20="NA","NA",K20/Table8s2!$G$35*100)</f>
        <v>-5.6172861754835666E-5</v>
      </c>
      <c r="N20" s="3847">
        <f>IF(K20="NA","NA",K20/Table8s2!$G$34*100)</f>
        <v>-4.6920563980312678E-5</v>
      </c>
      <c r="O20" s="3856">
        <v>21.475943409711235</v>
      </c>
      <c r="P20" s="3851">
        <f>Summary2!E20</f>
        <v>21.475943409711235</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23245.05679168686</v>
      </c>
      <c r="D22" s="3841">
        <f>Summary2!C22</f>
        <v>23245.05679168686</v>
      </c>
      <c r="E22" s="3863">
        <f t="shared" si="4"/>
        <v>0</v>
      </c>
      <c r="F22" s="3863">
        <f t="shared" si="5"/>
        <v>0</v>
      </c>
      <c r="G22" s="3864">
        <f>IF(E22="NA","NA",E22/Table8s2!$G$35*100)</f>
        <v>0</v>
      </c>
      <c r="H22" s="3865">
        <f>IF(E22="NA","NA",E22/Table8s2!$G$34*100)</f>
        <v>0</v>
      </c>
      <c r="I22" s="3841">
        <f>SUM(I23:I29)</f>
        <v>99.304303381217039</v>
      </c>
      <c r="J22" s="3841">
        <f>Summary2!D22</f>
        <v>99.304303381217039</v>
      </c>
      <c r="K22" s="3863">
        <f t="shared" ref="K22" si="14">IF(J22="NO",IF(I22="NO","NA",-I22),IF(I22="NO",J22,J22-I22))</f>
        <v>0</v>
      </c>
      <c r="L22" s="3863">
        <f t="shared" ref="L22" si="15">IF(K22="NA","NA",K22/I22*100)</f>
        <v>0</v>
      </c>
      <c r="M22" s="3864">
        <f>IF(K22="NA","NA",K22/Table8s2!$G$35*100)</f>
        <v>0</v>
      </c>
      <c r="N22" s="3865">
        <f>IF(K22="NA","NA",K22/Table8s2!$G$34*100)</f>
        <v>0</v>
      </c>
      <c r="O22" s="3841">
        <f>SUM(O23:O29)</f>
        <v>2353.1368783522262</v>
      </c>
      <c r="P22" s="3841">
        <f>Summary2!E22</f>
        <v>2353.1368783522262</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6668.9977667490357</v>
      </c>
      <c r="D23" s="3841">
        <f>Summary2!C23</f>
        <v>6668.9977667490357</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3442.2998770693694</v>
      </c>
      <c r="D24" s="3841">
        <f>Summary2!C24</f>
        <v>3442.2998770693698</v>
      </c>
      <c r="E24" s="3841">
        <f t="shared" si="4"/>
        <v>4.5474735088646412E-13</v>
      </c>
      <c r="F24" s="3849">
        <f t="shared" si="5"/>
        <v>1.3210567560244549E-14</v>
      </c>
      <c r="G24" s="3846">
        <f>IF(E24="NA","NA",E24/Table8s2!$G$35*100)</f>
        <v>8.4416004007991034E-17</v>
      </c>
      <c r="H24" s="3847">
        <f>IF(E24="NA","NA",E24/Table8s2!$G$34*100)</f>
        <v>7.0511745232177053E-17</v>
      </c>
      <c r="I24" s="3848">
        <v>15.942746400000001</v>
      </c>
      <c r="J24" s="3841">
        <f>Summary2!D24</f>
        <v>15.942746400000001</v>
      </c>
      <c r="K24" s="3841">
        <f t="shared" ref="K24" si="18">IF(J24="NO",IF(I24="NO","NA",-I24),IF(I24="NO",J24,J24-I24))</f>
        <v>0</v>
      </c>
      <c r="L24" s="3849">
        <f t="shared" ref="L24" si="19">IF(K24="NA","NA",K24/I24*100)</f>
        <v>0</v>
      </c>
      <c r="M24" s="3846">
        <f>IF(K24="NA","NA",K24/Table8s2!$G$35*100)</f>
        <v>0</v>
      </c>
      <c r="N24" s="3847">
        <f>IF(K24="NA","NA",K24/Table8s2!$G$34*100)</f>
        <v>0</v>
      </c>
      <c r="O24" s="3850">
        <v>2333.1545911174203</v>
      </c>
      <c r="P24" s="3849">
        <f>Summary2!E24</f>
        <v>2333.1545911174203</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12730.761169823347</v>
      </c>
      <c r="D25" s="3841">
        <f>Summary2!C25</f>
        <v>12730.761169823347</v>
      </c>
      <c r="E25" s="3841">
        <f t="shared" si="4"/>
        <v>0</v>
      </c>
      <c r="F25" s="3849">
        <f t="shared" si="5"/>
        <v>0</v>
      </c>
      <c r="G25" s="3846">
        <f>IF(E25="NA","NA",E25/Table8s2!$G$35*100)</f>
        <v>0</v>
      </c>
      <c r="H25" s="3847">
        <f>IF(E25="NA","NA",E25/Table8s2!$G$34*100)</f>
        <v>0</v>
      </c>
      <c r="I25" s="3848">
        <v>83.361556981217035</v>
      </c>
      <c r="J25" s="3841">
        <f>Summary2!D25</f>
        <v>83.361556981217049</v>
      </c>
      <c r="K25" s="3841">
        <f t="shared" ref="K25:K26" si="22">IF(J25="NO",IF(I25="NO","NA",-I25),IF(I25="NO",J25,J25-I25))</f>
        <v>1.4210854715202004E-14</v>
      </c>
      <c r="L25" s="3849">
        <f t="shared" ref="L25:L26" si="23">IF(K25="NA","NA",K25/I25*100)</f>
        <v>1.7047252030578057E-14</v>
      </c>
      <c r="M25" s="3846">
        <f>IF(K25="NA","NA",K25/Table8s2!$G$35*100)</f>
        <v>2.6380001252497198E-18</v>
      </c>
      <c r="N25" s="3847">
        <f>IF(K25="NA","NA",K25/Table8s2!$G$34*100)</f>
        <v>2.2034920385055329E-18</v>
      </c>
      <c r="O25" s="3850">
        <v>19.982287234805749</v>
      </c>
      <c r="P25" s="3849">
        <f>Summary2!E25</f>
        <v>19.982287234805749</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242.50388749999999</v>
      </c>
      <c r="D26" s="3841">
        <f>Summary2!C26</f>
        <v>242.50388750000002</v>
      </c>
      <c r="E26" s="3841">
        <f t="shared" si="4"/>
        <v>2.8421709430404007E-14</v>
      </c>
      <c r="F26" s="3849">
        <f t="shared" si="5"/>
        <v>1.1720104664468114E-14</v>
      </c>
      <c r="G26" s="3846">
        <f>IF(E26="NA","NA",E26/Table8s2!$G$35*100)</f>
        <v>5.2760002504994396E-18</v>
      </c>
      <c r="H26" s="3847">
        <f>IF(E26="NA","NA",E26/Table8s2!$G$34*100)</f>
        <v>4.4069840770110658E-18</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160.49409054511213</v>
      </c>
      <c r="D29" s="3857">
        <f>Summary2!C30</f>
        <v>160.49409054511213</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1829.6911462013227</v>
      </c>
      <c r="D30" s="3877">
        <f>Summary2!C31</f>
        <v>1829.6911462013227</v>
      </c>
      <c r="E30" s="3863">
        <f t="shared" si="4"/>
        <v>0</v>
      </c>
      <c r="F30" s="3878">
        <f t="shared" si="5"/>
        <v>0</v>
      </c>
      <c r="G30" s="3879">
        <f>IF(E30="NA","NA",E30/Table8s2!$G$35*100)</f>
        <v>0</v>
      </c>
      <c r="H30" s="3880">
        <f>IF(E30="NA","NA",E30/Table8s2!$G$34*100)</f>
        <v>0</v>
      </c>
      <c r="I30" s="3876">
        <f>SUM(I31:I40)</f>
        <v>70385.210094251961</v>
      </c>
      <c r="J30" s="3877">
        <f>Summary2!D31</f>
        <v>70379.17086905324</v>
      </c>
      <c r="K30" s="3863">
        <f t="shared" ref="K30" si="28">IF(J30="NO",IF(I30="NO","NA",-I30),IF(I30="NO",J30,J30-I30))</f>
        <v>-6.0392251987213967</v>
      </c>
      <c r="L30" s="3878">
        <f t="shared" ref="L30" si="29">IF(K30="NA","NA",K30/I30*100)</f>
        <v>-8.5802474562970618E-3</v>
      </c>
      <c r="M30" s="3879">
        <f>IF(K30="NA","NA",K30/Table8s2!$G$35*100)</f>
        <v>-1.1210780174675684E-3</v>
      </c>
      <c r="N30" s="3880">
        <f>IF(K30="NA","NA",K30/Table8s2!$G$34*100)</f>
        <v>-9.3642394569617776E-4</v>
      </c>
      <c r="O30" s="3876">
        <f>SUM(O31:O40)</f>
        <v>12065.078042611183</v>
      </c>
      <c r="P30" s="3877">
        <f>Summary2!E31</f>
        <v>10851.416611250357</v>
      </c>
      <c r="Q30" s="3863">
        <f t="shared" ref="Q30" si="30">IF(P30="NO",IF(O30="NO","NA",-O30),IF(O30="NO",P30,P30-O30))</f>
        <v>-1213.6614313608261</v>
      </c>
      <c r="R30" s="3882">
        <f t="shared" ref="R30" si="31">IF(Q30="NA","NA",Q30/O30*100)</f>
        <v>-10.059292008509541</v>
      </c>
      <c r="S30" s="3883">
        <f>IF(Q30="NA","NA",Q30/Table8s2!$G$35*100)</f>
        <v>-0.22529531629900296</v>
      </c>
      <c r="T30" s="3884">
        <f>IF(Q30="NA","NA",Q30/Table8s2!$G$34*100)</f>
        <v>-0.18818666118541028</v>
      </c>
    </row>
    <row r="31" spans="2:20" ht="18" customHeight="1" x14ac:dyDescent="0.2">
      <c r="B31" s="606" t="s">
        <v>1938</v>
      </c>
      <c r="C31" s="3869"/>
      <c r="D31" s="3869"/>
      <c r="E31" s="3870"/>
      <c r="F31" s="3870"/>
      <c r="G31" s="3871"/>
      <c r="H31" s="3872"/>
      <c r="I31" s="3848">
        <v>62465.227507263597</v>
      </c>
      <c r="J31" s="3841">
        <f>Summary2!D32</f>
        <v>62465.227507263597</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7142.9376073236226</v>
      </c>
      <c r="J32" s="3849">
        <f>Summary2!D33</f>
        <v>7136.8983821248958</v>
      </c>
      <c r="K32" s="3895">
        <f t="shared" si="32"/>
        <v>-6.0392251987268537</v>
      </c>
      <c r="L32" s="3895">
        <f t="shared" si="33"/>
        <v>-8.4548200344559385E-2</v>
      </c>
      <c r="M32" s="3886">
        <f>IF(K32="NA","NA",K32/Table8s2!$G$35*100)</f>
        <v>-1.1210780174685814E-3</v>
      </c>
      <c r="N32" s="3887">
        <f>IF(K32="NA","NA",K32/Table8s2!$G$34*100)</f>
        <v>-9.3642394569702387E-4</v>
      </c>
      <c r="O32" s="3850">
        <v>466.64135047769372</v>
      </c>
      <c r="P32" s="3849">
        <f>Summary2!E33</f>
        <v>534.38581735469813</v>
      </c>
      <c r="Q32" s="3895">
        <f t="shared" ref="Q32" si="34">IF(P32="NO",IF(O32="NO","NA",-O32),IF(O32="NO",P32,P32-O32))</f>
        <v>67.744466877004413</v>
      </c>
      <c r="R32" s="3896">
        <f t="shared" ref="R32" si="35">IF(Q32="NA","NA",Q32/O32*100)</f>
        <v>14.517459030935735</v>
      </c>
      <c r="S32" s="3897">
        <f>IF(Q32="NA","NA",Q32/Table8s2!$G$35*100)</f>
        <v>1.2575592087036043E-2</v>
      </c>
      <c r="T32" s="3898">
        <f>IF(Q32="NA","NA",Q32/Table8s2!$G$34*100)</f>
        <v>1.0504251602586251E-2</v>
      </c>
    </row>
    <row r="33" spans="2:21" ht="18" customHeight="1" x14ac:dyDescent="0.2">
      <c r="B33" s="606" t="s">
        <v>1940</v>
      </c>
      <c r="C33" s="3893"/>
      <c r="D33" s="3893"/>
      <c r="E33" s="3894"/>
      <c r="F33" s="3894"/>
      <c r="G33" s="3899"/>
      <c r="H33" s="3900"/>
      <c r="I33" s="3850">
        <v>454.09758729999999</v>
      </c>
      <c r="J33" s="3849">
        <f>Summary2!D34</f>
        <v>454.09758729999999</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11472.692965905891</v>
      </c>
      <c r="P34" s="3849">
        <f>Summary2!E35</f>
        <v>10191.28706766806</v>
      </c>
      <c r="Q34" s="3895">
        <f t="shared" ref="Q34" si="36">IF(P34="NO",IF(O34="NO","NA",-O34),IF(O34="NO",P34,P34-O34))</f>
        <v>-1281.4058982378319</v>
      </c>
      <c r="R34" s="3896">
        <f t="shared" ref="R34" si="37">IF(Q34="NA","NA",Q34/O34*100)</f>
        <v>-11.169181482027495</v>
      </c>
      <c r="S34" s="3897">
        <f>IF(Q34="NA","NA",Q34/Table8s2!$G$35*100)</f>
        <v>-0.2378709083860393</v>
      </c>
      <c r="T34" s="3898">
        <f>IF(Q34="NA","NA",Q34/Table8s2!$G$34*100)</f>
        <v>-0.19869091278799678</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322.94739236474743</v>
      </c>
      <c r="J36" s="3849">
        <f>Summary2!D37</f>
        <v>322.94739236474743</v>
      </c>
      <c r="K36" s="3895">
        <f t="shared" ref="K36" si="38">IF(J36="NO",IF(I36="NO","NA",-I36),IF(I36="NO",J36,J36-I36))</f>
        <v>0</v>
      </c>
      <c r="L36" s="3895">
        <f t="shared" ref="L36" si="39">IF(K36="NA","NA",K36/I36*100)</f>
        <v>0</v>
      </c>
      <c r="M36" s="3886">
        <f>IF(K36="NA","NA",K36/Table8s2!$G$35*100)</f>
        <v>0</v>
      </c>
      <c r="N36" s="3887">
        <f>IF(K36="NA","NA",K36/Table8s2!$G$34*100)</f>
        <v>0</v>
      </c>
      <c r="O36" s="3850">
        <v>125.74372622759887</v>
      </c>
      <c r="P36" s="3849">
        <f>Summary2!E37</f>
        <v>125.74372622759887</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1072.8425829711978</v>
      </c>
      <c r="D37" s="3849">
        <f>Summary2!C38</f>
        <v>1072.8425829711978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756.84856323012491</v>
      </c>
      <c r="D38" s="3849">
        <f>Summary2!C39</f>
        <v>756.84856323012491</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61853.12923380499</v>
      </c>
      <c r="D41" s="3841">
        <f>Summary2!C42</f>
        <v>80660.306232489762</v>
      </c>
      <c r="E41" s="3931">
        <f t="shared" ref="E41" si="42">IF(D41="NO",IF(C41="NO","NA",-C41),IF(C41="NO",D41,D41-C41))</f>
        <v>18807.176998684772</v>
      </c>
      <c r="F41" s="3931">
        <f t="shared" ref="F41" si="43">IF(E41="NA","NA",E41/C41*100)</f>
        <v>30.406185154503007</v>
      </c>
      <c r="G41" s="3871"/>
      <c r="H41" s="3931">
        <f>IF(E41="NA","NA",E41/Table8s2!$G$34*100)</f>
        <v>2.9161838336883736</v>
      </c>
      <c r="I41" s="3848">
        <f>SUM(I42:I49)</f>
        <v>20337.881806290221</v>
      </c>
      <c r="J41" s="3841">
        <f>Summary2!D42</f>
        <v>20850.132858452343</v>
      </c>
      <c r="K41" s="3931">
        <f t="shared" ref="K41:K46" si="44">IF(J41="NO",IF(I41="NO","NA",-I41),IF(I41="NO",J41,J41-I41))</f>
        <v>512.25105216212251</v>
      </c>
      <c r="L41" s="3931">
        <f t="shared" ref="L41:L46" si="45">IF(K41="NA","NA",K41/I41*100)</f>
        <v>2.5187040471623274</v>
      </c>
      <c r="M41" s="3891"/>
      <c r="N41" s="3932">
        <f>IF(K41="NA","NA",K41/Table8s2!$G$34*100)</f>
        <v>7.9428094775175859E-2</v>
      </c>
      <c r="O41" s="3848">
        <f>SUM(O42:O49)</f>
        <v>4581.6870213472803</v>
      </c>
      <c r="P41" s="3841">
        <f>Summary2!E42</f>
        <v>4715.7901885345264</v>
      </c>
      <c r="Q41" s="3931">
        <f t="shared" ref="Q41" si="46">IF(P41="NO",IF(O41="NO","NA",-O41),IF(O41="NO",P41,P41-O41))</f>
        <v>134.10316718724607</v>
      </c>
      <c r="R41" s="3931">
        <f t="shared" ref="R41" si="47">IF(Q41="NA","NA",Q41/O41*100)</f>
        <v>2.9269386268076425</v>
      </c>
      <c r="S41" s="3891"/>
      <c r="T41" s="3932">
        <f>IF(Q41="NA","NA",Q41/Table8s2!$G$34*100)</f>
        <v>2.0793630443591005E-2</v>
      </c>
      <c r="U41" s="721"/>
    </row>
    <row r="42" spans="2:21" ht="18" customHeight="1" x14ac:dyDescent="0.2">
      <c r="B42" s="606" t="s">
        <v>1252</v>
      </c>
      <c r="C42" s="3849">
        <v>-44030.092111633719</v>
      </c>
      <c r="D42" s="3849">
        <f>Summary2!C43</f>
        <v>-44102.758532752043</v>
      </c>
      <c r="E42" s="3933">
        <f t="shared" ref="E42:E50" si="48">IF(D42="NO",IF(C42="NO","NA",-C42),IF(C42="NO",D42,D42-C42))</f>
        <v>-72.666421118323342</v>
      </c>
      <c r="F42" s="3933">
        <f t="shared" ref="F42:F50" si="49">IF(E42="NA","NA",E42/C42*100)</f>
        <v>0.16503808562127281</v>
      </c>
      <c r="G42" s="3891"/>
      <c r="H42" s="3933">
        <f>IF(E42="NA","NA",E42/Table8s2!$G$34*100)</f>
        <v>-1.1267434901690201E-2</v>
      </c>
      <c r="I42" s="3850">
        <v>6941.4929729129544</v>
      </c>
      <c r="J42" s="3849">
        <f>Summary2!D43</f>
        <v>7217.6573189177871</v>
      </c>
      <c r="K42" s="3933">
        <f t="shared" si="44"/>
        <v>276.16434600483262</v>
      </c>
      <c r="L42" s="3933">
        <f t="shared" si="45"/>
        <v>3.978457474241913</v>
      </c>
      <c r="M42" s="3891"/>
      <c r="N42" s="3934">
        <f>IF(K42="NA","NA",K42/Table8s2!$G$34*100)</f>
        <v>4.2821206038350941E-2</v>
      </c>
      <c r="O42" s="3850">
        <v>1261.1002195832853</v>
      </c>
      <c r="P42" s="3849">
        <f>Summary2!E43</f>
        <v>1368.1774887471586</v>
      </c>
      <c r="Q42" s="3933">
        <f t="shared" ref="Q42:Q46" si="50">IF(P42="NO",IF(O42="NO","NA",-O42),IF(O42="NO",P42,P42-O42))</f>
        <v>107.07726916387332</v>
      </c>
      <c r="R42" s="3933">
        <f t="shared" ref="R42:R46" si="51">IF(Q42="NA","NA",Q42/O42*100)</f>
        <v>8.4907818983058831</v>
      </c>
      <c r="S42" s="3891"/>
      <c r="T42" s="3934">
        <f>IF(Q42="NA","NA",Q42/Table8s2!$G$34*100)</f>
        <v>1.6603076650633045E-2</v>
      </c>
      <c r="U42" s="721"/>
    </row>
    <row r="43" spans="2:21" ht="18" customHeight="1" x14ac:dyDescent="0.2">
      <c r="B43" s="606" t="s">
        <v>1255</v>
      </c>
      <c r="C43" s="3849">
        <v>10431.513443562886</v>
      </c>
      <c r="D43" s="3849">
        <f>Summary2!C44</f>
        <v>12987.761389425392</v>
      </c>
      <c r="E43" s="3933">
        <f t="shared" si="48"/>
        <v>2556.2479458625057</v>
      </c>
      <c r="F43" s="3933">
        <f t="shared" si="49"/>
        <v>24.505053458373521</v>
      </c>
      <c r="G43" s="3891"/>
      <c r="H43" s="3933">
        <f>IF(E43="NA","NA",E43/Table8s2!$G$34*100)</f>
        <v>0.39636405480443243</v>
      </c>
      <c r="I43" s="3850">
        <v>113.78545919999999</v>
      </c>
      <c r="J43" s="3849">
        <f>Summary2!D44</f>
        <v>112.6236113342833</v>
      </c>
      <c r="K43" s="3933">
        <f t="shared" si="44"/>
        <v>-1.1618478657166946</v>
      </c>
      <c r="L43" s="3933">
        <f t="shared" si="45"/>
        <v>-1.0210864146309959</v>
      </c>
      <c r="M43" s="3891"/>
      <c r="N43" s="3934">
        <f>IF(K43="NA","NA",K43/Table8s2!$G$34*100)</f>
        <v>-1.8015260681841338E-4</v>
      </c>
      <c r="O43" s="3850">
        <v>35.839770574869988</v>
      </c>
      <c r="P43" s="3849">
        <f>Summary2!E44</f>
        <v>30.919973509778696</v>
      </c>
      <c r="Q43" s="3933">
        <f t="shared" si="50"/>
        <v>-4.9197970650912914</v>
      </c>
      <c r="R43" s="3933">
        <f t="shared" si="51"/>
        <v>-13.727200219693758</v>
      </c>
      <c r="S43" s="3891"/>
      <c r="T43" s="3934">
        <f>IF(Q43="NA","NA",Q43/Table8s2!$G$34*100)</f>
        <v>-7.6284881389961144E-4</v>
      </c>
      <c r="U43" s="721"/>
    </row>
    <row r="44" spans="2:21" ht="18" customHeight="1" x14ac:dyDescent="0.2">
      <c r="B44" s="606" t="s">
        <v>1258</v>
      </c>
      <c r="C44" s="3849">
        <v>95703.865611283778</v>
      </c>
      <c r="D44" s="3849">
        <f>Summary2!C45</f>
        <v>111265.70832686298</v>
      </c>
      <c r="E44" s="3933">
        <f t="shared" si="48"/>
        <v>15561.842715579201</v>
      </c>
      <c r="F44" s="3933">
        <f t="shared" si="49"/>
        <v>16.260411861299374</v>
      </c>
      <c r="G44" s="3891"/>
      <c r="H44" s="3933">
        <f>IF(E44="NA","NA",E44/Table8s2!$G$34*100)</f>
        <v>2.4129721410473701</v>
      </c>
      <c r="I44" s="3850">
        <v>10738.090655961169</v>
      </c>
      <c r="J44" s="3849">
        <f>Summary2!D45</f>
        <v>11173.476493737991</v>
      </c>
      <c r="K44" s="3933">
        <f t="shared" si="44"/>
        <v>435.38583777682288</v>
      </c>
      <c r="L44" s="3933">
        <f t="shared" si="45"/>
        <v>4.0545926806375192</v>
      </c>
      <c r="M44" s="3891"/>
      <c r="N44" s="3934">
        <f>IF(K44="NA","NA",K44/Table8s2!$G$34*100)</f>
        <v>6.7509607722117476E-2</v>
      </c>
      <c r="O44" s="3850">
        <v>3138.3006617650371</v>
      </c>
      <c r="P44" s="3849">
        <f>Summary2!E45</f>
        <v>3161.5461601014026</v>
      </c>
      <c r="Q44" s="3933">
        <f t="shared" si="50"/>
        <v>23.245498336365472</v>
      </c>
      <c r="R44" s="3933">
        <f t="shared" si="51"/>
        <v>0.74070335642384832</v>
      </c>
      <c r="S44" s="3891"/>
      <c r="T44" s="3934">
        <f>IF(Q44="NA","NA",Q44/Table8s2!$G$34*100)</f>
        <v>3.6043764813443054E-3</v>
      </c>
      <c r="U44" s="721"/>
    </row>
    <row r="45" spans="2:21" ht="18" customHeight="1" x14ac:dyDescent="0.2">
      <c r="B45" s="606" t="s">
        <v>1984</v>
      </c>
      <c r="C45" s="3849">
        <v>1302.9933634580766</v>
      </c>
      <c r="D45" s="3849">
        <f>Summary2!C46</f>
        <v>1391.6380789291641</v>
      </c>
      <c r="E45" s="3933">
        <f t="shared" si="48"/>
        <v>88.644715471087466</v>
      </c>
      <c r="F45" s="3933">
        <f t="shared" si="49"/>
        <v>6.8031593987423697</v>
      </c>
      <c r="G45" s="3891"/>
      <c r="H45" s="3933">
        <f>IF(E45="NA","NA",E45/Table8s2!$G$34*100)</f>
        <v>1.3744980770732829E-2</v>
      </c>
      <c r="I45" s="3850">
        <v>2414.2456526160968</v>
      </c>
      <c r="J45" s="3849">
        <f>Summary2!D46</f>
        <v>2215.2204775150103</v>
      </c>
      <c r="K45" s="3933">
        <f t="shared" si="44"/>
        <v>-199.02517510108646</v>
      </c>
      <c r="L45" s="3933">
        <f t="shared" si="45"/>
        <v>-8.243783099926933</v>
      </c>
      <c r="M45" s="3891"/>
      <c r="N45" s="3934">
        <f>IF(K45="NA","NA",K45/Table8s2!$G$34*100)</f>
        <v>-3.0860240118300283E-2</v>
      </c>
      <c r="O45" s="3850">
        <v>90.613926532451615</v>
      </c>
      <c r="P45" s="3849">
        <f>Summary2!E46</f>
        <v>102.47453656275357</v>
      </c>
      <c r="Q45" s="3933">
        <f t="shared" si="50"/>
        <v>11.860610030301956</v>
      </c>
      <c r="R45" s="3933">
        <f t="shared" si="51"/>
        <v>13.089169054002211</v>
      </c>
      <c r="S45" s="3891"/>
      <c r="T45" s="3934">
        <f>IF(Q45="NA","NA",Q45/Table8s2!$G$34*100)</f>
        <v>1.8390702246524043E-3</v>
      </c>
      <c r="U45" s="721"/>
    </row>
    <row r="46" spans="2:21" ht="18" customHeight="1" x14ac:dyDescent="0.2">
      <c r="B46" s="606" t="s">
        <v>1985</v>
      </c>
      <c r="C46" s="3849">
        <v>5931.1504564207271</v>
      </c>
      <c r="D46" s="3849">
        <f>Summary2!C47</f>
        <v>6613.0693315321951</v>
      </c>
      <c r="E46" s="3933">
        <f t="shared" si="48"/>
        <v>681.91887511146797</v>
      </c>
      <c r="F46" s="3933">
        <f t="shared" si="49"/>
        <v>11.497244592290881</v>
      </c>
      <c r="G46" s="3891"/>
      <c r="H46" s="3933">
        <f>IF(E46="NA","NA",E46/Table8s2!$G$34*100)</f>
        <v>0.10573627289337956</v>
      </c>
      <c r="I46" s="3850">
        <v>130.2670656</v>
      </c>
      <c r="J46" s="3849">
        <f>Summary2!D47</f>
        <v>131.15495694727107</v>
      </c>
      <c r="K46" s="3933">
        <f t="shared" si="44"/>
        <v>0.88789134727107921</v>
      </c>
      <c r="L46" s="3933">
        <f t="shared" si="45"/>
        <v>0.68159311271925915</v>
      </c>
      <c r="M46" s="3891"/>
      <c r="N46" s="3934">
        <f>IF(K46="NA","NA",K46/Table8s2!$G$34*100)</f>
        <v>1.3767373982627925E-4</v>
      </c>
      <c r="O46" s="3850">
        <v>30.785315023628367</v>
      </c>
      <c r="P46" s="3849">
        <f>Summary2!E47</f>
        <v>27.624901745426328</v>
      </c>
      <c r="Q46" s="3933">
        <f t="shared" si="50"/>
        <v>-3.1604132782020393</v>
      </c>
      <c r="R46" s="3933">
        <f t="shared" si="51"/>
        <v>-10.265976735259512</v>
      </c>
      <c r="S46" s="3891"/>
      <c r="T46" s="3934">
        <f>IF(Q46="NA","NA",Q46/Table8s2!$G$34*100)</f>
        <v>-4.9004409913892886E-4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-7496.5171084051544</v>
      </c>
      <c r="D48" s="3849">
        <f>Summary2!C49</f>
        <v>-7505.3279406263191</v>
      </c>
      <c r="E48" s="3933">
        <f t="shared" si="48"/>
        <v>-8.8108322211646737</v>
      </c>
      <c r="F48" s="3933">
        <f t="shared" si="49"/>
        <v>0.11753234327026212</v>
      </c>
      <c r="G48" s="3891"/>
      <c r="H48" s="3933">
        <f>IF(E48="NA","NA",E48/Table8s2!$G$34*100)</f>
        <v>-1.3661809258506943E-3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v>10.215579118396668</v>
      </c>
      <c r="D49" s="3857">
        <f>Summary2!C50</f>
        <v>10.215579118396668</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25.047127868007145</v>
      </c>
      <c r="P49" s="3857">
        <f>Summary2!E50</f>
        <v>25.047127868007145</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29.308601056242154</v>
      </c>
      <c r="D50" s="3841">
        <f>Summary2!C51</f>
        <v>29.308601056242154</v>
      </c>
      <c r="E50" s="3841">
        <f t="shared" si="48"/>
        <v>0</v>
      </c>
      <c r="F50" s="3841">
        <f t="shared" si="49"/>
        <v>0</v>
      </c>
      <c r="G50" s="3846">
        <f>IF(E50="NA","NA",E50/Table8s2!$G$35*100)</f>
        <v>0</v>
      </c>
      <c r="H50" s="3847">
        <f>IF(E50="NA","NA",E50/Table8s2!$G$34*100)</f>
        <v>0</v>
      </c>
      <c r="I50" s="3841">
        <f>SUM(I51:I55)</f>
        <v>15202.44213109886</v>
      </c>
      <c r="J50" s="3841">
        <f>Summary2!D51</f>
        <v>15180.270348957627</v>
      </c>
      <c r="K50" s="3841">
        <f t="shared" ref="K50" si="54">IF(J50="NO",IF(I50="NO","NA",-I50),IF(I50="NO",J50,J50-I50))</f>
        <v>-22.171782141233052</v>
      </c>
      <c r="L50" s="3841">
        <f t="shared" ref="L50" si="55">IF(K50="NA","NA",K50/I50*100)</f>
        <v>-0.14584355559477755</v>
      </c>
      <c r="M50" s="3846">
        <f>IF(K50="NA","NA",K50/Table8s2!$G$35*100)</f>
        <v>-4.1158090232963785E-3</v>
      </c>
      <c r="N50" s="3847">
        <f>IF(K50="NA","NA",K50/Table8s2!$G$34*100)</f>
        <v>-3.4378893041122562E-3</v>
      </c>
      <c r="O50" s="3841">
        <f>SUM(O51:O55)</f>
        <v>250.39136088625355</v>
      </c>
      <c r="P50" s="3841">
        <f>Summary2!E51</f>
        <v>250.39136088625352</v>
      </c>
      <c r="Q50" s="3841">
        <f t="shared" si="52"/>
        <v>-2.8421709430404007E-14</v>
      </c>
      <c r="R50" s="3841">
        <f t="shared" si="53"/>
        <v>-1.1350914556239531E-14</v>
      </c>
      <c r="S50" s="3846">
        <f>IF(Q50="NA","NA",Q50/Table8s2!$G$35*100)</f>
        <v>-5.2760002504994396E-18</v>
      </c>
      <c r="T50" s="3847">
        <f>IF(Q50="NA","NA",Q50/Table8s2!$G$34*100)</f>
        <v>-4.4069840770110658E-18</v>
      </c>
    </row>
    <row r="51" spans="2:21" ht="18" customHeight="1" x14ac:dyDescent="0.2">
      <c r="B51" s="606" t="s">
        <v>1989</v>
      </c>
      <c r="C51" s="3920"/>
      <c r="D51" s="3920"/>
      <c r="E51" s="3890"/>
      <c r="F51" s="3905"/>
      <c r="G51" s="3906"/>
      <c r="H51" s="3907"/>
      <c r="I51" s="3841">
        <v>11963.261295730459</v>
      </c>
      <c r="J51" s="3841">
        <f>Summary2!D52</f>
        <v>11941.08951358923</v>
      </c>
      <c r="K51" s="3841">
        <f t="shared" ref="K51:K52" si="56">IF(J51="NO",IF(I51="NO","NA",-I51),IF(I51="NO",J51,J51-I51))</f>
        <v>-22.171782141229414</v>
      </c>
      <c r="L51" s="3841">
        <f t="shared" ref="L51:L52" si="57">IF(K51="NA","NA",K51/I51*100)</f>
        <v>-0.18533225675796491</v>
      </c>
      <c r="M51" s="3846">
        <f>IF(K51="NA","NA",K51/Table8s2!$G$35*100)</f>
        <v>-4.1158090232957037E-3</v>
      </c>
      <c r="N51" s="3847">
        <f>IF(K51="NA","NA",K51/Table8s2!$G$34*100)</f>
        <v>-3.4378893041116924E-3</v>
      </c>
      <c r="O51" s="3888"/>
      <c r="P51" s="3889"/>
      <c r="Q51" s="3942"/>
      <c r="R51" s="3943"/>
      <c r="S51" s="3944"/>
      <c r="T51" s="3945"/>
    </row>
    <row r="52" spans="2:21" ht="18" customHeight="1" x14ac:dyDescent="0.2">
      <c r="B52" s="1395" t="s">
        <v>1990</v>
      </c>
      <c r="C52" s="3920"/>
      <c r="D52" s="3920"/>
      <c r="E52" s="3890"/>
      <c r="F52" s="3905"/>
      <c r="G52" s="3906"/>
      <c r="H52" s="3907"/>
      <c r="I52" s="3851">
        <v>70.636587000000006</v>
      </c>
      <c r="J52" s="3849">
        <f>Summary2!D53</f>
        <v>70.636587000000006</v>
      </c>
      <c r="K52" s="3841">
        <f t="shared" si="56"/>
        <v>0</v>
      </c>
      <c r="L52" s="3841">
        <f t="shared" si="57"/>
        <v>0</v>
      </c>
      <c r="M52" s="3846">
        <f>IF(K52="NA","NA",K52/Table8s2!$G$35*100)</f>
        <v>0</v>
      </c>
      <c r="N52" s="3847">
        <f>IF(K52="NA","NA",K52/Table8s2!$G$34*100)</f>
        <v>0</v>
      </c>
      <c r="O52" s="3841">
        <v>85.571179679999986</v>
      </c>
      <c r="P52" s="3841">
        <f>Summary2!E53</f>
        <v>85.571179679999986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29.308601056242154</v>
      </c>
      <c r="D53" s="3841">
        <f>Summary2!C54</f>
        <v>29.308601056242154</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3168.5442483683996</v>
      </c>
      <c r="J54" s="3849">
        <f>Summary2!D55</f>
        <v>3168.5442483683992</v>
      </c>
      <c r="K54" s="3841">
        <f t="shared" ref="K54" si="62">IF(J54="NO",IF(I54="NO","NA",-I54),IF(I54="NO",J54,J54-I54))</f>
        <v>-4.5474735088646412E-13</v>
      </c>
      <c r="L54" s="3841">
        <f t="shared" ref="L54" si="63">IF(K54="NA","NA",K54/I54*100)</f>
        <v>-1.4351933103684137E-14</v>
      </c>
      <c r="M54" s="3846">
        <f>IF(K54="NA","NA",K54/Table8s2!$G$35*100)</f>
        <v>-8.4416004007991034E-17</v>
      </c>
      <c r="N54" s="3847">
        <f>IF(K54="NA","NA",K54/Table8s2!$G$34*100)</f>
        <v>-7.0511745232177053E-17</v>
      </c>
      <c r="O54" s="3841">
        <v>164.82018120625355</v>
      </c>
      <c r="P54" s="3841">
        <f>Summary2!E55</f>
        <v>164.82018120625355</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11554.7</v>
      </c>
      <c r="D59" s="3849">
        <f>Summary2!C60</f>
        <v>11377.083790508199</v>
      </c>
      <c r="E59" s="3863">
        <f t="shared" ref="E59" si="66">IF(D59="NO",IF(C59="NO","NA",-C59),IF(C59="NO",D59,D59-C59))</f>
        <v>-177.61620949180178</v>
      </c>
      <c r="F59" s="3863">
        <f t="shared" ref="F59" si="67">IF(E59="NA","NA",E59/C59*100)</f>
        <v>-1.5371771616035188</v>
      </c>
      <c r="G59" s="3864">
        <f>IF(E59="NA","NA",E59/Table8s2!$G$35*100)</f>
        <v>-3.2971386470127123E-2</v>
      </c>
      <c r="H59" s="3865">
        <f>IF(E59="NA","NA",E59/Table8s2!$G$34*100)</f>
        <v>-2.7540630832432855E-2</v>
      </c>
      <c r="I59" s="3849">
        <v>8.928225740000002</v>
      </c>
      <c r="J59" s="3849">
        <f>Summary2!D60</f>
        <v>8.4869729631120023</v>
      </c>
      <c r="K59" s="3863">
        <f t="shared" ref="K59:K61" si="68">IF(J59="NO",IF(I59="NO","NA",-I59),IF(I59="NO",J59,J59-I59))</f>
        <v>-0.44125277688799969</v>
      </c>
      <c r="L59" s="3863">
        <f t="shared" ref="L59:L61" si="69">IF(K59="NA","NA",K59/I59*100)</f>
        <v>-4.94222244976525</v>
      </c>
      <c r="M59" s="3864">
        <f>IF(K59="NA","NA",K59/Table8s2!$G$35*100)</f>
        <v>-8.1910969046226258E-5</v>
      </c>
      <c r="N59" s="3865">
        <f>IF(K59="NA","NA",K59/Table8s2!$G$34*100)</f>
        <v>-6.8419317509527049E-5</v>
      </c>
      <c r="O59" s="3850">
        <v>34.692584586565644</v>
      </c>
      <c r="P59" s="3849">
        <f>Summary2!E60</f>
        <v>33.489503469015261</v>
      </c>
      <c r="Q59" s="3863">
        <f t="shared" ref="Q59" si="70">IF(P59="NO",IF(O59="NO","NA",-O59),IF(O59="NO",P59,P59-O59))</f>
        <v>-1.2030811175503828</v>
      </c>
      <c r="R59" s="3968">
        <f t="shared" ref="R59" si="71">IF(Q59="NA","NA",Q59/O59*100)</f>
        <v>-3.4678336361721054</v>
      </c>
      <c r="S59" s="3969">
        <f>IF(Q59="NA","NA",Q59/Table8s2!$G$35*100)</f>
        <v>-2.2333126348750859E-4</v>
      </c>
      <c r="T59" s="3970">
        <f>IF(Q59="NA","NA",Q59/Table8s2!$G$34*100)</f>
        <v>-1.8654610981018145E-4</v>
      </c>
    </row>
    <row r="60" spans="2:21" ht="18" customHeight="1" x14ac:dyDescent="0.2">
      <c r="B60" s="1409" t="s">
        <v>218</v>
      </c>
      <c r="C60" s="3849">
        <v>8393.76</v>
      </c>
      <c r="D60" s="3849">
        <f>Summary2!C61</f>
        <v>8381.4122918399989</v>
      </c>
      <c r="E60" s="3863">
        <f t="shared" ref="E60:E61" si="72">IF(D60="NO",IF(C60="NO","NA",-C60),IF(C60="NO",D60,D60-C60))</f>
        <v>-12.347708160001275</v>
      </c>
      <c r="F60" s="3863">
        <f t="shared" ref="F60:F61" si="73">IF(E60="NA","NA",E60/C60*100)</f>
        <v>-0.14710580431178966</v>
      </c>
      <c r="G60" s="3864">
        <f>IF(E60="NA","NA",E60/Table8s2!$G$35*100)</f>
        <v>-2.292139095460968E-3</v>
      </c>
      <c r="H60" s="3865">
        <f>IF(E60="NA","NA",E60/Table8s2!$G$34*100)</f>
        <v>-1.9145981835453488E-3</v>
      </c>
      <c r="I60" s="3849">
        <v>0.42182574</v>
      </c>
      <c r="J60" s="3849">
        <f>Summary2!D61</f>
        <v>0.42182574000000006</v>
      </c>
      <c r="K60" s="3863">
        <f t="shared" si="68"/>
        <v>5.5511151231257827E-17</v>
      </c>
      <c r="L60" s="3863">
        <f t="shared" si="69"/>
        <v>1.3159735399565192E-14</v>
      </c>
      <c r="M60" s="3864">
        <f>IF(K60="NA","NA",K60/Table8s2!$G$35*100)</f>
        <v>1.0304687989256718E-20</v>
      </c>
      <c r="N60" s="3865">
        <f>IF(K60="NA","NA",K60/Table8s2!$G$34*100)</f>
        <v>8.607390775412238E-21</v>
      </c>
      <c r="O60" s="3850">
        <v>11.690584586565651</v>
      </c>
      <c r="P60" s="3849">
        <f>Summary2!E61</f>
        <v>11.680686998355263</v>
      </c>
      <c r="Q60" s="3863">
        <f t="shared" ref="Q60:Q61" si="74">IF(P60="NO",IF(O60="NO","NA",-O60),IF(O60="NO",P60,P60-O60))</f>
        <v>-9.8975882103875534E-3</v>
      </c>
      <c r="R60" s="3968">
        <f t="shared" ref="R60:R61" si="75">IF(Q60="NA","NA",Q60/O60*100)</f>
        <v>-8.4662902330491355E-2</v>
      </c>
      <c r="S60" s="3969">
        <f>IF(Q60="NA","NA",Q60/Table8s2!$G$35*100)</f>
        <v>-1.8373165767954564E-6</v>
      </c>
      <c r="T60" s="3970">
        <f>IF(Q60="NA","NA",Q60/Table8s2!$G$34*100)</f>
        <v>-1.5346900140119534E-6</v>
      </c>
    </row>
    <row r="61" spans="2:21" ht="18" customHeight="1" x14ac:dyDescent="0.2">
      <c r="B61" s="1410" t="s">
        <v>1963</v>
      </c>
      <c r="C61" s="3849">
        <v>3160.94</v>
      </c>
      <c r="D61" s="3849">
        <f>Summary2!C62</f>
        <v>2995.6714986682</v>
      </c>
      <c r="E61" s="3863">
        <f t="shared" si="72"/>
        <v>-165.26850133180005</v>
      </c>
      <c r="F61" s="3863">
        <f t="shared" si="73"/>
        <v>-5.2284605633703913</v>
      </c>
      <c r="G61" s="3864">
        <f>IF(E61="NA","NA",E61/Table8s2!$G$35*100)</f>
        <v>-3.0679247374666072E-2</v>
      </c>
      <c r="H61" s="3865">
        <f>IF(E61="NA","NA",E61/Table8s2!$G$34*100)</f>
        <v>-2.5626032648887437E-2</v>
      </c>
      <c r="I61" s="3849">
        <v>8.5064000000000011</v>
      </c>
      <c r="J61" s="3849">
        <f>Summary2!D62</f>
        <v>8.0651472231120014</v>
      </c>
      <c r="K61" s="3863">
        <f t="shared" si="68"/>
        <v>-0.44125277688799969</v>
      </c>
      <c r="L61" s="3863">
        <f t="shared" si="69"/>
        <v>-5.1873034055299492</v>
      </c>
      <c r="M61" s="3864">
        <f>IF(K61="NA","NA",K61/Table8s2!$G$35*100)</f>
        <v>-8.1910969046226258E-5</v>
      </c>
      <c r="N61" s="3865">
        <f>IF(K61="NA","NA",K61/Table8s2!$G$34*100)</f>
        <v>-6.8419317509527049E-5</v>
      </c>
      <c r="O61" s="3850">
        <v>23.001999999999999</v>
      </c>
      <c r="P61" s="3849">
        <f>Summary2!E62</f>
        <v>21.808816470660002</v>
      </c>
      <c r="Q61" s="3863">
        <f t="shared" si="74"/>
        <v>-1.1931835293399971</v>
      </c>
      <c r="R61" s="3968">
        <f t="shared" si="75"/>
        <v>-5.1873034055299421</v>
      </c>
      <c r="S61" s="3969">
        <f>IF(Q61="NA","NA",Q61/Table8s2!$G$35*100)</f>
        <v>-2.2149394691071348E-4</v>
      </c>
      <c r="T61" s="3970">
        <f>IF(Q61="NA","NA",Q61/Table8s2!$G$34*100)</f>
        <v>-1.8501141979616978E-4</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19106.106086929158</v>
      </c>
      <c r="D63" s="3849">
        <f>Summary2!C64</f>
        <v>19104.041734213242</v>
      </c>
      <c r="E63" s="3863">
        <f t="shared" ref="E63:E65" si="76">IF(D63="NO",IF(C63="NO","NA",-C63),IF(C63="NO",D63,D63-C63))</f>
        <v>-2.0643527159154473</v>
      </c>
      <c r="F63" s="3863">
        <f t="shared" ref="F63:F65" si="77">IF(E63="NA","NA",E63/C63*100)</f>
        <v>-1.0804675251582055E-2</v>
      </c>
      <c r="G63" s="3864">
        <f>IF(E63="NA","NA",E63/Table8s2!$G$35*100)</f>
        <v>-3.8321148391721766E-4</v>
      </c>
      <c r="H63" s="3865">
        <f>IF(E63="NA","NA",E63/Table8s2!$G$34*100)</f>
        <v>-3.2009227209401546E-4</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259071.09221357116</v>
      </c>
      <c r="D65" s="3851">
        <f>Summary2!C66</f>
        <v>258915.41439428658</v>
      </c>
      <c r="E65" s="3979">
        <f t="shared" si="76"/>
        <v>-155.67781928458135</v>
      </c>
      <c r="F65" s="3986">
        <f t="shared" si="77"/>
        <v>-6.0090771978621525E-2</v>
      </c>
      <c r="G65" s="3987">
        <f>IF(E65="NA","NA",E65/Table8s2!$G$35*100)</f>
        <v>-2.889890263475902E-2</v>
      </c>
      <c r="H65" s="3988">
        <f>IF(E65="NA","NA",E65/Table8s2!$G$34*100)</f>
        <v>-2.4138930573860417E-2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M34" sqref="M3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4108.7147366727795</v>
      </c>
      <c r="D10" s="4021">
        <f>IF(SUM(D11:D30)=0,"NO",SUM(D11:D30))</f>
        <v>4108.7147366727786</v>
      </c>
      <c r="E10" s="4021">
        <f>IF(D10="NO",IF(C10="NO","NA",-C10),IF(C10="NO",D10,D10-C10))</f>
        <v>-9.0949470177292824E-13</v>
      </c>
      <c r="F10" s="4021">
        <f>IF(E10="NA","NA",E10/C10*100)</f>
        <v>-2.2135747065989628E-14</v>
      </c>
      <c r="G10" s="4022">
        <f>IF(E10="NA","NA",E10/$G$35*100)</f>
        <v>-1.6883200801598207E-16</v>
      </c>
      <c r="H10" s="4023">
        <f>IF(E10="NA","NA",E10/$G$34*100)</f>
        <v>-1.4102349046435411E-16</v>
      </c>
      <c r="I10" s="4024">
        <f>IF(SUM(I11:I30)=0,"NO",SUM(I11:I30))</f>
        <v>617.93925336459711</v>
      </c>
      <c r="J10" s="4024">
        <f>IF(SUM(J11:J30)=0,"NO",SUM(J11:J30))</f>
        <v>617.93925336459722</v>
      </c>
      <c r="K10" s="4021">
        <f>IF(J10="NO",IF(I10="NO","NA",-I10),IF(I10="NO",J10,J10-I10))</f>
        <v>1.1368683772161603E-13</v>
      </c>
      <c r="L10" s="4021">
        <f>IF(K10="NA","NA",K10/I10*100)</f>
        <v>1.8397736849149218E-14</v>
      </c>
      <c r="M10" s="4022">
        <f>IF(K10="NA","NA",K10/$G$35*100)</f>
        <v>2.1104001001997759E-17</v>
      </c>
      <c r="N10" s="4023">
        <f>IF(K10="NA","NA",K10/$G$34*100)</f>
        <v>1.7627936308044263E-17</v>
      </c>
      <c r="O10" s="4020" t="s">
        <v>199</v>
      </c>
      <c r="P10" s="4021" t="s">
        <v>199</v>
      </c>
      <c r="Q10" s="4021" t="s">
        <v>205</v>
      </c>
      <c r="R10" s="4025" t="s">
        <v>205</v>
      </c>
      <c r="S10" s="4026" t="s">
        <v>205</v>
      </c>
      <c r="T10" s="4023" t="s">
        <v>205</v>
      </c>
      <c r="U10" s="4020">
        <f>IF(SUM(U11:U30)=0,"NO",SUM(U11:U30))</f>
        <v>191.78131355969191</v>
      </c>
      <c r="V10" s="4021">
        <f>IF(SUM(V11:V30)=0,"NO",SUM(V11:V30))</f>
        <v>191.78131355969188</v>
      </c>
      <c r="W10" s="4021">
        <f>IF(V10="NO",IF(U10="NO","NA",-U10),IF(U10="NO",V10,V10-U10))</f>
        <v>-2.8421709430404007E-14</v>
      </c>
      <c r="X10" s="4025">
        <f>IF(W10="NA","NA",W10/U10*100)</f>
        <v>-1.481985335425172E-14</v>
      </c>
      <c r="Y10" s="4026">
        <f>IF(W10="NA","NA",W10/$G$35*100)</f>
        <v>-5.2760002504994396E-18</v>
      </c>
      <c r="Z10" s="4023">
        <f>IF(W10="NA","NA",W10/$G$34*100)</f>
        <v>-4.4069840770110658E-18</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617.93925336459711</v>
      </c>
      <c r="J13" s="3841">
        <f>'Table2(II)'!AH41</f>
        <v>617.93925336459722</v>
      </c>
      <c r="K13" s="3849">
        <f>IF(J13="NO",IF(I13="NO","NA",-I13),IF(I13="NO",J13,J13-I13))</f>
        <v>1.1368683772161603E-13</v>
      </c>
      <c r="L13" s="4018">
        <f>IF(K13="NA","NA",K13/I13*100)</f>
        <v>1.8397736849149218E-14</v>
      </c>
      <c r="M13" s="3873">
        <f>IF(K13="NA","NA",K13/$G$35*100)</f>
        <v>2.1104001001997759E-17</v>
      </c>
      <c r="N13" s="3874">
        <f>IF(K13="NA","NA",K13/$G$34*100)</f>
        <v>1.7627936308044263E-17</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3839.1442070342941</v>
      </c>
      <c r="D21" s="3849">
        <f>'Table2(I)'!F46</f>
        <v>3839.1442070342932</v>
      </c>
      <c r="E21" s="3849">
        <f>IF(D21="NO",IF(C21="NO","NA",-C21),IF(C21="NO",D21,D21-C21))</f>
        <v>-9.0949470177292824E-13</v>
      </c>
      <c r="F21" s="4018">
        <f>IF(E21="NA","NA",E21/C21*100)</f>
        <v>-2.3690037485606852E-14</v>
      </c>
      <c r="G21" s="3873">
        <f>IF(E21="NA","NA",E21/$G$35*100)</f>
        <v>-1.6883200801598207E-16</v>
      </c>
      <c r="H21" s="3874">
        <f>IF(E21="NA","NA",E21/$G$34*100)</f>
        <v>-1.4102349046435411E-16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34.872761723235513</v>
      </c>
      <c r="D22" s="3849">
        <f>'Table2(I)'!F47</f>
        <v>34.87276172323552</v>
      </c>
      <c r="E22" s="3849">
        <f t="shared" ref="E22:E25" si="0">IF(D22="NO",IF(C22="NO","NA",-C22),IF(C22="NO",D22,D22-C22))</f>
        <v>7.1054273576010019E-15</v>
      </c>
      <c r="F22" s="4018">
        <f t="shared" ref="F22:F25" si="1">IF(E22="NA","NA",E22/C22*100)</f>
        <v>2.0375292940641113E-14</v>
      </c>
      <c r="G22" s="3873">
        <f t="shared" ref="G22:G25" si="2">IF(E22="NA","NA",E22/$G$35*100)</f>
        <v>1.3190000626248599E-18</v>
      </c>
      <c r="H22" s="3874">
        <f t="shared" ref="H22:H25" si="3">IF(E22="NA","NA",E22/$G$34*100)</f>
        <v>1.1017460192527665E-18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22.88321626315863</v>
      </c>
      <c r="D23" s="3849">
        <f>'Table2(I)'!F48</f>
        <v>22.883216263158623</v>
      </c>
      <c r="E23" s="3849">
        <f t="shared" si="0"/>
        <v>-7.1054273576010019E-15</v>
      </c>
      <c r="F23" s="4018">
        <f t="shared" si="1"/>
        <v>-3.1050824656324871E-14</v>
      </c>
      <c r="G23" s="3873">
        <f t="shared" si="2"/>
        <v>-1.3190000626248599E-18</v>
      </c>
      <c r="H23" s="3874">
        <f t="shared" si="3"/>
        <v>-1.1017460192527665E-18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122.67046162805218</v>
      </c>
      <c r="D24" s="3849">
        <f>'Table2(I)'!F49</f>
        <v>122.67046162805215</v>
      </c>
      <c r="E24" s="3849">
        <f t="shared" si="0"/>
        <v>-2.8421709430404007E-14</v>
      </c>
      <c r="F24" s="4018">
        <f t="shared" si="1"/>
        <v>-2.3169155029823866E-14</v>
      </c>
      <c r="G24" s="3873">
        <f t="shared" si="2"/>
        <v>-5.2760002504994396E-18</v>
      </c>
      <c r="H24" s="3874">
        <f t="shared" si="3"/>
        <v>-4.4069840770110658E-18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89.144090024038661</v>
      </c>
      <c r="D25" s="3849">
        <f>'Table2(I)'!F50</f>
        <v>89.14409002403869</v>
      </c>
      <c r="E25" s="3849">
        <f t="shared" si="0"/>
        <v>2.8421709430404007E-14</v>
      </c>
      <c r="F25" s="4018">
        <f t="shared" si="1"/>
        <v>3.1882886933659641E-14</v>
      </c>
      <c r="G25" s="3873">
        <f t="shared" si="2"/>
        <v>5.2760002504994396E-18</v>
      </c>
      <c r="H25" s="3874">
        <f t="shared" si="3"/>
        <v>4.4069840770110658E-18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175.08696002647525</v>
      </c>
      <c r="V27" s="3849">
        <f>IFERROR('Table2(I)'!I53*23500,'Table2(I)'!I53)</f>
        <v>175.08696002647531</v>
      </c>
      <c r="W27" s="3849">
        <f>IF(V27="NO",IF(U27="NO","NA",-U27),IF(U27="NO",V27,V27-U27))</f>
        <v>5.6843418860808015E-14</v>
      </c>
      <c r="X27" s="4018">
        <f>IF(W27="NA","NA",W27/U27*100)</f>
        <v>3.246582089963331E-14</v>
      </c>
      <c r="Y27" s="3873">
        <f>IF(W27="NA","NA",W27/$G$35*100)</f>
        <v>1.0552000500998879E-17</v>
      </c>
      <c r="Z27" s="3874">
        <f>IF(W27="NA","NA",W27/$G$34*100)</f>
        <v>8.8139681540221317E-18</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16.694353533216646</v>
      </c>
      <c r="V28" s="3849">
        <f>IFERROR('Table2(I)'!I54*23500,'Table2(I)'!I54)</f>
        <v>16.694353533216582</v>
      </c>
      <c r="W28" s="3849">
        <f>IF(V28="NO",IF(U28="NO","NA",-U28),IF(U28="NO",V28,V28-U28))</f>
        <v>-6.3948846218409017E-14</v>
      </c>
      <c r="X28" s="4018">
        <f>IF(W28="NA","NA",W28/U28*100)</f>
        <v>-3.8305673886185783E-13</v>
      </c>
      <c r="Y28" s="3873">
        <f>IF(W28="NA","NA",W28/$G$35*100)</f>
        <v>-1.187100056362374E-17</v>
      </c>
      <c r="Z28" s="3874">
        <f>IF(W28="NA","NA",W28/$G$34*100)</f>
        <v>-9.9157141732748983E-18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626790.48062156234</v>
      </c>
      <c r="F34" s="4548"/>
      <c r="G34" s="4547">
        <f>SUM(Table8s1!D10,Table8s1!J10,Table8s1!P10,D10,J10,P10,V10,AB10)</f>
        <v>644924.25962383708</v>
      </c>
      <c r="H34" s="4548"/>
      <c r="I34" s="3841">
        <f>G34-E34</f>
        <v>18133.779002274736</v>
      </c>
      <c r="J34" s="4047">
        <f>IF(I34="NA","NA",I34/E34*100)</f>
        <v>2.8931165298318207</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540017.78256011987</v>
      </c>
      <c r="F35" s="4550"/>
      <c r="G35" s="4551">
        <f>G34-SUM(Table8s1!D41,Table8s1!J41,Table8s1!P41)</f>
        <v>538698.03034436051</v>
      </c>
      <c r="H35" s="4552"/>
      <c r="I35" s="3857">
        <f>G35-E35</f>
        <v>-1319.752215759363</v>
      </c>
      <c r="J35" s="4048">
        <f>IF(I35="NA","NA",I35/E35*100)</f>
        <v>-0.24439051053146305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8" t="s">
        <v>2212</v>
      </c>
      <c r="F9" s="4559"/>
      <c r="G9" s="19"/>
    </row>
    <row r="10" spans="2:7" ht="14.25" thickTop="1" x14ac:dyDescent="0.2">
      <c r="B10" s="980" t="s">
        <v>2213</v>
      </c>
      <c r="C10" s="4123" t="s">
        <v>2214</v>
      </c>
      <c r="D10" s="4123" t="s">
        <v>2215</v>
      </c>
      <c r="E10" s="4560" t="s">
        <v>2216</v>
      </c>
      <c r="F10" s="4561"/>
    </row>
    <row r="11" spans="2:7" x14ac:dyDescent="0.2">
      <c r="B11" s="4122"/>
      <c r="C11" s="4124" t="s">
        <v>2214</v>
      </c>
      <c r="D11" s="4124" t="s">
        <v>2217</v>
      </c>
      <c r="E11" s="4562" t="s">
        <v>2218</v>
      </c>
      <c r="F11" s="4563"/>
    </row>
    <row r="12" spans="2:7" x14ac:dyDescent="0.2">
      <c r="B12" s="4122"/>
      <c r="C12" s="4124" t="s">
        <v>2214</v>
      </c>
      <c r="D12" s="4124" t="s">
        <v>2219</v>
      </c>
      <c r="E12" s="4556" t="s">
        <v>2218</v>
      </c>
      <c r="F12" s="4557"/>
    </row>
    <row r="13" spans="2:7" ht="55.5" customHeight="1" x14ac:dyDescent="0.2">
      <c r="B13" s="4122"/>
      <c r="C13" s="4124" t="s">
        <v>111</v>
      </c>
      <c r="D13" s="4124" t="s">
        <v>2220</v>
      </c>
      <c r="E13" s="4553" t="s">
        <v>2221</v>
      </c>
      <c r="F13" s="4555"/>
    </row>
    <row r="14" spans="2:7" ht="12.75" customHeight="1" x14ac:dyDescent="0.2">
      <c r="B14" s="4122"/>
      <c r="C14" s="4124" t="s">
        <v>111</v>
      </c>
      <c r="D14" s="4124" t="s">
        <v>814</v>
      </c>
      <c r="E14" s="4564" t="s">
        <v>2222</v>
      </c>
      <c r="F14" s="4565"/>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6" t="s">
        <v>2229</v>
      </c>
      <c r="F17" s="4557"/>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6" t="s">
        <v>2459</v>
      </c>
      <c r="F20" s="4557"/>
    </row>
    <row r="21" spans="2:7" ht="13.5" x14ac:dyDescent="0.2">
      <c r="B21" s="874" t="s">
        <v>2236</v>
      </c>
      <c r="C21" s="4124" t="s">
        <v>2214</v>
      </c>
      <c r="D21" s="4123" t="s">
        <v>2237</v>
      </c>
      <c r="E21" s="4556" t="s">
        <v>2218</v>
      </c>
      <c r="F21" s="4557"/>
    </row>
    <row r="22" spans="2:7" x14ac:dyDescent="0.2">
      <c r="B22" s="4122"/>
      <c r="C22" s="4123" t="s">
        <v>2214</v>
      </c>
      <c r="D22" s="4123" t="s">
        <v>2215</v>
      </c>
      <c r="E22" s="4556" t="s">
        <v>2238</v>
      </c>
      <c r="F22" s="4557"/>
    </row>
    <row r="23" spans="2:7" x14ac:dyDescent="0.2">
      <c r="B23" s="4122"/>
      <c r="C23" s="4123" t="s">
        <v>2214</v>
      </c>
      <c r="D23" s="4123" t="s">
        <v>2239</v>
      </c>
      <c r="E23" s="4556" t="s">
        <v>2218</v>
      </c>
      <c r="F23" s="4557"/>
      <c r="G23" s="4194"/>
    </row>
    <row r="24" spans="2:7" x14ac:dyDescent="0.2">
      <c r="B24" s="4122"/>
      <c r="C24" s="4123" t="s">
        <v>2214</v>
      </c>
      <c r="D24" s="4123" t="s">
        <v>2240</v>
      </c>
      <c r="E24" s="4556" t="s">
        <v>2218</v>
      </c>
      <c r="F24" s="4557"/>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6" t="s">
        <v>2244</v>
      </c>
      <c r="F27" s="4557"/>
    </row>
    <row r="28" spans="2:7" x14ac:dyDescent="0.2">
      <c r="B28" s="4122"/>
      <c r="C28" s="4124" t="s">
        <v>2225</v>
      </c>
      <c r="D28" s="4123" t="s">
        <v>2132</v>
      </c>
      <c r="E28" s="4556" t="s">
        <v>2245</v>
      </c>
      <c r="F28" s="4557"/>
    </row>
    <row r="29" spans="2:7" x14ac:dyDescent="0.2">
      <c r="B29" s="4122"/>
      <c r="C29" s="4124" t="s">
        <v>2225</v>
      </c>
      <c r="D29" s="4123" t="s">
        <v>2246</v>
      </c>
      <c r="E29" s="4556" t="s">
        <v>2247</v>
      </c>
      <c r="F29" s="4557"/>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6" t="s">
        <v>2250</v>
      </c>
      <c r="F32" s="4557"/>
    </row>
    <row r="33" spans="2:7" x14ac:dyDescent="0.2">
      <c r="B33" s="4122"/>
      <c r="C33" s="4123" t="s">
        <v>2234</v>
      </c>
      <c r="D33" s="4123" t="s">
        <v>2251</v>
      </c>
      <c r="E33" s="4556" t="s">
        <v>2252</v>
      </c>
      <c r="F33" s="4557"/>
    </row>
    <row r="34" spans="2:7" x14ac:dyDescent="0.2">
      <c r="B34" s="4122"/>
      <c r="C34" s="4123" t="s">
        <v>2234</v>
      </c>
      <c r="D34" s="4123" t="s">
        <v>2253</v>
      </c>
      <c r="E34" s="4556" t="s">
        <v>2259</v>
      </c>
      <c r="F34" s="4557"/>
    </row>
    <row r="35" spans="2:7" x14ac:dyDescent="0.2">
      <c r="B35" s="4122"/>
      <c r="C35" s="4123" t="s">
        <v>2234</v>
      </c>
      <c r="D35" s="4123" t="s">
        <v>2235</v>
      </c>
      <c r="E35" s="4556" t="s">
        <v>2260</v>
      </c>
      <c r="F35" s="4557"/>
    </row>
    <row r="36" spans="2:7" ht="13.5" x14ac:dyDescent="0.2">
      <c r="B36" s="874" t="s">
        <v>2254</v>
      </c>
      <c r="C36" s="4124" t="s">
        <v>2214</v>
      </c>
      <c r="D36" s="4123" t="s">
        <v>2237</v>
      </c>
      <c r="E36" s="4556" t="s">
        <v>2218</v>
      </c>
      <c r="F36" s="4557"/>
    </row>
    <row r="37" spans="2:7" x14ac:dyDescent="0.2">
      <c r="B37" s="4122"/>
      <c r="C37" s="4123" t="s">
        <v>2214</v>
      </c>
      <c r="D37" s="4123" t="s">
        <v>2215</v>
      </c>
      <c r="E37" s="4556" t="s">
        <v>2255</v>
      </c>
      <c r="F37" s="4557"/>
    </row>
    <row r="38" spans="2:7" x14ac:dyDescent="0.2">
      <c r="B38" s="4122"/>
      <c r="C38" s="4123" t="s">
        <v>2214</v>
      </c>
      <c r="D38" s="4123" t="s">
        <v>2239</v>
      </c>
      <c r="E38" s="4556" t="s">
        <v>2218</v>
      </c>
      <c r="F38" s="4557"/>
      <c r="G38" s="4194"/>
    </row>
    <row r="39" spans="2:7" ht="15" customHeight="1" x14ac:dyDescent="0.2">
      <c r="B39" s="4122"/>
      <c r="C39" s="4123" t="s">
        <v>2214</v>
      </c>
      <c r="D39" s="4123" t="s">
        <v>2240</v>
      </c>
      <c r="E39" s="4556" t="s">
        <v>2218</v>
      </c>
      <c r="F39" s="4557"/>
    </row>
    <row r="40" spans="2:7" ht="42.75" customHeight="1" x14ac:dyDescent="0.2">
      <c r="B40" s="4122"/>
      <c r="C40" s="4124" t="s">
        <v>2225</v>
      </c>
      <c r="D40" s="4124" t="s">
        <v>2226</v>
      </c>
      <c r="E40" s="4553" t="s">
        <v>2227</v>
      </c>
      <c r="F40" s="4554"/>
    </row>
    <row r="41" spans="2:7" x14ac:dyDescent="0.2">
      <c r="B41" s="4122"/>
      <c r="C41" s="4123" t="s">
        <v>2225</v>
      </c>
      <c r="D41" s="4123" t="s">
        <v>2256</v>
      </c>
      <c r="E41" s="4556" t="s">
        <v>2257</v>
      </c>
      <c r="F41" s="4557"/>
    </row>
    <row r="42" spans="2:7" x14ac:dyDescent="0.2">
      <c r="B42" s="4122"/>
      <c r="C42" s="4124" t="s">
        <v>2225</v>
      </c>
      <c r="D42" s="4123" t="s">
        <v>2246</v>
      </c>
      <c r="E42" s="4556" t="s">
        <v>2247</v>
      </c>
      <c r="F42" s="4557"/>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6" t="s">
        <v>2250</v>
      </c>
      <c r="F45" s="4557"/>
    </row>
    <row r="46" spans="2:7" x14ac:dyDescent="0.2">
      <c r="B46" s="4122"/>
      <c r="C46" s="4123" t="s">
        <v>2234</v>
      </c>
      <c r="D46" s="4123" t="s">
        <v>2251</v>
      </c>
      <c r="E46" s="4556" t="s">
        <v>2252</v>
      </c>
      <c r="F46" s="4557"/>
    </row>
    <row r="47" spans="2:7" x14ac:dyDescent="0.2">
      <c r="B47" s="4122"/>
      <c r="C47" s="4123" t="s">
        <v>2234</v>
      </c>
      <c r="D47" s="4123" t="s">
        <v>2253</v>
      </c>
      <c r="E47" s="4556" t="s">
        <v>2259</v>
      </c>
      <c r="F47" s="4557"/>
    </row>
    <row r="48" spans="2:7" x14ac:dyDescent="0.2">
      <c r="B48" s="875"/>
      <c r="C48" s="4123" t="s">
        <v>2234</v>
      </c>
      <c r="D48" s="4123" t="s">
        <v>2235</v>
      </c>
      <c r="E48" s="4556" t="s">
        <v>2260</v>
      </c>
      <c r="F48" s="4557"/>
    </row>
    <row r="49" spans="2:6" ht="18" customHeight="1" x14ac:dyDescent="0.2">
      <c r="B49" s="874" t="s">
        <v>2004</v>
      </c>
      <c r="C49" s="4123"/>
      <c r="D49" s="4123"/>
      <c r="E49" s="4556"/>
      <c r="F49" s="4557"/>
    </row>
    <row r="50" spans="2:6" ht="18" customHeight="1" x14ac:dyDescent="0.2">
      <c r="B50" s="875"/>
      <c r="C50" s="4123"/>
      <c r="D50" s="4123"/>
      <c r="E50" s="4556"/>
      <c r="F50" s="4557"/>
    </row>
    <row r="51" spans="2:6" ht="18" customHeight="1" x14ac:dyDescent="0.2">
      <c r="B51" s="874" t="s">
        <v>1971</v>
      </c>
      <c r="C51" s="4123"/>
      <c r="D51" s="4123"/>
      <c r="E51" s="4556"/>
      <c r="F51" s="4557"/>
    </row>
    <row r="52" spans="2:6" ht="18" customHeight="1" x14ac:dyDescent="0.2">
      <c r="B52" s="875"/>
      <c r="C52" s="4123"/>
      <c r="D52" s="4123"/>
      <c r="E52" s="4556"/>
      <c r="F52" s="4557"/>
    </row>
    <row r="53" spans="2:6" ht="18" customHeight="1" x14ac:dyDescent="0.2">
      <c r="B53" s="2578" t="s">
        <v>2261</v>
      </c>
      <c r="C53" s="4123"/>
      <c r="D53" s="4123"/>
      <c r="E53" s="4556"/>
      <c r="F53" s="4557"/>
    </row>
    <row r="54" spans="2:6" ht="18" customHeight="1" x14ac:dyDescent="0.2">
      <c r="B54" s="2579" t="s">
        <v>2262</v>
      </c>
      <c r="C54" s="4123"/>
      <c r="D54" s="4123"/>
      <c r="E54" s="4556"/>
      <c r="F54" s="4557"/>
    </row>
    <row r="55" spans="2:6" ht="18" customHeight="1" x14ac:dyDescent="0.2">
      <c r="B55" s="2578" t="s">
        <v>905</v>
      </c>
      <c r="C55" s="4123"/>
      <c r="D55" s="4123"/>
      <c r="E55" s="4556"/>
      <c r="F55" s="4557"/>
    </row>
    <row r="56" spans="2:6" ht="18" customHeight="1" x14ac:dyDescent="0.2">
      <c r="B56" s="2579"/>
      <c r="C56" s="4123"/>
      <c r="D56" s="4123"/>
      <c r="E56" s="4556"/>
      <c r="F56" s="4557"/>
    </row>
    <row r="57" spans="2:6" ht="18" customHeight="1" x14ac:dyDescent="0.2">
      <c r="B57" s="2580" t="s">
        <v>2263</v>
      </c>
      <c r="C57" s="4123"/>
      <c r="D57" s="4123"/>
      <c r="E57" s="4556"/>
      <c r="F57" s="4557"/>
    </row>
    <row r="58" spans="2:6" ht="18" customHeight="1" thickBot="1" x14ac:dyDescent="0.25">
      <c r="B58" s="2581"/>
      <c r="C58" s="4125"/>
      <c r="D58" s="4125"/>
      <c r="E58" s="4566"/>
      <c r="F58" s="4567"/>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U10" sqref="U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1198565.3252978369</v>
      </c>
      <c r="D10" s="1938" t="s">
        <v>97</v>
      </c>
      <c r="E10" s="615"/>
      <c r="F10" s="615"/>
      <c r="G10" s="615"/>
      <c r="H10" s="1851">
        <f>IF(SUM(H11:H14)=0,"NO",SUM(H11:H14))</f>
        <v>80852.979449696926</v>
      </c>
      <c r="I10" s="1851">
        <f>IF(SUM(I11:I15)=0,"NO",SUM(I11:I15))</f>
        <v>21.25029187205207</v>
      </c>
      <c r="J10" s="2217">
        <f>IF(SUM(J11:J15)=0,"NO",SUM(J11:J15))</f>
        <v>6.861121064127274</v>
      </c>
    </row>
    <row r="11" spans="2:11" ht="18" customHeight="1" x14ac:dyDescent="0.2">
      <c r="B11" s="282" t="s">
        <v>243</v>
      </c>
      <c r="C11" s="1938">
        <f>IF(SUM(C17:C18,C21:C24,C82,C89:C92,C100)=0,"NO",SUM(C17:C18,C21:C24,C82,C89:C92,C100))</f>
        <v>1167697.9219815012</v>
      </c>
      <c r="D11" s="1934" t="s">
        <v>97</v>
      </c>
      <c r="E11" s="1938">
        <f>IFERROR(H11*1000/$C11,"NA")</f>
        <v>67.957731259362333</v>
      </c>
      <c r="F11" s="1938">
        <f t="shared" ref="F11:G15" si="0">IFERROR(I11*1000000/$C11,"NA")</f>
        <v>17.746371624190321</v>
      </c>
      <c r="G11" s="1938">
        <f t="shared" si="0"/>
        <v>5.867146831162489</v>
      </c>
      <c r="H11" s="1938">
        <f>IF(SUM(H17:H18,H21:H24,H82,H89:H92,H100)=0,"NO",SUM(H17:H18,H21:H24,H82,H89:H92,H100))</f>
        <v>79354.101574134693</v>
      </c>
      <c r="I11" s="1938">
        <f>IF(SUM(I17:I18,I21:I24,I82,I89:I92,I100)=0,"NO",SUM(I17:I18,I21:I24,I82,I89:I92,I100))</f>
        <v>20.722401268278514</v>
      </c>
      <c r="J11" s="3064">
        <f>IF(SUM(J17:J18,J21:J24,J82,J89:J92,J100)=0,"NO",SUM(J17:J18,J21:J24,J82,J89:J92,J100))</f>
        <v>6.8510551627087883</v>
      </c>
    </row>
    <row r="12" spans="2:11" ht="18" customHeight="1" x14ac:dyDescent="0.2">
      <c r="B12" s="282" t="s">
        <v>245</v>
      </c>
      <c r="C12" s="1938">
        <f>IF(SUM(C83,C101,C97)=0,"NO",SUM(C83,C101,C97))</f>
        <v>6900.0000000000009</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17048.674859185805</v>
      </c>
      <c r="D13" s="1934" t="s">
        <v>97</v>
      </c>
      <c r="E13" s="1938">
        <f t="shared" si="1"/>
        <v>51.411918339265</v>
      </c>
      <c r="F13" s="1938">
        <f t="shared" si="0"/>
        <v>18.012579060248509</v>
      </c>
      <c r="G13" s="1938">
        <f t="shared" si="0"/>
        <v>0.18569780024750848</v>
      </c>
      <c r="H13" s="1938">
        <f>IF(SUM(H26,H84,H94,H102)=0,"NO",SUM(H26,H84,H94,H102))</f>
        <v>876.50507965314091</v>
      </c>
      <c r="I13" s="1938">
        <f>IF(SUM(I26,I84,I94,I102)=0,"NO",SUM(I26,I84,I94,I102))</f>
        <v>0.3070906037735554</v>
      </c>
      <c r="J13" s="3064">
        <f>IF(SUM(J26,J84,J94,J102)=0,"NO",SUM(J26,J84,J94,J102))</f>
        <v>3.1659014184858055E-3</v>
      </c>
    </row>
    <row r="14" spans="2:11" ht="18" customHeight="1" x14ac:dyDescent="0.2">
      <c r="B14" s="282" t="s">
        <v>290</v>
      </c>
      <c r="C14" s="1938">
        <f>IF(SUM(C28,C86,C96,C103)=0,"NO",SUM(C28,C86,C96,C103))</f>
        <v>6918.7284571499358</v>
      </c>
      <c r="D14" s="1934" t="s">
        <v>97</v>
      </c>
      <c r="E14" s="1938">
        <f t="shared" si="1"/>
        <v>89.954794405310025</v>
      </c>
      <c r="F14" s="1938">
        <f t="shared" si="0"/>
        <v>31.913378501192867</v>
      </c>
      <c r="G14" s="1938">
        <f t="shared" si="0"/>
        <v>0.99729307816227708</v>
      </c>
      <c r="H14" s="1938">
        <f>IF(SUM(H28,H86,H96,H103)=0,"NO",SUM(H28,H86,H96,H103))</f>
        <v>622.37279590909031</v>
      </c>
      <c r="I14" s="1938">
        <f>IF(SUM(I28,I86,I96,I103)=0,"NO",SUM(I28,I86,I96,I103))</f>
        <v>0.22080000000000005</v>
      </c>
      <c r="J14" s="3064">
        <f>IF(SUM(J28,J86,J96,J103)=0,"NO",SUM(J28,J86,J96,J103))</f>
        <v>6.9000000000000016E-3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81025.718998627475</v>
      </c>
      <c r="D16" s="1934" t="s">
        <v>97</v>
      </c>
      <c r="E16" s="615"/>
      <c r="F16" s="615"/>
      <c r="G16" s="615"/>
      <c r="H16" s="1938">
        <f>IF(SUM(H17:H18)=0,"NO",SUM(H17:H18))</f>
        <v>5631.9195275080992</v>
      </c>
      <c r="I16" s="1938">
        <f>IF(SUM(I17:I19)=0,"NO",SUM(I17:I19))</f>
        <v>3.2313145981967759E-2</v>
      </c>
      <c r="J16" s="3064">
        <f>IF(SUM(J17:J19)=0,"NO",SUM(J17:J19))</f>
        <v>4.7513134191234638E-2</v>
      </c>
    </row>
    <row r="17" spans="2:10" ht="18" customHeight="1" x14ac:dyDescent="0.2">
      <c r="B17" s="282" t="s">
        <v>292</v>
      </c>
      <c r="C17" s="699">
        <v>2873.2749216819921</v>
      </c>
      <c r="D17" s="1934" t="s">
        <v>97</v>
      </c>
      <c r="E17" s="1938">
        <f t="shared" ref="E17:E19" si="2">IFERROR(H17*1000/$C17,"NA")</f>
        <v>66.999999999999986</v>
      </c>
      <c r="F17" s="1938">
        <f t="shared" ref="F17:G19" si="3">IFERROR(I17*1000000/$C17,"NA")</f>
        <v>0.5</v>
      </c>
      <c r="G17" s="1938">
        <f t="shared" si="3"/>
        <v>1.9999999999999998</v>
      </c>
      <c r="H17" s="699">
        <v>192.50941975269345</v>
      </c>
      <c r="I17" s="699">
        <v>1.4366374608409959E-3</v>
      </c>
      <c r="J17" s="2921">
        <v>5.7465498433639829E-3</v>
      </c>
    </row>
    <row r="18" spans="2:10" ht="18" customHeight="1" x14ac:dyDescent="0.2">
      <c r="B18" s="282" t="s">
        <v>293</v>
      </c>
      <c r="C18" s="699">
        <v>78152.444076945481</v>
      </c>
      <c r="D18" s="1934" t="s">
        <v>97</v>
      </c>
      <c r="E18" s="1938">
        <f t="shared" si="2"/>
        <v>69.600000000000009</v>
      </c>
      <c r="F18" s="1938">
        <f t="shared" si="3"/>
        <v>0.39508052353074335</v>
      </c>
      <c r="G18" s="1938">
        <f t="shared" si="3"/>
        <v>0.53442454476214596</v>
      </c>
      <c r="H18" s="699">
        <v>5439.410107755406</v>
      </c>
      <c r="I18" s="699">
        <v>3.087650852112676E-2</v>
      </c>
      <c r="J18" s="2921">
        <v>4.1766584347870658E-2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1040679.4525233831</v>
      </c>
      <c r="D20" s="1934" t="s">
        <v>97</v>
      </c>
      <c r="E20" s="615"/>
      <c r="F20" s="615"/>
      <c r="G20" s="615"/>
      <c r="H20" s="1938">
        <f>IF(SUM(H21:H24,H26,H28)=0,"NO",SUM(H21:H24,H26,H28))</f>
        <v>70483.12326889293</v>
      </c>
      <c r="I20" s="1938">
        <f>IF(SUM(I21:I24,I26:I28)=0,"NO",SUM(I21:I24,I26:I28))</f>
        <v>16.813597688741517</v>
      </c>
      <c r="J20" s="3064">
        <f>IF(SUM(J21:J24,J26:J28)=0,"NO",SUM(J21:J24,J26:J28))</f>
        <v>5.9633929570165165</v>
      </c>
    </row>
    <row r="21" spans="2:10" ht="18" customHeight="1" x14ac:dyDescent="0.2">
      <c r="B21" s="282" t="s">
        <v>281</v>
      </c>
      <c r="C21" s="1938">
        <f>IF(SUM(C31,C41,C51,C61,C72)=0,"NO",SUM(C31,C41,C51,C61,C72))</f>
        <v>627299.39854704973</v>
      </c>
      <c r="D21" s="1934" t="s">
        <v>97</v>
      </c>
      <c r="E21" s="1938">
        <f t="shared" ref="E21:E23" si="4">IFERROR(H21*1000/$C21,"NA")</f>
        <v>67.400000000000006</v>
      </c>
      <c r="F21" s="1938">
        <f t="shared" ref="F21:G23" si="5">IFERROR(I21*1000000/$C21,"NA")</f>
        <v>17.735831267874914</v>
      </c>
      <c r="G21" s="1938">
        <f t="shared" si="5"/>
        <v>8.4421012457297469</v>
      </c>
      <c r="H21" s="1938">
        <f t="shared" ref="H21:J23" si="6">IF(SUM(H31,H41,H51,H61,H72)=0,"NO",SUM(H31,H41,H51,H61,H72))</f>
        <v>42279.979462071155</v>
      </c>
      <c r="I21" s="1938">
        <f t="shared" si="6"/>
        <v>11.125676287069892</v>
      </c>
      <c r="J21" s="3064">
        <f t="shared" si="6"/>
        <v>5.2957250339195694</v>
      </c>
    </row>
    <row r="22" spans="2:10" ht="18" customHeight="1" x14ac:dyDescent="0.2">
      <c r="B22" s="282" t="s">
        <v>282</v>
      </c>
      <c r="C22" s="1938">
        <f>IF(SUM(C32,C42,C52,C62,C73)=0,"NO",SUM(C32,C42,C52,C62,C73))</f>
        <v>343430.50623770675</v>
      </c>
      <c r="D22" s="1934" t="s">
        <v>97</v>
      </c>
      <c r="E22" s="1938">
        <f t="shared" si="4"/>
        <v>69.90000000000002</v>
      </c>
      <c r="F22" s="1938">
        <f t="shared" si="5"/>
        <v>9.3686186717579947</v>
      </c>
      <c r="G22" s="1938">
        <f t="shared" si="5"/>
        <v>1.5623948228438032</v>
      </c>
      <c r="H22" s="1938">
        <f t="shared" si="6"/>
        <v>24005.79238601571</v>
      </c>
      <c r="I22" s="1938">
        <f t="shared" si="6"/>
        <v>3.2174694531898802</v>
      </c>
      <c r="J22" s="3064">
        <f t="shared" si="6"/>
        <v>0.53657404495241945</v>
      </c>
    </row>
    <row r="23" spans="2:10" ht="18" customHeight="1" x14ac:dyDescent="0.2">
      <c r="B23" s="282" t="s">
        <v>283</v>
      </c>
      <c r="C23" s="1938">
        <f>IF(SUM(C33,C43,C53,C63,C74)=0,"NO",SUM(C33,C43,C53,C63,C74))</f>
        <v>68390</v>
      </c>
      <c r="D23" s="1934" t="s">
        <v>97</v>
      </c>
      <c r="E23" s="1938">
        <f t="shared" si="4"/>
        <v>60.20000000000001</v>
      </c>
      <c r="F23" s="1938">
        <f t="shared" si="5"/>
        <v>33.64413669218893</v>
      </c>
      <c r="G23" s="1938">
        <f t="shared" si="5"/>
        <v>1.8941165174342558</v>
      </c>
      <c r="H23" s="1938">
        <f t="shared" si="6"/>
        <v>4117.0780000000004</v>
      </c>
      <c r="I23" s="1938">
        <f t="shared" si="6"/>
        <v>2.3009225083788007</v>
      </c>
      <c r="J23" s="3064">
        <f t="shared" si="6"/>
        <v>0.12953862862732876</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1555.2495171984642</v>
      </c>
      <c r="D26" s="1934" t="s">
        <v>97</v>
      </c>
      <c r="E26" s="1938">
        <f t="shared" si="7"/>
        <v>51.411918339264986</v>
      </c>
      <c r="F26" s="1938">
        <f t="shared" si="8"/>
        <v>109.00465695583486</v>
      </c>
      <c r="G26" s="1938">
        <f t="shared" si="8"/>
        <v>0.99999999999999967</v>
      </c>
      <c r="H26" s="1938">
        <f t="shared" ref="H26:J29" si="10">IF(SUM(H36,H46,H56,H66,H77)=0,"NO",SUM(H36,H46,H56,H66,H77))</f>
        <v>79.958361175388745</v>
      </c>
      <c r="I26" s="1938">
        <f t="shared" si="10"/>
        <v>0.1695294401029464</v>
      </c>
      <c r="J26" s="3064">
        <f t="shared" si="10"/>
        <v>1.5552495171984638E-3</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4.2982214281290787</v>
      </c>
      <c r="D28" s="1934" t="s">
        <v>97</v>
      </c>
      <c r="E28" s="615"/>
      <c r="F28" s="615"/>
      <c r="G28" s="615"/>
      <c r="H28" s="1938">
        <f>H29</f>
        <v>0.31505963068186144</v>
      </c>
      <c r="I28" s="1938" t="str">
        <f>I29</f>
        <v>NE</v>
      </c>
      <c r="J28" s="3064" t="str">
        <f>J29</f>
        <v>NE</v>
      </c>
    </row>
    <row r="29" spans="2:10" ht="18" customHeight="1" x14ac:dyDescent="0.2">
      <c r="B29" s="3083" t="s">
        <v>297</v>
      </c>
      <c r="C29" s="1938">
        <f t="shared" si="9"/>
        <v>4.2982214281290787</v>
      </c>
      <c r="D29" s="1934" t="s">
        <v>97</v>
      </c>
      <c r="E29" s="3081">
        <f t="shared" ref="E29" si="11">IFERROR(H29*1000/$C29,"NA")</f>
        <v>73.3</v>
      </c>
      <c r="F29" s="3081" t="str">
        <f>IFERROR(I29*1000000/$C29,"NA")</f>
        <v>NA</v>
      </c>
      <c r="G29" s="3081" t="str">
        <f>IFERROR(J29*1000000/$C29,"NA")</f>
        <v>NA</v>
      </c>
      <c r="H29" s="1938">
        <f t="shared" si="10"/>
        <v>0.31505963068186144</v>
      </c>
      <c r="I29" s="1938" t="str">
        <f>IF(SUM(I39,I49,I59,I69,I80)=0,"NE",SUM(I39,I49,I59,I69,I80))</f>
        <v>NE</v>
      </c>
      <c r="J29" s="3064" t="str">
        <f>IF(SUM(J39,J49,J59,J69,J80)=0,"NE",SUM(J39,J49,J59,J69,J80))</f>
        <v>NE</v>
      </c>
    </row>
    <row r="30" spans="2:10" ht="18" customHeight="1" x14ac:dyDescent="0.2">
      <c r="B30" s="1241" t="s">
        <v>298</v>
      </c>
      <c r="C30" s="1938">
        <f>IF(SUM(C31:C34,C36:C38)=0,"NO",SUM(C31:C34,C36:C38))</f>
        <v>624598.1024862075</v>
      </c>
      <c r="D30" s="1934" t="s">
        <v>97</v>
      </c>
      <c r="E30" s="615"/>
      <c r="F30" s="615"/>
      <c r="G30" s="615"/>
      <c r="H30" s="1938">
        <f>IF(SUM(H31:H34,H36,H38)=0,"NO",SUM(H31:H34,H36,H38))</f>
        <v>41845.924075507872</v>
      </c>
      <c r="I30" s="1938">
        <f>IF(SUM(I31:I34,I36:I38)=0,"NO",SUM(I31:I34,I36:I38))</f>
        <v>11.554603143221158</v>
      </c>
      <c r="J30" s="3064">
        <f>IF(SUM(J31:J34,J36:J38)=0,"NO",SUM(J31:J34,J36:J38))</f>
        <v>5.0440169020109265</v>
      </c>
    </row>
    <row r="31" spans="2:10" ht="18" customHeight="1" x14ac:dyDescent="0.2">
      <c r="B31" s="282" t="s">
        <v>281</v>
      </c>
      <c r="C31" s="699">
        <v>531697.18625979696</v>
      </c>
      <c r="D31" s="1934" t="s">
        <v>97</v>
      </c>
      <c r="E31" s="1938">
        <f t="shared" ref="E31:E33" si="12">IFERROR(H31*1000/$C31,"NA")</f>
        <v>67.399999999999991</v>
      </c>
      <c r="F31" s="1938">
        <f t="shared" ref="F31:G33" si="13">IFERROR(I31*1000000/$C31,"NA")</f>
        <v>17.727873725489143</v>
      </c>
      <c r="G31" s="1938">
        <f t="shared" si="13"/>
        <v>9.2549872398676936</v>
      </c>
      <c r="H31" s="699">
        <v>35836.390353910312</v>
      </c>
      <c r="I31" s="699">
        <v>9.4258605782115605</v>
      </c>
      <c r="J31" s="2921">
        <v>4.9208506743079772</v>
      </c>
    </row>
    <row r="32" spans="2:10" ht="18" customHeight="1" x14ac:dyDescent="0.2">
      <c r="B32" s="282" t="s">
        <v>282</v>
      </c>
      <c r="C32" s="699">
        <v>43048.28122019492</v>
      </c>
      <c r="D32" s="1934" t="s">
        <v>97</v>
      </c>
      <c r="E32" s="1938">
        <f t="shared" si="12"/>
        <v>69.90000000000002</v>
      </c>
      <c r="F32" s="1938">
        <f t="shared" si="13"/>
        <v>8.205352433915051</v>
      </c>
      <c r="G32" s="1938">
        <f t="shared" si="13"/>
        <v>0.66233783957731029</v>
      </c>
      <c r="H32" s="699">
        <v>3009.0748572916259</v>
      </c>
      <c r="I32" s="699">
        <v>0.35322631908598601</v>
      </c>
      <c r="J32" s="2921">
        <v>2.8512505580900401E-2</v>
      </c>
    </row>
    <row r="33" spans="2:10" ht="18" customHeight="1" x14ac:dyDescent="0.2">
      <c r="B33" s="282" t="s">
        <v>283</v>
      </c>
      <c r="C33" s="699">
        <v>49776.422347514097</v>
      </c>
      <c r="D33" s="1934" t="s">
        <v>97</v>
      </c>
      <c r="E33" s="1938">
        <f t="shared" si="12"/>
        <v>60.200000000000017</v>
      </c>
      <c r="F33" s="1938">
        <f t="shared" si="13"/>
        <v>35.270207443709317</v>
      </c>
      <c r="G33" s="1938">
        <f t="shared" si="13"/>
        <v>1.9000463473058395</v>
      </c>
      <c r="H33" s="699">
        <v>2996.5406253203491</v>
      </c>
      <c r="I33" s="699">
        <v>1.7556247420025104</v>
      </c>
      <c r="J33" s="2921">
        <v>9.4577509463346934E-2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76.212658701540136</v>
      </c>
      <c r="D36" s="1934" t="s">
        <v>97</v>
      </c>
      <c r="E36" s="1938">
        <f t="shared" si="14"/>
        <v>51.411918339264993</v>
      </c>
      <c r="F36" s="1938">
        <f t="shared" si="15"/>
        <v>260.99999999999994</v>
      </c>
      <c r="G36" s="1938">
        <f t="shared" si="15"/>
        <v>0.99999999999999978</v>
      </c>
      <c r="H36" s="699">
        <v>3.9182389855818549</v>
      </c>
      <c r="I36" s="699">
        <v>1.9891503921101974E-2</v>
      </c>
      <c r="J36" s="2921">
        <v>7.6212658701540125E-5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162033.80045089705</v>
      </c>
      <c r="D40" s="1934" t="s">
        <v>97</v>
      </c>
      <c r="E40" s="615"/>
      <c r="F40" s="615"/>
      <c r="G40" s="615"/>
      <c r="H40" s="1938">
        <f>IF(SUM(H41:H44,H46,H48)=0,"NO",SUM(H41:H44,H46,H48))</f>
        <v>10974.662005443075</v>
      </c>
      <c r="I40" s="1938">
        <f>IF(SUM(I41:I44,I46:I48)=0,"NO",SUM(I41:I44,I46:I48))</f>
        <v>3.2806494075430837</v>
      </c>
      <c r="J40" s="3064">
        <f>IF(SUM(J41:J44,J46:J48)=0,"NO",SUM(J41:J44,J46:J48))</f>
        <v>0.43319099475472239</v>
      </c>
    </row>
    <row r="41" spans="2:10" ht="18" customHeight="1" x14ac:dyDescent="0.2">
      <c r="B41" s="282" t="s">
        <v>281</v>
      </c>
      <c r="C41" s="699">
        <v>90505.21605166448</v>
      </c>
      <c r="D41" s="1934" t="s">
        <v>97</v>
      </c>
      <c r="E41" s="1938">
        <f t="shared" ref="E41:E43" si="17">IFERROR(H41*1000/$C41,"NA")</f>
        <v>67.399999999999991</v>
      </c>
      <c r="F41" s="1938">
        <f t="shared" ref="F41:G43" si="18">IFERROR(I41*1000000/$C41,"NA")</f>
        <v>16.185305119002301</v>
      </c>
      <c r="G41" s="1938">
        <f t="shared" si="18"/>
        <v>4.0899294521349505</v>
      </c>
      <c r="H41" s="699">
        <v>6100.0515618821846</v>
      </c>
      <c r="I41" s="699">
        <v>1.4648545366574142</v>
      </c>
      <c r="J41" s="2921">
        <v>0.3701599487015394</v>
      </c>
    </row>
    <row r="42" spans="2:10" ht="18" customHeight="1" x14ac:dyDescent="0.2">
      <c r="B42" s="282" t="s">
        <v>282</v>
      </c>
      <c r="C42" s="699">
        <v>58618.936129627131</v>
      </c>
      <c r="D42" s="1934" t="s">
        <v>97</v>
      </c>
      <c r="E42" s="1938">
        <f t="shared" si="17"/>
        <v>69.900000000000034</v>
      </c>
      <c r="F42" s="1938">
        <f t="shared" si="18"/>
        <v>22.69076491757529</v>
      </c>
      <c r="G42" s="1938">
        <f t="shared" si="18"/>
        <v>0.63181296279386345</v>
      </c>
      <c r="H42" s="699">
        <v>4097.4636354609383</v>
      </c>
      <c r="I42" s="699">
        <v>1.33010849943573</v>
      </c>
      <c r="J42" s="2921">
        <v>3.7036203711883965E-2</v>
      </c>
    </row>
    <row r="43" spans="2:10" ht="18" customHeight="1" x14ac:dyDescent="0.2">
      <c r="B43" s="282" t="s">
        <v>283</v>
      </c>
      <c r="C43" s="699">
        <v>12908.053185395122</v>
      </c>
      <c r="D43" s="1934" t="s">
        <v>97</v>
      </c>
      <c r="E43" s="1938">
        <f t="shared" si="17"/>
        <v>60.20000000000001</v>
      </c>
      <c r="F43" s="1938">
        <f t="shared" si="18"/>
        <v>37.594364347684966</v>
      </c>
      <c r="G43" s="1938">
        <f t="shared" si="18"/>
        <v>2.0137232845072917</v>
      </c>
      <c r="H43" s="699">
        <v>777.06480176078639</v>
      </c>
      <c r="I43" s="699">
        <v>0.48527005447103966</v>
      </c>
      <c r="J43" s="2921">
        <v>2.5993247257088674E-2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1.5950842103445626</v>
      </c>
      <c r="D46" s="1934" t="s">
        <v>97</v>
      </c>
      <c r="E46" s="1938">
        <f t="shared" si="19"/>
        <v>51.411918339265</v>
      </c>
      <c r="F46" s="1938">
        <f t="shared" si="20"/>
        <v>261</v>
      </c>
      <c r="G46" s="1938">
        <f t="shared" si="20"/>
        <v>1</v>
      </c>
      <c r="H46" s="699">
        <v>8.2006339166485642E-2</v>
      </c>
      <c r="I46" s="699">
        <v>4.1631697889993086E-4</v>
      </c>
      <c r="J46" s="2921">
        <v>1.5950842103445625E-6</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251260.02315725945</v>
      </c>
      <c r="D50" s="1934" t="s">
        <v>97</v>
      </c>
      <c r="E50" s="615"/>
      <c r="F50" s="615"/>
      <c r="G50" s="615"/>
      <c r="H50" s="1938">
        <f>IF(SUM(H51:H54,H56,H58)=0,"NO",SUM(H51:H54,H56,H58))</f>
        <v>17474.632547119669</v>
      </c>
      <c r="I50" s="1938">
        <f>IF(SUM(I51:I54,I56:I58)=0,"NO",SUM(I51:I54,I56:I58))</f>
        <v>1.7876085557684616</v>
      </c>
      <c r="J50" s="3064">
        <f>IF(SUM(J51:J54,J56:J58)=0,"NO",SUM(J51:J54,J56:J58))</f>
        <v>0.48364190582141647</v>
      </c>
    </row>
    <row r="51" spans="2:10" ht="18" customHeight="1" x14ac:dyDescent="0.2">
      <c r="B51" s="282" t="s">
        <v>281</v>
      </c>
      <c r="C51" s="699">
        <v>2313.7680279973501</v>
      </c>
      <c r="D51" s="1934" t="s">
        <v>97</v>
      </c>
      <c r="E51" s="1938">
        <f t="shared" ref="E51:E53" si="22">IFERROR(H51*1000/$C51,"NA")</f>
        <v>67.40000000000002</v>
      </c>
      <c r="F51" s="1938">
        <f t="shared" ref="F51:G53" si="23">IFERROR(I51*1000000/$C51,"NA")</f>
        <v>19.113666304041789</v>
      </c>
      <c r="G51" s="1938">
        <f t="shared" si="23"/>
        <v>0.93840715850882772</v>
      </c>
      <c r="H51" s="699">
        <v>155.94796508702143</v>
      </c>
      <c r="I51" s="699">
        <v>4.4224589992102173E-2</v>
      </c>
      <c r="J51" s="2921">
        <v>2.1712564806015671E-3</v>
      </c>
    </row>
    <row r="52" spans="2:10" ht="18" customHeight="1" x14ac:dyDescent="0.2">
      <c r="B52" s="282" t="s">
        <v>282</v>
      </c>
      <c r="C52" s="699">
        <v>241763.28888788473</v>
      </c>
      <c r="D52" s="1934" t="s">
        <v>97</v>
      </c>
      <c r="E52" s="1938">
        <f t="shared" si="22"/>
        <v>69.900000000000006</v>
      </c>
      <c r="F52" s="1938">
        <f t="shared" si="23"/>
        <v>6.3456062404065143</v>
      </c>
      <c r="G52" s="1938">
        <f t="shared" si="23"/>
        <v>1.9482913962097379</v>
      </c>
      <c r="H52" s="699">
        <v>16899.253893263143</v>
      </c>
      <c r="I52" s="699">
        <v>1.5341346346681641</v>
      </c>
      <c r="J52" s="2921">
        <v>0.47102533565963511</v>
      </c>
    </row>
    <row r="53" spans="2:10" ht="18" customHeight="1" x14ac:dyDescent="0.2">
      <c r="B53" s="282" t="s">
        <v>283</v>
      </c>
      <c r="C53" s="699">
        <v>5705.5244670907823</v>
      </c>
      <c r="D53" s="1934" t="s">
        <v>97</v>
      </c>
      <c r="E53" s="1938">
        <f t="shared" si="22"/>
        <v>60.200000000000024</v>
      </c>
      <c r="F53" s="1938">
        <f t="shared" si="23"/>
        <v>10.520980542891012</v>
      </c>
      <c r="G53" s="1938">
        <f t="shared" si="23"/>
        <v>1.5717874769654319</v>
      </c>
      <c r="H53" s="699">
        <v>343.47257291886524</v>
      </c>
      <c r="I53" s="699">
        <v>6.0027711905250726E-2</v>
      </c>
      <c r="J53" s="2921">
        <v>8.96787190689316E-3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1477.4417742865794</v>
      </c>
      <c r="D56" s="1934" t="s">
        <v>97</v>
      </c>
      <c r="E56" s="1938">
        <f t="shared" si="24"/>
        <v>51.411918339265</v>
      </c>
      <c r="F56" s="1938">
        <f t="shared" si="25"/>
        <v>100.99999999999999</v>
      </c>
      <c r="G56" s="1938">
        <f t="shared" si="25"/>
        <v>0.99999999999999989</v>
      </c>
      <c r="H56" s="699">
        <v>75.958115850640411</v>
      </c>
      <c r="I56" s="699">
        <v>0.14922161920294449</v>
      </c>
      <c r="J56" s="2921">
        <v>1.4774417742865792E-3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2787.5264290191449</v>
      </c>
      <c r="D60" s="1934" t="s">
        <v>97</v>
      </c>
      <c r="E60" s="615"/>
      <c r="F60" s="615"/>
      <c r="G60" s="615"/>
      <c r="H60" s="1938">
        <f>IF(SUM(H61:H64,H66,H68)=0,"NO",SUM(H61:H64,H66,H68))</f>
        <v>187.90464082231631</v>
      </c>
      <c r="I60" s="1938">
        <f>IF(SUM(I61:I64,I66:I68)=0,"NO",SUM(I61:I64,I66:I68))</f>
        <v>0.19073658220881409</v>
      </c>
      <c r="J60" s="3064">
        <f>IF(SUM(J61:J64,J66:J68)=0,"NO",SUM(J61:J64,J66:J68))</f>
        <v>2.5431544294508548E-3</v>
      </c>
    </row>
    <row r="61" spans="2:10" ht="18" customHeight="1" x14ac:dyDescent="0.2">
      <c r="B61" s="282" t="s">
        <v>281</v>
      </c>
      <c r="C61" s="699">
        <v>2783.2282075910157</v>
      </c>
      <c r="D61" s="1934" t="s">
        <v>97</v>
      </c>
      <c r="E61" s="1938">
        <f t="shared" ref="E61:E63" si="27">IFERROR(H61*1000/$C61,"NA")</f>
        <v>67.399999999999991</v>
      </c>
      <c r="F61" s="1938">
        <f t="shared" ref="F61:G63" si="28">IFERROR(I61*1000000/$C61,"NA")</f>
        <v>68.530701754385959</v>
      </c>
      <c r="G61" s="1938">
        <f t="shared" si="28"/>
        <v>0.91374269005847952</v>
      </c>
      <c r="H61" s="699">
        <v>187.58958119163444</v>
      </c>
      <c r="I61" s="699">
        <v>0.19073658220881409</v>
      </c>
      <c r="J61" s="2921">
        <v>2.5431544294508548E-3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4.2982214281290787</v>
      </c>
      <c r="D68" s="1934" t="s">
        <v>97</v>
      </c>
      <c r="E68" s="615"/>
      <c r="F68" s="615"/>
      <c r="G68" s="615"/>
      <c r="H68" s="1938">
        <f>H69</f>
        <v>0.31505963068186144</v>
      </c>
      <c r="I68" s="1938" t="str">
        <f>I69</f>
        <v>NE</v>
      </c>
      <c r="J68" s="3064" t="str">
        <f>J69</f>
        <v>NE</v>
      </c>
    </row>
    <row r="69" spans="2:10" ht="18" customHeight="1" x14ac:dyDescent="0.2">
      <c r="B69" s="3083" t="s">
        <v>297</v>
      </c>
      <c r="C69" s="699">
        <v>4.2982214281290787</v>
      </c>
      <c r="D69" s="1934" t="s">
        <v>97</v>
      </c>
      <c r="E69" s="3081">
        <f t="shared" ref="E69" si="31">IFERROR(H69*1000/$C69,"NA")</f>
        <v>73.3</v>
      </c>
      <c r="F69" s="3081" t="str">
        <f>IFERROR(I69*1000000/$C69,"NA")</f>
        <v>NA</v>
      </c>
      <c r="G69" s="3081" t="str">
        <f>IFERROR(J69*1000000/$C69,"NA")</f>
        <v>NA</v>
      </c>
      <c r="H69" s="699">
        <v>0.31505963068186144</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27125.344546999997</v>
      </c>
      <c r="D81" s="1934" t="s">
        <v>97</v>
      </c>
      <c r="E81" s="615"/>
      <c r="F81" s="615"/>
      <c r="G81" s="615"/>
      <c r="H81" s="1938">
        <f>IF(SUM(H82:H84,H86)=0,"NO",SUM(H82:H84,H86))</f>
        <v>1896.0615838353001</v>
      </c>
      <c r="I81" s="1938">
        <f>IF(SUM(I82:I86)=0,"NO",SUM(I82:I86))</f>
        <v>0.108501378188</v>
      </c>
      <c r="J81" s="3064">
        <f>IF(SUM(J82:J86)=0,"NO",SUM(J82:J86))</f>
        <v>0.8137603364099999</v>
      </c>
    </row>
    <row r="82" spans="2:10" ht="18" customHeight="1" x14ac:dyDescent="0.2">
      <c r="B82" s="282" t="s">
        <v>243</v>
      </c>
      <c r="C82" s="699">
        <v>27125.344546999997</v>
      </c>
      <c r="D82" s="1934" t="s">
        <v>97</v>
      </c>
      <c r="E82" s="1938">
        <f t="shared" ref="E82:E85" si="37">IFERROR(H82*1000/$C82,"NA")</f>
        <v>69.900000000000006</v>
      </c>
      <c r="F82" s="1938">
        <f t="shared" ref="F82:G85" si="38">IFERROR(I82*1000000/$C82,"NA")</f>
        <v>4.0000000000000009</v>
      </c>
      <c r="G82" s="1938">
        <f t="shared" si="38"/>
        <v>30</v>
      </c>
      <c r="H82" s="699">
        <v>1896.0615838353001</v>
      </c>
      <c r="I82" s="699">
        <v>0.108501378188</v>
      </c>
      <c r="J82" s="2921">
        <v>0.8137603364099999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26744.98702265463</v>
      </c>
      <c r="D88" s="1934" t="s">
        <v>97</v>
      </c>
      <c r="E88" s="615"/>
      <c r="F88" s="615"/>
      <c r="G88" s="615"/>
      <c r="H88" s="1938">
        <f>IF(SUM(H89:H92,H94,H96)=0,"NO",SUM(H89:H92,H94,H96))</f>
        <v>2003.9659914091294</v>
      </c>
      <c r="I88" s="3299">
        <f>IF(SUM(I89:I92,I94:I96)=0,"NE",SUM(I89:I92,I94:I96))</f>
        <v>4.142290838639533</v>
      </c>
      <c r="J88" s="3300">
        <f>IF(SUM(J89:J92,J94:J96)=0,"NE",SUM(J89:J92,J94:J96))</f>
        <v>3.4781781383447077E-2</v>
      </c>
    </row>
    <row r="89" spans="2:10" ht="18" customHeight="1" x14ac:dyDescent="0.2">
      <c r="B89" s="282" t="s">
        <v>306</v>
      </c>
      <c r="C89" s="699">
        <v>6413.6794023175007</v>
      </c>
      <c r="D89" s="1934" t="s">
        <v>97</v>
      </c>
      <c r="E89" s="1938">
        <f t="shared" ref="E89:E91" si="40">IFERROR(H89*1000/$C89,"NA")</f>
        <v>73.599999999999994</v>
      </c>
      <c r="F89" s="1938">
        <f t="shared" ref="F89:G91" si="41">IFERROR(I89*1000000/$C89,"NA")</f>
        <v>7</v>
      </c>
      <c r="G89" s="1938">
        <f t="shared" si="41"/>
        <v>2</v>
      </c>
      <c r="H89" s="699">
        <v>472.046804010568</v>
      </c>
      <c r="I89" s="4435">
        <v>4.4895755816222502E-2</v>
      </c>
      <c r="J89" s="4436">
        <v>1.2827358804635001E-2</v>
      </c>
    </row>
    <row r="90" spans="2:10" ht="18" customHeight="1" x14ac:dyDescent="0.2">
      <c r="B90" s="282" t="s">
        <v>307</v>
      </c>
      <c r="C90" s="699">
        <v>2691.6505299123669</v>
      </c>
      <c r="D90" s="1934" t="s">
        <v>97</v>
      </c>
      <c r="E90" s="1938">
        <f t="shared" si="40"/>
        <v>69.90000000000002</v>
      </c>
      <c r="F90" s="1938">
        <f t="shared" si="41"/>
        <v>7.0000000000000009</v>
      </c>
      <c r="G90" s="1938">
        <f t="shared" si="41"/>
        <v>2.0000000000000004</v>
      </c>
      <c r="H90" s="699">
        <v>188.1463720408745</v>
      </c>
      <c r="I90" s="4435">
        <v>1.8841553709386571E-2</v>
      </c>
      <c r="J90" s="4436">
        <v>5.3833010598247346E-3</v>
      </c>
    </row>
    <row r="91" spans="2:10" ht="18" customHeight="1" x14ac:dyDescent="0.2">
      <c r="B91" s="282" t="s">
        <v>281</v>
      </c>
      <c r="C91" s="699">
        <v>10670</v>
      </c>
      <c r="D91" s="1934" t="s">
        <v>97</v>
      </c>
      <c r="E91" s="1938">
        <f t="shared" si="40"/>
        <v>67.400000000000006</v>
      </c>
      <c r="F91" s="1938">
        <f t="shared" si="41"/>
        <v>359.99999999999994</v>
      </c>
      <c r="G91" s="1938">
        <f t="shared" si="41"/>
        <v>0.8999999999999998</v>
      </c>
      <c r="H91" s="699">
        <v>719.15800000000013</v>
      </c>
      <c r="I91" s="4435">
        <v>3.8411999999999997</v>
      </c>
      <c r="J91" s="4436">
        <v>9.6029999999999987E-3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68.121518987341787</v>
      </c>
      <c r="D94" s="1934" t="s">
        <v>97</v>
      </c>
      <c r="E94" s="1938">
        <f t="shared" ref="E94:E95" si="44">IFERROR(H94*1000/$C94,"NA")</f>
        <v>51.411918339265</v>
      </c>
      <c r="F94" s="1938">
        <f t="shared" si="43"/>
        <v>242.99999999999994</v>
      </c>
      <c r="G94" s="1938">
        <f t="shared" si="43"/>
        <v>1</v>
      </c>
      <c r="H94" s="699">
        <v>3.5022579713239059</v>
      </c>
      <c r="I94" s="3301">
        <v>1.6553529113924052E-2</v>
      </c>
      <c r="J94" s="3302">
        <v>6.8121518987341784E-5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6901.5355714374191</v>
      </c>
      <c r="D96" s="1934" t="s">
        <v>97</v>
      </c>
      <c r="E96" s="615"/>
      <c r="F96" s="615"/>
      <c r="G96" s="615"/>
      <c r="H96" s="1938">
        <f>IF(SUM(H97:H98)=0,"NO",SUM(H97:H98))</f>
        <v>621.11255738636294</v>
      </c>
      <c r="I96" s="3299">
        <f>IF(SUM(I97:I98)=0,"NE",SUM(I97:I98))</f>
        <v>0.22080000000000005</v>
      </c>
      <c r="J96" s="3300">
        <f>IF(SUM(J97:J98)=0,"NE",SUM(J97:J98))</f>
        <v>6.9000000000000016E-3</v>
      </c>
    </row>
    <row r="97" spans="2:10" ht="18" customHeight="1" x14ac:dyDescent="0.2">
      <c r="B97" s="2592" t="s">
        <v>309</v>
      </c>
      <c r="C97" s="699">
        <v>6900.0000000000009</v>
      </c>
      <c r="D97" s="1934" t="s">
        <v>97</v>
      </c>
      <c r="E97" s="3081">
        <f t="shared" ref="E97" si="45">IFERROR(H97*1000/$C97,"NA")</f>
        <v>90</v>
      </c>
      <c r="F97" s="3081">
        <f>IFERROR(I97*1000000/$C97,"NA")</f>
        <v>32.000000000000007</v>
      </c>
      <c r="G97" s="3081">
        <f>IFERROR(J97*1000000/$C97,"NA")</f>
        <v>1.0000000000000002</v>
      </c>
      <c r="H97" s="699">
        <v>621.00000000000011</v>
      </c>
      <c r="I97" s="3301">
        <v>0.22080000000000005</v>
      </c>
      <c r="J97" s="3302">
        <v>6.9000000000000016E-3</v>
      </c>
    </row>
    <row r="98" spans="2:10" ht="18" customHeight="1" x14ac:dyDescent="0.2">
      <c r="B98" s="2592" t="s">
        <v>297</v>
      </c>
      <c r="C98" s="699">
        <v>1.5355714374184186</v>
      </c>
      <c r="D98" s="1934" t="s">
        <v>97</v>
      </c>
      <c r="E98" s="3081">
        <f t="shared" ref="E98" si="46">IFERROR(H98*1000/$C98,"NA")</f>
        <v>73.300000000000011</v>
      </c>
      <c r="F98" s="3081" t="str">
        <f>IFERROR(I98*1000000/$C98,"NA")</f>
        <v>NA</v>
      </c>
      <c r="G98" s="3081" t="str">
        <f>IFERROR(J98*1000000/$C98,"NA")</f>
        <v>NA</v>
      </c>
      <c r="H98" s="699">
        <v>0.1125573863627701</v>
      </c>
      <c r="I98" s="3301" t="s">
        <v>221</v>
      </c>
      <c r="J98" s="3302" t="s">
        <v>221</v>
      </c>
    </row>
    <row r="99" spans="2:10" ht="18" customHeight="1" x14ac:dyDescent="0.2">
      <c r="B99" s="1240" t="s">
        <v>310</v>
      </c>
      <c r="C99" s="1938">
        <f>IF(SUM(C100:C104)=0,"NO",SUM(C100:C104))</f>
        <v>16089.822206171648</v>
      </c>
      <c r="D99" s="1934" t="s">
        <v>97</v>
      </c>
      <c r="E99" s="615"/>
      <c r="F99" s="615"/>
      <c r="G99" s="615"/>
      <c r="H99" s="1938">
        <f>IF(SUM(H100:H103)=0,"NO",SUM(H100:H103))</f>
        <v>837.90907805147526</v>
      </c>
      <c r="I99" s="1938">
        <f>IF(SUM(I100:I104)=0,"NO",SUM(I100:I104))</f>
        <v>0.15358882050104805</v>
      </c>
      <c r="J99" s="3064">
        <f>IF(SUM(J100:J104)=0,"NO",SUM(J100:J104))</f>
        <v>1.6728551260774525E-3</v>
      </c>
    </row>
    <row r="100" spans="2:10" ht="18" customHeight="1" x14ac:dyDescent="0.2">
      <c r="B100" s="282" t="s">
        <v>243</v>
      </c>
      <c r="C100" s="1938">
        <f>IF(SUM(C106,C113:C116)=0,"NO",SUM(C106,C113:C116))</f>
        <v>651.62371888726227</v>
      </c>
      <c r="D100" s="1934" t="s">
        <v>97</v>
      </c>
      <c r="E100" s="3081">
        <f t="shared" ref="E100:E104" si="47">IFERROR(H100*1000/$C100,"NA")</f>
        <v>67.399999999999991</v>
      </c>
      <c r="F100" s="3081">
        <f t="shared" ref="F100:G104" si="48">IFERROR(I100*1000000/$C100,"NA")</f>
        <v>49.999999999999993</v>
      </c>
      <c r="G100" s="3081">
        <f t="shared" si="48"/>
        <v>0.19999999999999996</v>
      </c>
      <c r="H100" s="1938">
        <f>IF(SUM(H106,H113:H116)=0,"NO",SUM(H106,H113:H116))</f>
        <v>43.919438653001464</v>
      </c>
      <c r="I100" s="1938">
        <f>IF(SUM(I106,I113:I116)=0,"NO",SUM(I106,I113:I116))</f>
        <v>3.2581185944363107E-2</v>
      </c>
      <c r="J100" s="3064">
        <f>IF(SUM(J106,J113:J116)=0,"NO",SUM(J106,J113:J116))</f>
        <v>1.3032474377745244E-4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15425.303822999998</v>
      </c>
      <c r="D102" s="1934" t="s">
        <v>97</v>
      </c>
      <c r="E102" s="3081">
        <f t="shared" si="47"/>
        <v>51.411918339265007</v>
      </c>
      <c r="F102" s="3081">
        <f t="shared" si="48"/>
        <v>7.8447488584474909</v>
      </c>
      <c r="G102" s="3081">
        <f t="shared" si="48"/>
        <v>0.10000000000000002</v>
      </c>
      <c r="H102" s="1938">
        <f t="shared" si="49"/>
        <v>793.04446050642832</v>
      </c>
      <c r="I102" s="1938">
        <f t="shared" si="49"/>
        <v>0.12100763455668495</v>
      </c>
      <c r="J102" s="3064">
        <f t="shared" si="49"/>
        <v>1.5425303823000001E-3</v>
      </c>
    </row>
    <row r="103" spans="2:10" ht="18" customHeight="1" x14ac:dyDescent="0.2">
      <c r="B103" s="282" t="s">
        <v>290</v>
      </c>
      <c r="C103" s="1938">
        <f>IF(SUM(C109,C120)=0,"NO",SUM(C109,C120))</f>
        <v>12.894664284387236</v>
      </c>
      <c r="D103" s="1934" t="s">
        <v>97</v>
      </c>
      <c r="E103" s="3081">
        <f t="shared" si="47"/>
        <v>73.3</v>
      </c>
      <c r="F103" s="3081" t="str">
        <f t="shared" si="48"/>
        <v>NA</v>
      </c>
      <c r="G103" s="3081" t="str">
        <f t="shared" si="48"/>
        <v>NA</v>
      </c>
      <c r="H103" s="1938">
        <f t="shared" si="49"/>
        <v>0.94517889204558436</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15425.303822999998</v>
      </c>
      <c r="D105" s="1934" t="s">
        <v>97</v>
      </c>
      <c r="E105" s="615"/>
      <c r="F105" s="615"/>
      <c r="G105" s="615"/>
      <c r="H105" s="1938">
        <f>IF(SUM(H106:H109)=0,"NO",SUM(H106:H109))</f>
        <v>793.04446050642832</v>
      </c>
      <c r="I105" s="1938">
        <f>IF(SUM(I106:I110)=0,"NO",SUM(I106:I110))</f>
        <v>0.12100763455668495</v>
      </c>
      <c r="J105" s="3064">
        <f>IF(SUM(J106:J110)=0,"NO",SUM(J106:J110))</f>
        <v>1.5425303823000001E-3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15425.303822999998</v>
      </c>
      <c r="D108" s="1934" t="s">
        <v>97</v>
      </c>
      <c r="E108" s="3081">
        <f t="shared" si="50"/>
        <v>51.411918339265007</v>
      </c>
      <c r="F108" s="3081">
        <f t="shared" si="51"/>
        <v>7.8447488584474909</v>
      </c>
      <c r="G108" s="3081">
        <f t="shared" si="51"/>
        <v>0.10000000000000002</v>
      </c>
      <c r="H108" s="699">
        <v>793.04446050642832</v>
      </c>
      <c r="I108" s="699">
        <v>0.12100763455668495</v>
      </c>
      <c r="J108" s="2921">
        <v>1.5425303823000001E-3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664.51838317164948</v>
      </c>
      <c r="D111" s="1934" t="s">
        <v>97</v>
      </c>
      <c r="E111" s="615"/>
      <c r="F111" s="615"/>
      <c r="G111" s="615"/>
      <c r="H111" s="1938">
        <f>H112</f>
        <v>44.864617545047047</v>
      </c>
      <c r="I111" s="1938">
        <f>I112</f>
        <v>3.2581185944363107E-2</v>
      </c>
      <c r="J111" s="3064">
        <f>J112</f>
        <v>1.3032474377745244E-4</v>
      </c>
    </row>
    <row r="112" spans="2:10" ht="18" customHeight="1" x14ac:dyDescent="0.2">
      <c r="B112" s="3068" t="s">
        <v>313</v>
      </c>
      <c r="C112" s="3077">
        <f>IF(SUM(C113:C116,C118:C121)=0,"NO",SUM(C113:C116,C118:C121))</f>
        <v>664.51838317164948</v>
      </c>
      <c r="D112" s="3077" t="s">
        <v>97</v>
      </c>
      <c r="E112" s="615"/>
      <c r="F112" s="615"/>
      <c r="G112" s="615"/>
      <c r="H112" s="3077">
        <f>IF(SUM(H113:H116,H118:H120)=0,"NO",SUM(H113:H116,H118:H120))</f>
        <v>44.864617545047047</v>
      </c>
      <c r="I112" s="3077">
        <f>IF(SUM(I113:I116,I118:I121)=0,"NO",SUM(I113:I116,I118:I121))</f>
        <v>3.2581185944363107E-2</v>
      </c>
      <c r="J112" s="3078">
        <f>IF(SUM(J113:J116,J118:J121)=0,"NO",SUM(J113:J116,J118:J121))</f>
        <v>1.3032474377745244E-4</v>
      </c>
    </row>
    <row r="113" spans="2:10" ht="18" customHeight="1" x14ac:dyDescent="0.2">
      <c r="B113" s="282" t="s">
        <v>281</v>
      </c>
      <c r="C113" s="699">
        <v>651.62371888726227</v>
      </c>
      <c r="D113" s="1938" t="s">
        <v>97</v>
      </c>
      <c r="E113" s="1938">
        <f t="shared" ref="E113:E115" si="52">IFERROR(H113*1000/$C113,"NA")</f>
        <v>67.399999999999991</v>
      </c>
      <c r="F113" s="1938">
        <f t="shared" ref="F113:G115" si="53">IFERROR(I113*1000000/$C113,"NA")</f>
        <v>49.999999999999993</v>
      </c>
      <c r="G113" s="1938">
        <f t="shared" si="53"/>
        <v>0.19999999999999996</v>
      </c>
      <c r="H113" s="699">
        <v>43.919438653001464</v>
      </c>
      <c r="I113" s="699">
        <v>3.2581185944363107E-2</v>
      </c>
      <c r="J113" s="2921">
        <v>1.3032474377745244E-4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12.894664284387236</v>
      </c>
      <c r="D120" s="1934" t="s">
        <v>97</v>
      </c>
      <c r="E120" s="3081">
        <f t="shared" si="54"/>
        <v>73.3</v>
      </c>
      <c r="F120" s="3081" t="str">
        <f t="shared" si="55"/>
        <v>NA</v>
      </c>
      <c r="G120" s="3081" t="str">
        <f t="shared" si="55"/>
        <v>NA</v>
      </c>
      <c r="H120" s="699">
        <v>0.94517889204558436</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384348.71331188071</v>
      </c>
      <c r="D10" s="3087" t="s">
        <v>97</v>
      </c>
      <c r="E10" s="2161"/>
      <c r="F10" s="2161"/>
      <c r="G10" s="2161"/>
      <c r="H10" s="3087">
        <f>IF(SUM(H11:H15)=0,"NO",SUM(H11:H15))</f>
        <v>18814.077822321706</v>
      </c>
      <c r="I10" s="3087">
        <f>IF(SUM(I11:I16)=0,"NO",SUM(I11:I16))</f>
        <v>49.087281170128975</v>
      </c>
      <c r="J10" s="3087">
        <f>IF(SUM(J11:J16)=0,"NO",SUM(J11:J16))</f>
        <v>0.66256697571037104</v>
      </c>
      <c r="K10" s="416" t="str">
        <f>IF(SUM(K11:K16)=0,"NO",SUM(K11:K16))</f>
        <v>NO</v>
      </c>
    </row>
    <row r="11" spans="2:12" ht="18" customHeight="1" x14ac:dyDescent="0.2">
      <c r="B11" s="282" t="s">
        <v>243</v>
      </c>
      <c r="C11" s="1938">
        <f>IF(SUM(C18,C39,C60)=0,"NO",SUM(C18,C39,C60))</f>
        <v>138499.18974924978</v>
      </c>
      <c r="D11" s="3087" t="s">
        <v>97</v>
      </c>
      <c r="E11" s="1938">
        <f t="shared" ref="E11:E16" si="0">IFERROR(H11*1000/$C11,"NA")</f>
        <v>68.481695475485253</v>
      </c>
      <c r="F11" s="1938">
        <f t="shared" ref="F11:G16" si="1">IFERROR(I11*1000000/$C11,"NA")</f>
        <v>9.478715157173971</v>
      </c>
      <c r="G11" s="1938">
        <f t="shared" si="1"/>
        <v>2.7044665073551282</v>
      </c>
      <c r="H11" s="1938">
        <f>IF(SUM(H18,H39,H60)=0,"NO",SUM(H18,H39,H60))</f>
        <v>9484.6593360095721</v>
      </c>
      <c r="I11" s="1938">
        <f>IF(SUM(I18,I39,I60)=0,"NO",SUM(I18,I39,I60))</f>
        <v>1.3127943691325279</v>
      </c>
      <c r="J11" s="1938">
        <f>IF(SUM(J18,J39,J60)=0,"NO",SUM(J18,J39,J60))</f>
        <v>0.37456641997266876</v>
      </c>
      <c r="K11" s="3064" t="str">
        <f>IF(SUM(K18,K39,K60)=0,"NO",SUM(K18,K39,K60))</f>
        <v>NO</v>
      </c>
    </row>
    <row r="12" spans="2:12" ht="18" customHeight="1" x14ac:dyDescent="0.2">
      <c r="B12" s="282" t="s">
        <v>245</v>
      </c>
      <c r="C12" s="1938">
        <f t="shared" ref="C12:C16" si="2">IF(SUM(C19,C40,C61)=0,"NO",SUM(C19,C40,C61))</f>
        <v>2431.5400000000004</v>
      </c>
      <c r="D12" s="3087" t="s">
        <v>97</v>
      </c>
      <c r="E12" s="1938">
        <f t="shared" si="0"/>
        <v>92.96053118599734</v>
      </c>
      <c r="F12" s="1938">
        <f t="shared" si="1"/>
        <v>0.952380952380952</v>
      </c>
      <c r="G12" s="1938">
        <f t="shared" si="1"/>
        <v>0.66666666666666663</v>
      </c>
      <c r="H12" s="1938">
        <f t="shared" ref="H12:K16" si="3">IF(SUM(H19,H40,H61)=0,"NO",SUM(H19,H40,H61))</f>
        <v>226.03725</v>
      </c>
      <c r="I12" s="1938">
        <f t="shared" si="3"/>
        <v>2.3157523809523807E-3</v>
      </c>
      <c r="J12" s="1938">
        <f t="shared" si="3"/>
        <v>1.6210266666666668E-3</v>
      </c>
      <c r="K12" s="3064" t="str">
        <f t="shared" si="3"/>
        <v>NO</v>
      </c>
    </row>
    <row r="13" spans="2:12" ht="18" customHeight="1" x14ac:dyDescent="0.2">
      <c r="B13" s="282" t="s">
        <v>246</v>
      </c>
      <c r="C13" s="1938">
        <f t="shared" si="2"/>
        <v>176887.23356263092</v>
      </c>
      <c r="D13" s="3087" t="s">
        <v>97</v>
      </c>
      <c r="E13" s="1938">
        <f t="shared" si="0"/>
        <v>51.464320250612523</v>
      </c>
      <c r="F13" s="1938">
        <f t="shared" si="1"/>
        <v>0.90909090909090895</v>
      </c>
      <c r="G13" s="1938">
        <f t="shared" si="1"/>
        <v>0.90909090909090895</v>
      </c>
      <c r="H13" s="1938">
        <f t="shared" si="3"/>
        <v>9103.3812363121342</v>
      </c>
      <c r="I13" s="1938">
        <f t="shared" si="3"/>
        <v>0.1608065759660281</v>
      </c>
      <c r="J13" s="1938">
        <f t="shared" si="3"/>
        <v>0.1608065759660281</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66530.750000000015</v>
      </c>
      <c r="D16" s="3087" t="s">
        <v>97</v>
      </c>
      <c r="E16" s="1938">
        <f t="shared" si="0"/>
        <v>77.34197240438786</v>
      </c>
      <c r="F16" s="1938">
        <f t="shared" si="1"/>
        <v>715.62945664447579</v>
      </c>
      <c r="G16" s="1938">
        <f t="shared" si="1"/>
        <v>1.8874423196042049</v>
      </c>
      <c r="H16" s="1938">
        <f t="shared" si="3"/>
        <v>5145.6194305432291</v>
      </c>
      <c r="I16" s="1938">
        <f t="shared" si="3"/>
        <v>47.61136447264947</v>
      </c>
      <c r="J16" s="1938">
        <f t="shared" si="3"/>
        <v>0.12557295310500749</v>
      </c>
      <c r="K16" s="3064" t="str">
        <f t="shared" si="3"/>
        <v>NO</v>
      </c>
    </row>
    <row r="17" spans="2:11" ht="18" customHeight="1" x14ac:dyDescent="0.2">
      <c r="B17" s="1240" t="s">
        <v>322</v>
      </c>
      <c r="C17" s="3087">
        <f>IF(SUM(C18:C23)=0,"NO",SUM(C18:C23))</f>
        <v>78237.435727693257</v>
      </c>
      <c r="D17" s="3087" t="s">
        <v>97</v>
      </c>
      <c r="E17" s="615"/>
      <c r="F17" s="615"/>
      <c r="G17" s="615"/>
      <c r="H17" s="3057">
        <f>IF(SUM(H18:H22)=0,"NO",SUM(H18:H22))</f>
        <v>4623.8725658948006</v>
      </c>
      <c r="I17" s="3057">
        <f>IF(SUM(I18:I23)=0,"NO",SUM(I18:I23))</f>
        <v>8.9172376979454626E-2</v>
      </c>
      <c r="J17" s="3088">
        <f>IF(SUM(J18:J23)=0,"NO",SUM(J18:J23))</f>
        <v>8.9417113939653972E-2</v>
      </c>
      <c r="K17" s="3064" t="str">
        <f>IF(SUM(K18:K23)=0,"NO",SUM(K18:K23))</f>
        <v>NO</v>
      </c>
    </row>
    <row r="18" spans="2:11" ht="18" customHeight="1" x14ac:dyDescent="0.2">
      <c r="B18" s="282" t="s">
        <v>243</v>
      </c>
      <c r="C18" s="3087">
        <f>IF(SUM(C26,C33)=0,"NO",SUM(C26,C33))</f>
        <v>31456.572165062375</v>
      </c>
      <c r="D18" s="3087" t="s">
        <v>97</v>
      </c>
      <c r="E18" s="1938">
        <f t="shared" ref="E18" si="4">IFERROR(H18*1000/$C18,"NA")</f>
        <v>68.952394442820577</v>
      </c>
      <c r="F18" s="1938">
        <f t="shared" ref="F18:G23" si="5">IFERROR(I18*1000000/$C18,"NA")</f>
        <v>1.3878496159327334</v>
      </c>
      <c r="G18" s="1938">
        <f t="shared" si="5"/>
        <v>1.4536760541152227</v>
      </c>
      <c r="H18" s="3087">
        <f>IF(SUM(H26,H33)=0,"NO",SUM(H26,H33))</f>
        <v>2169.005971744431</v>
      </c>
      <c r="I18" s="3087">
        <f>IF(SUM(I26,I33)=0,"NO",SUM(I26,I33))</f>
        <v>4.3656991597842129E-2</v>
      </c>
      <c r="J18" s="3087">
        <f>IF(SUM(J26,J33)=0,"NO",SUM(J26,J33))</f>
        <v>4.5727665700898625E-2</v>
      </c>
      <c r="K18" s="3064" t="str">
        <f>IF(SUM(K26,K33)=0,"NO",SUM(K26,K33))</f>
        <v>NO</v>
      </c>
    </row>
    <row r="19" spans="2:11" ht="18" customHeight="1" x14ac:dyDescent="0.2">
      <c r="B19" s="282" t="s">
        <v>245</v>
      </c>
      <c r="C19" s="3087">
        <f t="shared" ref="C19:C21" si="6">IF(SUM(C27,C34)=0,"NO",SUM(C27,C34))</f>
        <v>2311.5300000000002</v>
      </c>
      <c r="D19" s="3087" t="s">
        <v>97</v>
      </c>
      <c r="E19" s="1938">
        <f t="shared" ref="E19:E23" si="7">IFERROR(H19*1000/$C19,"NA")</f>
        <v>92.964270418294376</v>
      </c>
      <c r="F19" s="1938">
        <f t="shared" si="5"/>
        <v>0.95238095238095222</v>
      </c>
      <c r="G19" s="1938">
        <f t="shared" si="5"/>
        <v>0.66666666666666674</v>
      </c>
      <c r="H19" s="3087">
        <f t="shared" ref="H19:K21" si="8">IF(SUM(H27,H34)=0,"NO",SUM(H27,H34))</f>
        <v>214.8897</v>
      </c>
      <c r="I19" s="3087">
        <f t="shared" si="8"/>
        <v>2.2014571428571428E-3</v>
      </c>
      <c r="J19" s="3087">
        <f t="shared" si="8"/>
        <v>1.5410200000000002E-3</v>
      </c>
      <c r="K19" s="3064" t="str">
        <f t="shared" si="8"/>
        <v>NO</v>
      </c>
    </row>
    <row r="20" spans="2:11" ht="18" customHeight="1" x14ac:dyDescent="0.2">
      <c r="B20" s="282" t="s">
        <v>246</v>
      </c>
      <c r="C20" s="3087">
        <f t="shared" si="6"/>
        <v>43518.583562630884</v>
      </c>
      <c r="D20" s="3087" t="s">
        <v>97</v>
      </c>
      <c r="E20" s="1938">
        <f t="shared" si="7"/>
        <v>51.471732551374274</v>
      </c>
      <c r="F20" s="1938">
        <f t="shared" si="5"/>
        <v>0.90909090909090928</v>
      </c>
      <c r="G20" s="1938">
        <f t="shared" si="5"/>
        <v>0.90909090909090928</v>
      </c>
      <c r="H20" s="3087">
        <f t="shared" si="8"/>
        <v>2239.9768941503694</v>
      </c>
      <c r="I20" s="3087">
        <f t="shared" si="8"/>
        <v>3.956234869330081E-2</v>
      </c>
      <c r="J20" s="3087">
        <f t="shared" si="8"/>
        <v>3.956234869330081E-2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950.75</v>
      </c>
      <c r="D23" s="3087" t="s">
        <v>97</v>
      </c>
      <c r="E23" s="1938">
        <f t="shared" si="7"/>
        <v>66.10933466366086</v>
      </c>
      <c r="F23" s="1938">
        <f t="shared" si="5"/>
        <v>3.9459159037123808</v>
      </c>
      <c r="G23" s="1938">
        <f t="shared" si="5"/>
        <v>2.7200415939569234</v>
      </c>
      <c r="H23" s="3087">
        <f>IF(SUM(H31,H37)=0,"NO",SUM(H31,H37))</f>
        <v>62.853449931475559</v>
      </c>
      <c r="I23" s="3087">
        <f>IF(SUM(I31,I37)=0,"NO",SUM(I31,I37))</f>
        <v>3.7515795454545458E-3</v>
      </c>
      <c r="J23" s="3087">
        <f>IF(SUM(J31,J37)=0,"NO",SUM(J31,J37))</f>
        <v>2.5860795454545451E-3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78237.435727693257</v>
      </c>
      <c r="D25" s="3057" t="s">
        <v>97</v>
      </c>
      <c r="E25" s="615"/>
      <c r="F25" s="615"/>
      <c r="G25" s="615"/>
      <c r="H25" s="3057">
        <f>IF(SUM(H26:H30)=0,"NO",SUM(H26:H30))</f>
        <v>4623.8725658948006</v>
      </c>
      <c r="I25" s="3057">
        <f>IF(SUM(I26:I31)=0,"NO",SUM(I26:I31))</f>
        <v>8.9172376979454626E-2</v>
      </c>
      <c r="J25" s="3088">
        <f>IF(SUM(J26:J31)=0,"NO",SUM(J26:J31))</f>
        <v>8.9417113939653972E-2</v>
      </c>
      <c r="K25" s="3064" t="str">
        <f>IF(SUM(K26:K31)=0,"NO",SUM(K26:K31))</f>
        <v>NO</v>
      </c>
    </row>
    <row r="26" spans="2:11" ht="18" customHeight="1" x14ac:dyDescent="0.2">
      <c r="B26" s="282" t="s">
        <v>243</v>
      </c>
      <c r="C26" s="699">
        <v>31456.572165062375</v>
      </c>
      <c r="D26" s="3057" t="s">
        <v>97</v>
      </c>
      <c r="E26" s="1938">
        <f t="shared" ref="E26:E31" si="9">IFERROR(H26*1000/$C26,"NA")</f>
        <v>68.952394442820577</v>
      </c>
      <c r="F26" s="1938">
        <f t="shared" ref="F26:G31" si="10">IFERROR(I26*1000000/$C26,"NA")</f>
        <v>1.3878496159327334</v>
      </c>
      <c r="G26" s="1938">
        <f t="shared" si="10"/>
        <v>1.4536760541152227</v>
      </c>
      <c r="H26" s="699">
        <v>2169.005971744431</v>
      </c>
      <c r="I26" s="699">
        <v>4.3656991597842129E-2</v>
      </c>
      <c r="J26" s="699">
        <v>4.5727665700898625E-2</v>
      </c>
      <c r="K26" s="2921" t="s">
        <v>199</v>
      </c>
    </row>
    <row r="27" spans="2:11" ht="18" customHeight="1" x14ac:dyDescent="0.2">
      <c r="B27" s="282" t="s">
        <v>245</v>
      </c>
      <c r="C27" s="699">
        <v>2311.5300000000002</v>
      </c>
      <c r="D27" s="3057" t="s">
        <v>97</v>
      </c>
      <c r="E27" s="1938">
        <f t="shared" si="9"/>
        <v>92.964270418294376</v>
      </c>
      <c r="F27" s="1938">
        <f t="shared" si="10"/>
        <v>0.95238095238095222</v>
      </c>
      <c r="G27" s="1938">
        <f t="shared" si="10"/>
        <v>0.66666666666666674</v>
      </c>
      <c r="H27" s="699">
        <v>214.8897</v>
      </c>
      <c r="I27" s="699">
        <v>2.2014571428571428E-3</v>
      </c>
      <c r="J27" s="699">
        <v>1.5410200000000002E-3</v>
      </c>
      <c r="K27" s="2921" t="s">
        <v>199</v>
      </c>
    </row>
    <row r="28" spans="2:11" ht="18" customHeight="1" x14ac:dyDescent="0.2">
      <c r="B28" s="282" t="s">
        <v>246</v>
      </c>
      <c r="C28" s="699">
        <v>43518.583562630884</v>
      </c>
      <c r="D28" s="3057" t="s">
        <v>97</v>
      </c>
      <c r="E28" s="1938">
        <f t="shared" si="9"/>
        <v>51.471732551374274</v>
      </c>
      <c r="F28" s="1938">
        <f t="shared" si="10"/>
        <v>0.90909090909090928</v>
      </c>
      <c r="G28" s="1938">
        <f t="shared" si="10"/>
        <v>0.90909090909090928</v>
      </c>
      <c r="H28" s="699">
        <v>2239.9768941503694</v>
      </c>
      <c r="I28" s="699">
        <v>3.956234869330081E-2</v>
      </c>
      <c r="J28" s="699">
        <v>3.956234869330081E-2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950.75</v>
      </c>
      <c r="D31" s="3057" t="s">
        <v>97</v>
      </c>
      <c r="E31" s="1938">
        <f t="shared" si="9"/>
        <v>66.10933466366086</v>
      </c>
      <c r="F31" s="1938">
        <f t="shared" si="10"/>
        <v>3.9459159037123808</v>
      </c>
      <c r="G31" s="1938">
        <f t="shared" si="10"/>
        <v>2.7200415939569234</v>
      </c>
      <c r="H31" s="699">
        <v>62.853449931475559</v>
      </c>
      <c r="I31" s="699">
        <v>3.7515795454545458E-3</v>
      </c>
      <c r="J31" s="699">
        <v>2.5860795454545451E-3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218250.97758418747</v>
      </c>
      <c r="D38" s="3057" t="s">
        <v>97</v>
      </c>
      <c r="E38" s="615"/>
      <c r="F38" s="615"/>
      <c r="G38" s="615"/>
      <c r="H38" s="1938">
        <f>IF(SUM(H39:H43)=0,"NO",SUM(H39:H43))</f>
        <v>8077.2838236623229</v>
      </c>
      <c r="I38" s="1938">
        <f>IF(SUM(I39:I44)=0,"NO",SUM(I39:I44))</f>
        <v>48.474159424318358</v>
      </c>
      <c r="J38" s="1938">
        <f>IF(SUM(J39:J44)=0,"NO",SUM(J39:J44))</f>
        <v>0.25533842627288161</v>
      </c>
      <c r="K38" s="3064" t="str">
        <f>IF(SUM(K39:K44)=0,"NO",SUM(K39:K44))</f>
        <v>NO</v>
      </c>
    </row>
    <row r="39" spans="2:11" ht="18" customHeight="1" x14ac:dyDescent="0.2">
      <c r="B39" s="282" t="s">
        <v>243</v>
      </c>
      <c r="C39" s="3087">
        <f>IF(SUM(C47,C54)=0,"NO",SUM(C47,C54))</f>
        <v>19280.717584187412</v>
      </c>
      <c r="D39" s="3057" t="s">
        <v>97</v>
      </c>
      <c r="E39" s="1938">
        <f t="shared" ref="E39:E44" si="13">IFERROR(H39*1000/$C39,"NA")</f>
        <v>62.642422876194189</v>
      </c>
      <c r="F39" s="1938">
        <f t="shared" ref="F39:G44" si="14">IFERROR(I39*1000000/$C39,"NA")</f>
        <v>38.654031417388317</v>
      </c>
      <c r="G39" s="1938">
        <f t="shared" si="14"/>
        <v>0.57657466693596438</v>
      </c>
      <c r="H39" s="1938">
        <f>IF(SUM(H47,H54)=0,"NO",SUM(H47,H54))</f>
        <v>1207.7908642651412</v>
      </c>
      <c r="I39" s="1938">
        <f>IF(SUM(I47,I54)=0,"NO",SUM(I47,I54))</f>
        <v>0.74527746324897159</v>
      </c>
      <c r="J39" s="1938">
        <f>IF(SUM(J47,J54)=0,"NO",SUM(J47,J54))</f>
        <v>1.1116773319389249E-2</v>
      </c>
      <c r="K39" s="3064" t="str">
        <f>IF(SUM(K47,K54)=0,"NO",SUM(K47,K54))</f>
        <v>NO</v>
      </c>
    </row>
    <row r="40" spans="2:11" ht="18" customHeight="1" x14ac:dyDescent="0.2">
      <c r="B40" s="282" t="s">
        <v>245</v>
      </c>
      <c r="C40" s="3087">
        <f t="shared" ref="C40:C42" si="15">IF(SUM(C48,C55)=0,"NO",SUM(C48,C55))</f>
        <v>120.01</v>
      </c>
      <c r="D40" s="3057" t="s">
        <v>97</v>
      </c>
      <c r="E40" s="1938">
        <f t="shared" si="13"/>
        <v>92.888509290892443</v>
      </c>
      <c r="F40" s="1938">
        <f t="shared" si="14"/>
        <v>0.95238095238095233</v>
      </c>
      <c r="G40" s="1938">
        <f t="shared" si="14"/>
        <v>0.66666666666666674</v>
      </c>
      <c r="H40" s="1938">
        <f t="shared" ref="H40:K42" si="16">IF(SUM(H48,H55)=0,"NO",SUM(H48,H55))</f>
        <v>11.147550000000003</v>
      </c>
      <c r="I40" s="1938">
        <f t="shared" si="16"/>
        <v>1.1429523809523809E-4</v>
      </c>
      <c r="J40" s="1938">
        <f t="shared" si="16"/>
        <v>8.0006666666666674E-5</v>
      </c>
      <c r="K40" s="3064" t="str">
        <f t="shared" si="16"/>
        <v>NO</v>
      </c>
    </row>
    <row r="41" spans="2:11" ht="18" customHeight="1" x14ac:dyDescent="0.2">
      <c r="B41" s="282" t="s">
        <v>246</v>
      </c>
      <c r="C41" s="3087">
        <f t="shared" si="15"/>
        <v>133270.25000000003</v>
      </c>
      <c r="D41" s="3057" t="s">
        <v>97</v>
      </c>
      <c r="E41" s="1938">
        <f t="shared" si="13"/>
        <v>51.46193850013173</v>
      </c>
      <c r="F41" s="1938">
        <f t="shared" si="14"/>
        <v>0.90909090909090895</v>
      </c>
      <c r="G41" s="1938">
        <f t="shared" si="14"/>
        <v>0.90909090909090895</v>
      </c>
      <c r="H41" s="1938">
        <f t="shared" si="16"/>
        <v>6858.3454093971823</v>
      </c>
      <c r="I41" s="1938">
        <f t="shared" si="16"/>
        <v>0.12115477272727274</v>
      </c>
      <c r="J41" s="1938">
        <f t="shared" si="16"/>
        <v>0.12115477272727274</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65580.000000000015</v>
      </c>
      <c r="D44" s="3057" t="s">
        <v>97</v>
      </c>
      <c r="E44" s="1938">
        <f t="shared" si="13"/>
        <v>77.504818246595804</v>
      </c>
      <c r="F44" s="1938">
        <f t="shared" si="14"/>
        <v>725.94713164233008</v>
      </c>
      <c r="G44" s="1938">
        <f t="shared" si="14"/>
        <v>1.875371661475342</v>
      </c>
      <c r="H44" s="1938">
        <f>IF(SUM(H52,H58)=0,"NO",SUM(H52,H58))</f>
        <v>5082.7659806117535</v>
      </c>
      <c r="I44" s="1938">
        <f>IF(SUM(I52,I58)=0,"NO",SUM(I52,I58))</f>
        <v>47.607612893104019</v>
      </c>
      <c r="J44" s="1938">
        <f>IF(SUM(J52,J58)=0,"NO",SUM(J52,J58))</f>
        <v>0.12298687355955296</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214196.43000000005</v>
      </c>
      <c r="D46" s="3057" t="s">
        <v>97</v>
      </c>
      <c r="E46" s="615"/>
      <c r="F46" s="615"/>
      <c r="G46" s="615"/>
      <c r="H46" s="1938">
        <f>IF(SUM(H47:H51)=0,"NO",SUM(H47:H51))</f>
        <v>7798.9663623971828</v>
      </c>
      <c r="I46" s="1938">
        <f>IF(SUM(I47:I52)=0,"NO",SUM(I47:I52))</f>
        <v>47.744340859164623</v>
      </c>
      <c r="J46" s="1938">
        <f>IF(SUM(J47:J52)=0,"NO",SUM(J47:J52))</f>
        <v>0.25371660723920664</v>
      </c>
      <c r="K46" s="3064" t="str">
        <f>IF(SUM(K47:K52)=0,"NO",SUM(K47:K52))</f>
        <v>NO</v>
      </c>
    </row>
    <row r="47" spans="2:11" ht="18" customHeight="1" x14ac:dyDescent="0.2">
      <c r="B47" s="282" t="s">
        <v>243</v>
      </c>
      <c r="C47" s="699">
        <v>15226.170000000002</v>
      </c>
      <c r="D47" s="3057" t="s">
        <v>97</v>
      </c>
      <c r="E47" s="1938">
        <f t="shared" ref="E47:E52" si="17">IFERROR(H47*1000/$C47,"NA")</f>
        <v>61.044465088725524</v>
      </c>
      <c r="F47" s="1938">
        <f t="shared" ref="F47:G52" si="18">IFERROR(I47*1000000/$C47,"NA")</f>
        <v>1.0152847429943379</v>
      </c>
      <c r="G47" s="1938">
        <f t="shared" si="18"/>
        <v>0.6235943960769047</v>
      </c>
      <c r="H47" s="699">
        <v>929.47340300000008</v>
      </c>
      <c r="I47" s="699">
        <v>1.5458898095238101E-2</v>
      </c>
      <c r="J47" s="699">
        <v>9.4949542857142855E-3</v>
      </c>
      <c r="K47" s="2921" t="s">
        <v>199</v>
      </c>
    </row>
    <row r="48" spans="2:11" ht="18" customHeight="1" x14ac:dyDescent="0.2">
      <c r="B48" s="282" t="s">
        <v>245</v>
      </c>
      <c r="C48" s="699">
        <v>120.01</v>
      </c>
      <c r="D48" s="3057" t="s">
        <v>97</v>
      </c>
      <c r="E48" s="1938">
        <f t="shared" si="17"/>
        <v>92.888509290892443</v>
      </c>
      <c r="F48" s="1938">
        <f t="shared" si="18"/>
        <v>0.95238095238095233</v>
      </c>
      <c r="G48" s="1938">
        <f t="shared" si="18"/>
        <v>0.66666666666666674</v>
      </c>
      <c r="H48" s="699">
        <v>11.147550000000003</v>
      </c>
      <c r="I48" s="699">
        <v>1.1429523809523809E-4</v>
      </c>
      <c r="J48" s="699">
        <v>8.0006666666666674E-5</v>
      </c>
      <c r="K48" s="2921" t="s">
        <v>199</v>
      </c>
    </row>
    <row r="49" spans="2:11" ht="18" customHeight="1" x14ac:dyDescent="0.2">
      <c r="B49" s="282" t="s">
        <v>246</v>
      </c>
      <c r="C49" s="699">
        <v>133270.25000000003</v>
      </c>
      <c r="D49" s="3057" t="s">
        <v>97</v>
      </c>
      <c r="E49" s="1938">
        <f t="shared" si="17"/>
        <v>51.46193850013173</v>
      </c>
      <c r="F49" s="1938">
        <f t="shared" si="18"/>
        <v>0.90909090909090895</v>
      </c>
      <c r="G49" s="1938">
        <f t="shared" si="18"/>
        <v>0.90909090909090895</v>
      </c>
      <c r="H49" s="699">
        <v>6858.3454093971823</v>
      </c>
      <c r="I49" s="699">
        <v>0.12115477272727274</v>
      </c>
      <c r="J49" s="699">
        <v>0.12115477272727274</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65580.000000000015</v>
      </c>
      <c r="D52" s="3057" t="s">
        <v>97</v>
      </c>
      <c r="E52" s="1938">
        <f t="shared" si="17"/>
        <v>77.504818246595804</v>
      </c>
      <c r="F52" s="1938">
        <f t="shared" si="18"/>
        <v>725.94713164233008</v>
      </c>
      <c r="G52" s="1938">
        <f t="shared" si="18"/>
        <v>1.875371661475342</v>
      </c>
      <c r="H52" s="699">
        <v>5082.7659806117535</v>
      </c>
      <c r="I52" s="699">
        <v>47.607612893104019</v>
      </c>
      <c r="J52" s="699">
        <v>0.12298687355955296</v>
      </c>
      <c r="K52" s="2921" t="s">
        <v>199</v>
      </c>
    </row>
    <row r="53" spans="2:11" ht="18" customHeight="1" x14ac:dyDescent="0.2">
      <c r="B53" s="1241" t="s">
        <v>329</v>
      </c>
      <c r="C53" s="3057">
        <f>IF(SUM(C54:C58)=0,"NO",SUM(C54:C58))</f>
        <v>4054.547584187409</v>
      </c>
      <c r="D53" s="3057" t="s">
        <v>97</v>
      </c>
      <c r="E53" s="615"/>
      <c r="F53" s="615"/>
      <c r="G53" s="615"/>
      <c r="H53" s="3057">
        <f>IF(SUM(H54:H57)=0,"NO",SUM(H54:H57))</f>
        <v>278.31746126514116</v>
      </c>
      <c r="I53" s="3057">
        <f>IF(SUM(I54:I58)=0,"NO",SUM(I54:I58))</f>
        <v>0.72981856515373345</v>
      </c>
      <c r="J53" s="3057">
        <f>IF(SUM(J54:J58)=0,"NO",SUM(J54:J58))</f>
        <v>1.6218190336749635E-3</v>
      </c>
      <c r="K53" s="2931"/>
    </row>
    <row r="54" spans="2:11" ht="18" customHeight="1" x14ac:dyDescent="0.2">
      <c r="B54" s="282" t="s">
        <v>243</v>
      </c>
      <c r="C54" s="699">
        <v>4054.547584187409</v>
      </c>
      <c r="D54" s="3057" t="s">
        <v>97</v>
      </c>
      <c r="E54" s="1938">
        <f t="shared" ref="E54:E58" si="19">IFERROR(H54*1000/$C54,"NA")</f>
        <v>68.643283988223331</v>
      </c>
      <c r="F54" s="1938">
        <f t="shared" ref="F54:G58" si="20">IFERROR(I54*1000000/$C54,"NA")</f>
        <v>179.99999999999997</v>
      </c>
      <c r="G54" s="1938">
        <f t="shared" si="20"/>
        <v>0.39999999999999997</v>
      </c>
      <c r="H54" s="699">
        <v>278.31746126514116</v>
      </c>
      <c r="I54" s="699">
        <v>0.72981856515373345</v>
      </c>
      <c r="J54" s="699">
        <v>1.6218190336749635E-3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87860.299999999974</v>
      </c>
      <c r="D59" s="3057" t="s">
        <v>97</v>
      </c>
      <c r="E59" s="615"/>
      <c r="F59" s="615"/>
      <c r="G59" s="615"/>
      <c r="H59" s="1938">
        <f>IF(SUM(H60:H64)=0,"NO",SUM(H60:H64))</f>
        <v>6112.9214327645841</v>
      </c>
      <c r="I59" s="1938">
        <f>IF(SUM(I60:I65)=0,"NO",SUM(I60:I65))</f>
        <v>0.52394936883116883</v>
      </c>
      <c r="J59" s="1938">
        <f>IF(SUM(J60:J65)=0,"NO",SUM(J60:J65))</f>
        <v>0.31781143549783547</v>
      </c>
      <c r="K59" s="3064" t="str">
        <f>IF(SUM(K60:K65)=0,"NO",SUM(K60:K65))</f>
        <v>NO</v>
      </c>
    </row>
    <row r="60" spans="2:11" ht="18" customHeight="1" x14ac:dyDescent="0.2">
      <c r="B60" s="282" t="s">
        <v>243</v>
      </c>
      <c r="C60" s="1938">
        <f>IF(SUM(C67,C74:C77,C84:C87)=0,"NO",SUM(C67,C74:C77,C84:C87))</f>
        <v>87761.89999999998</v>
      </c>
      <c r="D60" s="3057" t="s">
        <v>97</v>
      </c>
      <c r="E60" s="1938">
        <f t="shared" ref="E60:E65" si="21">IFERROR(H60*1000/$C60,"NA")</f>
        <v>69.595832587945353</v>
      </c>
      <c r="F60" s="1938">
        <f t="shared" ref="F60:G65" si="22">IFERROR(I60*1000000/$C60,"NA")</f>
        <v>5.9691040677755884</v>
      </c>
      <c r="G60" s="1938">
        <f t="shared" si="22"/>
        <v>3.6202723613821144</v>
      </c>
      <c r="H60" s="1938">
        <f>IF(SUM(H67,H74:H77,H84:H87)=0,"NO",SUM(H67,H74:H77,H84:H87))</f>
        <v>6107.8625000000002</v>
      </c>
      <c r="I60" s="1938">
        <f>IF(SUM(I67,I74:I77,I84:I87)=0,"NO",SUM(I67,I74:I77,I84:I87))</f>
        <v>0.52385991428571432</v>
      </c>
      <c r="J60" s="1938">
        <f>IF(SUM(J67,J74:J77,J84:J87)=0,"NO",SUM(J67,J74:J77,J84:J87))</f>
        <v>0.31772198095238091</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98.400000000000034</v>
      </c>
      <c r="D62" s="3057" t="s">
        <v>97</v>
      </c>
      <c r="E62" s="1938">
        <f t="shared" si="21"/>
        <v>51.411918339265</v>
      </c>
      <c r="F62" s="1938">
        <f t="shared" si="22"/>
        <v>0.90909090909090917</v>
      </c>
      <c r="G62" s="1938">
        <f t="shared" si="22"/>
        <v>0.90909090909090917</v>
      </c>
      <c r="H62" s="1938">
        <f>IF(SUM(H69,H79,H89)=0,"NO",SUM(H69,H79,H89))</f>
        <v>5.0589327645836777</v>
      </c>
      <c r="I62" s="1938">
        <f>IF(SUM(I69,I79,I89)=0,"NO",SUM(I69,I79,I89))</f>
        <v>8.9454545454545491E-5</v>
      </c>
      <c r="J62" s="1938">
        <f>IF(SUM(J69,J79,J89)=0,"NO",SUM(J69,J79,J89))</f>
        <v>8.9454545454545491E-5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87860.299999999974</v>
      </c>
      <c r="D66" s="3057" t="s">
        <v>97</v>
      </c>
      <c r="E66" s="2135"/>
      <c r="F66" s="2135"/>
      <c r="G66" s="2135"/>
      <c r="H66" s="1938">
        <f>IF(SUM(H67:H71)=0,"NO",SUM(H67:H71))</f>
        <v>6112.9214327645841</v>
      </c>
      <c r="I66" s="1938">
        <f>IF(SUM(I67:I72)=0,"NO",SUM(I67:I72))</f>
        <v>0.52394936883116883</v>
      </c>
      <c r="J66" s="1938">
        <f>IF(SUM(J67:J72)=0,"NO",SUM(J67:J72))</f>
        <v>0.31781143549783547</v>
      </c>
      <c r="K66" s="3064" t="str">
        <f>IF(SUM(K67:K72)=0,"NO",SUM(K67:K72))</f>
        <v>NO</v>
      </c>
    </row>
    <row r="67" spans="2:11" ht="18" customHeight="1" x14ac:dyDescent="0.2">
      <c r="B67" s="282" t="s">
        <v>243</v>
      </c>
      <c r="C67" s="699">
        <v>87761.89999999998</v>
      </c>
      <c r="D67" s="3057" t="s">
        <v>97</v>
      </c>
      <c r="E67" s="1938">
        <f t="shared" ref="E67:E72" si="23">IFERROR(H67*1000/$C67,"NA")</f>
        <v>69.595832587945353</v>
      </c>
      <c r="F67" s="1938">
        <f t="shared" ref="F67:G72" si="24">IFERROR(I67*1000000/$C67,"NA")</f>
        <v>5.9691040677755884</v>
      </c>
      <c r="G67" s="1938">
        <f t="shared" si="24"/>
        <v>3.6202723613821144</v>
      </c>
      <c r="H67" s="699">
        <v>6107.8625000000002</v>
      </c>
      <c r="I67" s="699">
        <v>0.52385991428571432</v>
      </c>
      <c r="J67" s="699">
        <v>0.31772198095238091</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98.400000000000034</v>
      </c>
      <c r="D69" s="3057" t="s">
        <v>97</v>
      </c>
      <c r="E69" s="1938">
        <f t="shared" si="23"/>
        <v>51.411918339265</v>
      </c>
      <c r="F69" s="1938">
        <f t="shared" si="24"/>
        <v>0.90909090909090917</v>
      </c>
      <c r="G69" s="1938">
        <f t="shared" si="24"/>
        <v>0.90909090909090917</v>
      </c>
      <c r="H69" s="699">
        <v>5.0589327645836777</v>
      </c>
      <c r="I69" s="699">
        <v>8.9454545454545491E-5</v>
      </c>
      <c r="J69" s="699">
        <v>8.9454545454545491E-5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9278.5130278387005</v>
      </c>
      <c r="D93" s="3057" t="s">
        <v>97</v>
      </c>
      <c r="E93" s="2160"/>
      <c r="F93" s="2160"/>
      <c r="G93" s="2160"/>
      <c r="H93" s="3087">
        <f>IF(SUM(H94:H98)=0,"NO",SUM(H94:H98))</f>
        <v>645.81636822602309</v>
      </c>
      <c r="I93" s="3087">
        <f>IF(SUM(I94:I99)=0,"NO",SUM(I94:I99))</f>
        <v>2.195320945925101E-2</v>
      </c>
      <c r="J93" s="3091">
        <f>IF(SUM(J94:J99)=0,"NO",SUM(J94:J99))</f>
        <v>1.790403128715834E-2</v>
      </c>
      <c r="K93" s="442" t="str">
        <f>IF(SUM(K94:K99)=0,"NO",SUM(K94:K99))</f>
        <v>NO</v>
      </c>
    </row>
    <row r="94" spans="2:11" ht="18" customHeight="1" x14ac:dyDescent="0.2">
      <c r="B94" s="282" t="s">
        <v>243</v>
      </c>
      <c r="C94" s="1938">
        <f>IF(SUM(C102,C110)=0,"NO",SUM(C102,C110))</f>
        <v>9278.5130278387005</v>
      </c>
      <c r="D94" s="1938" t="s">
        <v>97</v>
      </c>
      <c r="E94" s="1938">
        <f t="shared" ref="E94:E99" si="32">IFERROR(H94*1000/$C94,"NA")</f>
        <v>69.603433900276244</v>
      </c>
      <c r="F94" s="1938">
        <f t="shared" ref="F94:G99" si="33">IFERROR(I94*1000000/$C94,"NA")</f>
        <v>2.3660266891239905</v>
      </c>
      <c r="G94" s="1938">
        <f t="shared" si="33"/>
        <v>1.9296229076189413</v>
      </c>
      <c r="H94" s="1938">
        <f t="shared" ref="H94:K97" si="34">IF(SUM(H102,H110)=0,"NO",SUM(H102,H110))</f>
        <v>645.81636822602309</v>
      </c>
      <c r="I94" s="1938">
        <f t="shared" si="34"/>
        <v>2.195320945925101E-2</v>
      </c>
      <c r="J94" s="1938">
        <f t="shared" si="34"/>
        <v>1.790403128715834E-2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9278.5130278387005</v>
      </c>
      <c r="D108" s="1938" t="s">
        <v>97</v>
      </c>
      <c r="E108" s="1957"/>
      <c r="F108" s="1957"/>
      <c r="G108" s="1957"/>
      <c r="H108" s="3057">
        <f>H109</f>
        <v>645.81636822602309</v>
      </c>
      <c r="I108" s="3057">
        <f>I109</f>
        <v>2.195320945925101E-2</v>
      </c>
      <c r="J108" s="3088">
        <f>J109</f>
        <v>1.790403128715834E-2</v>
      </c>
      <c r="K108" s="2931"/>
    </row>
    <row r="109" spans="2:11" ht="18" customHeight="1" x14ac:dyDescent="0.2">
      <c r="B109" s="3103" t="s">
        <v>339</v>
      </c>
      <c r="C109" s="3077">
        <f>IF(SUM(C110:C114)=0,"NO",SUM(C110:C114))</f>
        <v>9278.5130278387005</v>
      </c>
      <c r="D109" s="1938" t="s">
        <v>97</v>
      </c>
      <c r="E109" s="615"/>
      <c r="F109" s="615"/>
      <c r="G109" s="615"/>
      <c r="H109" s="3077">
        <f>IF(SUM(H110:H113)=0,"NO",SUM(H110:H113))</f>
        <v>645.81636822602309</v>
      </c>
      <c r="I109" s="3077">
        <f>IF(SUM(I110:I114)=0,"NO",SUM(I110:I114))</f>
        <v>2.195320945925101E-2</v>
      </c>
      <c r="J109" s="3077">
        <f>IF(SUM(J110:J114)=0,"NO",SUM(J110:J114))</f>
        <v>1.790403128715834E-2</v>
      </c>
      <c r="K109" s="2931"/>
    </row>
    <row r="110" spans="2:11" ht="18" customHeight="1" x14ac:dyDescent="0.2">
      <c r="B110" s="282" t="s">
        <v>243</v>
      </c>
      <c r="C110" s="699">
        <v>9278.5130278387005</v>
      </c>
      <c r="D110" s="1938" t="s">
        <v>97</v>
      </c>
      <c r="E110" s="1938">
        <f t="shared" ref="E110:E114" si="37">IFERROR(H110*1000/$C110,"NA")</f>
        <v>69.603433900276244</v>
      </c>
      <c r="F110" s="1938">
        <f t="shared" ref="F110:G114" si="38">IFERROR(I110*1000000/$C110,"NA")</f>
        <v>2.3660266891239905</v>
      </c>
      <c r="G110" s="1938">
        <f t="shared" si="38"/>
        <v>1.9296229076189413</v>
      </c>
      <c r="H110" s="699">
        <v>645.81636822602309</v>
      </c>
      <c r="I110" s="699">
        <v>2.195320945925101E-2</v>
      </c>
      <c r="J110" s="699">
        <v>1.790403128715834E-2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899683.08299999987</v>
      </c>
      <c r="G11" s="3326">
        <v>944969.82750000013</v>
      </c>
      <c r="H11" s="3326">
        <v>481949.70623199997</v>
      </c>
      <c r="I11" s="3346"/>
      <c r="J11" s="3326">
        <v>27700</v>
      </c>
      <c r="K11" s="3334">
        <f t="shared" ref="K11:K28" si="0">IF((SUM(F11:G11)-SUM(H11:J11))=0,"NO",(SUM(F11:G11)-SUM(H11:J11)))</f>
        <v>1335003.2042680001</v>
      </c>
      <c r="L11" s="2597">
        <f>IF(K11="NO","NA",1)</f>
        <v>1</v>
      </c>
      <c r="M11" s="5" t="s">
        <v>97</v>
      </c>
      <c r="N11" s="3334">
        <f>K11</f>
        <v>1335003.2042680001</v>
      </c>
      <c r="O11" s="3307">
        <v>18.980716253443529</v>
      </c>
      <c r="P11" s="3334">
        <f>IFERROR(N11*O11/1000,"NA")</f>
        <v>25339.31701764882</v>
      </c>
      <c r="Q11" s="3334" t="str">
        <f>'Table1.A(d)'!G11</f>
        <v>NA</v>
      </c>
      <c r="R11" s="3334">
        <f>IF(SUM(P11,-SUM(Q11))=0,"NO",SUM(P11,-SUM(Q11)))</f>
        <v>25339.31701764882</v>
      </c>
      <c r="S11" s="2597">
        <f>IF(R11="NO","NA",1)</f>
        <v>1</v>
      </c>
      <c r="T11" s="3340">
        <f>IF(R11="NO","NO",R11*S11*44/12)</f>
        <v>92910.829064712336</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149451.7255</v>
      </c>
      <c r="G13" s="3326" t="s">
        <v>199</v>
      </c>
      <c r="H13" s="3326" t="s">
        <v>199</v>
      </c>
      <c r="I13" s="3346"/>
      <c r="J13" s="3326" t="s">
        <v>199</v>
      </c>
      <c r="K13" s="3334">
        <f t="shared" si="0"/>
        <v>149451.7255</v>
      </c>
      <c r="L13" s="2597">
        <f t="shared" si="1"/>
        <v>1</v>
      </c>
      <c r="M13" s="5" t="s">
        <v>97</v>
      </c>
      <c r="N13" s="3334">
        <f t="shared" si="2"/>
        <v>149451.7255</v>
      </c>
      <c r="O13" s="3307">
        <v>16.247599298939448</v>
      </c>
      <c r="P13" s="3334">
        <f t="shared" si="3"/>
        <v>2428.231750459091</v>
      </c>
      <c r="Q13" s="3334" t="str">
        <f>'Table1.A(d)'!G13</f>
        <v>NA</v>
      </c>
      <c r="R13" s="3334">
        <f>IF(SUM(P13,-SUM(Q13))=0,"NO",SUM(P13,-SUM(Q13)))</f>
        <v>2428.231750459091</v>
      </c>
      <c r="S13" s="2597">
        <f t="shared" si="4"/>
        <v>1</v>
      </c>
      <c r="T13" s="3340">
        <f t="shared" si="5"/>
        <v>8903.5164183500001</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126080.11260000001</v>
      </c>
      <c r="H15" s="3326">
        <v>27226.500199999999</v>
      </c>
      <c r="I15" s="3326" t="s">
        <v>199</v>
      </c>
      <c r="J15" s="3326">
        <v>-911.32476639999595</v>
      </c>
      <c r="K15" s="3334">
        <f t="shared" si="0"/>
        <v>99764.937166400006</v>
      </c>
      <c r="L15" s="2597">
        <f>IF(K15="NO","NA",1)</f>
        <v>1</v>
      </c>
      <c r="M15" s="5" t="s">
        <v>97</v>
      </c>
      <c r="N15" s="3334">
        <f t="shared" si="2"/>
        <v>99764.937166400006</v>
      </c>
      <c r="O15" s="3307">
        <v>18.38405406586768</v>
      </c>
      <c r="P15" s="3334">
        <f t="shared" si="3"/>
        <v>1834.0839987449897</v>
      </c>
      <c r="Q15" s="3334" t="str">
        <f>'Table1.A(d)'!G15</f>
        <v>NA</v>
      </c>
      <c r="R15" s="3334">
        <f>IF(SUM(P15,-SUM(Q15))=0,"NO",SUM(P15,-SUM(Q15)))</f>
        <v>1834.0839987449897</v>
      </c>
      <c r="S15" s="2597">
        <f>IF(R15="NO","NA",1)</f>
        <v>1</v>
      </c>
      <c r="T15" s="3340">
        <f>IF(R15="NO","NO",R15*S15*44/12)</f>
        <v>6724.974662064963</v>
      </c>
    </row>
    <row r="16" spans="2:20" ht="18" customHeight="1" x14ac:dyDescent="0.2">
      <c r="B16" s="1730"/>
      <c r="C16" s="1570"/>
      <c r="D16" s="36" t="s">
        <v>293</v>
      </c>
      <c r="E16" s="2595" t="s">
        <v>374</v>
      </c>
      <c r="F16" s="3347"/>
      <c r="G16" s="3326">
        <v>30055.884799999996</v>
      </c>
      <c r="H16" s="3326">
        <v>4666.424</v>
      </c>
      <c r="I16" s="3326">
        <v>120600</v>
      </c>
      <c r="J16" s="3326">
        <v>2530.2954720000012</v>
      </c>
      <c r="K16" s="3334">
        <f t="shared" si="0"/>
        <v>-97740.834671999997</v>
      </c>
      <c r="L16" s="2597">
        <f t="shared" ref="L16:L28" si="6">IF(K16="NO","NA",1)</f>
        <v>1</v>
      </c>
      <c r="M16" s="5" t="s">
        <v>97</v>
      </c>
      <c r="N16" s="3334">
        <f t="shared" si="2"/>
        <v>-97740.834671999997</v>
      </c>
      <c r="O16" s="3307">
        <v>18.981818181818181</v>
      </c>
      <c r="P16" s="3334">
        <f t="shared" si="3"/>
        <v>-1855.2987526830543</v>
      </c>
      <c r="Q16" s="3334" t="str">
        <f>'Table1.A(d)'!G16</f>
        <v>NA</v>
      </c>
      <c r="R16" s="3334">
        <f t="shared" ref="R16:R44" si="7">IF(SUM(P16,-SUM(Q16))=0,"NO",SUM(P16,-SUM(Q16)))</f>
        <v>-1855.2987526830543</v>
      </c>
      <c r="S16" s="2597">
        <f t="shared" ref="S16:S28" si="8">IF(R16="NO","NA",1)</f>
        <v>1</v>
      </c>
      <c r="T16" s="3340">
        <f t="shared" ref="T16:T28" si="9">IF(R16="NO","NO",R16*S16*44/12)</f>
        <v>-6802.7620931711999</v>
      </c>
    </row>
    <row r="17" spans="2:20" ht="18" customHeight="1" x14ac:dyDescent="0.2">
      <c r="B17" s="1730"/>
      <c r="C17" s="1570"/>
      <c r="D17" s="36" t="s">
        <v>379</v>
      </c>
      <c r="E17" s="2595" t="s">
        <v>374</v>
      </c>
      <c r="F17" s="3346"/>
      <c r="G17" s="3326" t="s">
        <v>199</v>
      </c>
      <c r="H17" s="3326" t="s">
        <v>199</v>
      </c>
      <c r="I17" s="3326" t="s">
        <v>199</v>
      </c>
      <c r="J17" s="3326">
        <v>6.7763519999999602</v>
      </c>
      <c r="K17" s="3334">
        <f t="shared" si="0"/>
        <v>-6.7763519999999602</v>
      </c>
      <c r="L17" s="2597">
        <f t="shared" si="6"/>
        <v>1</v>
      </c>
      <c r="M17" s="5" t="s">
        <v>97</v>
      </c>
      <c r="N17" s="3334">
        <f t="shared" si="2"/>
        <v>-6.7763519999999602</v>
      </c>
      <c r="O17" s="3307">
        <v>18.790909090909089</v>
      </c>
      <c r="P17" s="3334">
        <f t="shared" si="3"/>
        <v>-0.12733381439999925</v>
      </c>
      <c r="Q17" s="3334" t="str">
        <f>'Table1.A(d)'!G17</f>
        <v>NA</v>
      </c>
      <c r="R17" s="3334">
        <f t="shared" si="7"/>
        <v>-0.12733381439999925</v>
      </c>
      <c r="S17" s="2597">
        <f t="shared" si="8"/>
        <v>1</v>
      </c>
      <c r="T17" s="3340">
        <f t="shared" si="9"/>
        <v>-0.46689065279999725</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236321.89939999999</v>
      </c>
      <c r="H19" s="3326">
        <v>16165.680000000002</v>
      </c>
      <c r="I19" s="3326">
        <v>9000.0000000000018</v>
      </c>
      <c r="J19" s="3326">
        <v>4395.3828600000015</v>
      </c>
      <c r="K19" s="3334">
        <f t="shared" si="0"/>
        <v>206760.83653999999</v>
      </c>
      <c r="L19" s="2597">
        <f t="shared" si="6"/>
        <v>1</v>
      </c>
      <c r="M19" s="5" t="s">
        <v>97</v>
      </c>
      <c r="N19" s="3334">
        <f t="shared" si="2"/>
        <v>206760.83653999999</v>
      </c>
      <c r="O19" s="3307">
        <v>19.06363636363637</v>
      </c>
      <c r="P19" s="3334">
        <f t="shared" si="3"/>
        <v>3941.6134020398194</v>
      </c>
      <c r="Q19" s="3334" t="str">
        <f>'Table1.A(d)'!G19</f>
        <v>NA</v>
      </c>
      <c r="R19" s="3334">
        <f t="shared" si="7"/>
        <v>3941.6134020398194</v>
      </c>
      <c r="S19" s="2597">
        <f t="shared" si="8"/>
        <v>1</v>
      </c>
      <c r="T19" s="3340">
        <f t="shared" si="9"/>
        <v>14452.582474146004</v>
      </c>
    </row>
    <row r="20" spans="2:20" ht="18" customHeight="1" x14ac:dyDescent="0.2">
      <c r="B20" s="1730"/>
      <c r="C20" s="1570"/>
      <c r="D20" s="36" t="s">
        <v>306</v>
      </c>
      <c r="E20" s="2595" t="s">
        <v>374</v>
      </c>
      <c r="F20" s="3346"/>
      <c r="G20" s="3326">
        <v>57856.072799999994</v>
      </c>
      <c r="H20" s="3326">
        <v>19437.000899999999</v>
      </c>
      <c r="I20" s="3326">
        <v>34400</v>
      </c>
      <c r="J20" s="3326">
        <v>307.82653199999976</v>
      </c>
      <c r="K20" s="3334">
        <f t="shared" si="0"/>
        <v>3711.2453679999962</v>
      </c>
      <c r="L20" s="2597">
        <f t="shared" si="6"/>
        <v>1</v>
      </c>
      <c r="M20" s="5" t="s">
        <v>97</v>
      </c>
      <c r="N20" s="3334">
        <f t="shared" si="2"/>
        <v>3711.2453679999962</v>
      </c>
      <c r="O20" s="3307">
        <v>20.072727272727271</v>
      </c>
      <c r="P20" s="3334">
        <f t="shared" si="3"/>
        <v>74.494816114036283</v>
      </c>
      <c r="Q20" s="3334" t="str">
        <f>'Table1.A(d)'!G20</f>
        <v>NA</v>
      </c>
      <c r="R20" s="3334">
        <f t="shared" si="7"/>
        <v>74.494816114036283</v>
      </c>
      <c r="S20" s="2597">
        <f t="shared" si="8"/>
        <v>1</v>
      </c>
      <c r="T20" s="3340">
        <f t="shared" si="9"/>
        <v>273.14765908479973</v>
      </c>
    </row>
    <row r="21" spans="2:20" ht="18" customHeight="1" x14ac:dyDescent="0.2">
      <c r="B21" s="1730"/>
      <c r="C21" s="1570"/>
      <c r="D21" s="36" t="s">
        <v>283</v>
      </c>
      <c r="E21" s="2595" t="s">
        <v>374</v>
      </c>
      <c r="F21" s="3346"/>
      <c r="G21" s="3326">
        <v>15874.162499999999</v>
      </c>
      <c r="H21" s="3326">
        <v>73627.62232580001</v>
      </c>
      <c r="I21" s="3346"/>
      <c r="J21" s="3326">
        <v>-54900</v>
      </c>
      <c r="K21" s="3334">
        <f t="shared" si="0"/>
        <v>-2853.4598258000115</v>
      </c>
      <c r="L21" s="2597">
        <f t="shared" si="6"/>
        <v>1</v>
      </c>
      <c r="M21" s="5" t="s">
        <v>97</v>
      </c>
      <c r="N21" s="3334">
        <f t="shared" si="2"/>
        <v>-2853.4598258000115</v>
      </c>
      <c r="O21" s="3307">
        <v>16.418181818181822</v>
      </c>
      <c r="P21" s="3334">
        <f t="shared" si="3"/>
        <v>-46.848622230862013</v>
      </c>
      <c r="Q21" s="3334" t="str">
        <f>'Table1.A(d)'!G21</f>
        <v>NA</v>
      </c>
      <c r="R21" s="3334">
        <f t="shared" si="7"/>
        <v>-46.848622230862013</v>
      </c>
      <c r="S21" s="2597">
        <f t="shared" si="8"/>
        <v>1</v>
      </c>
      <c r="T21" s="3340">
        <f t="shared" si="9"/>
        <v>-171.77828151316069</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349.7925580909091</v>
      </c>
      <c r="R22" s="3334">
        <f t="shared" si="7"/>
        <v>-349.7925580909091</v>
      </c>
      <c r="S22" s="2597">
        <f t="shared" si="8"/>
        <v>1</v>
      </c>
      <c r="T22" s="3340">
        <f t="shared" si="9"/>
        <v>-1282.572713</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16273.928000000002</v>
      </c>
      <c r="H24" s="3326" t="s">
        <v>199</v>
      </c>
      <c r="I24" s="3346"/>
      <c r="J24" s="3326">
        <v>327.28559360000008</v>
      </c>
      <c r="K24" s="3334">
        <f t="shared" si="0"/>
        <v>15946.642406400002</v>
      </c>
      <c r="L24" s="2597">
        <f t="shared" si="6"/>
        <v>1</v>
      </c>
      <c r="M24" s="5" t="s">
        <v>97</v>
      </c>
      <c r="N24" s="3334">
        <f t="shared" si="2"/>
        <v>15946.642406400002</v>
      </c>
      <c r="O24" s="3307">
        <v>22.009090909090911</v>
      </c>
      <c r="P24" s="3334">
        <f t="shared" si="3"/>
        <v>350.97110241722186</v>
      </c>
      <c r="Q24" s="3334">
        <f>'Table1.A(d)'!G24</f>
        <v>779.72266636363634</v>
      </c>
      <c r="R24" s="3334">
        <f t="shared" si="7"/>
        <v>-428.75156394641448</v>
      </c>
      <c r="S24" s="2597">
        <f t="shared" si="8"/>
        <v>1</v>
      </c>
      <c r="T24" s="3340">
        <f t="shared" si="9"/>
        <v>-1572.0890678035196</v>
      </c>
    </row>
    <row r="25" spans="2:20" ht="18" customHeight="1" x14ac:dyDescent="0.2">
      <c r="B25" s="1730"/>
      <c r="C25" s="1570"/>
      <c r="D25" s="36" t="s">
        <v>297</v>
      </c>
      <c r="E25" s="2595" t="s">
        <v>374</v>
      </c>
      <c r="F25" s="3346"/>
      <c r="G25" s="3326">
        <v>14411.057199999997</v>
      </c>
      <c r="H25" s="3326">
        <v>7733.1891999999989</v>
      </c>
      <c r="I25" s="3326" t="s">
        <v>199</v>
      </c>
      <c r="J25" s="3326">
        <v>-1003.8042854000005</v>
      </c>
      <c r="K25" s="3334">
        <f t="shared" si="0"/>
        <v>7681.6722853999991</v>
      </c>
      <c r="L25" s="2597">
        <f t="shared" si="6"/>
        <v>1</v>
      </c>
      <c r="M25" s="5" t="s">
        <v>97</v>
      </c>
      <c r="N25" s="3334">
        <f t="shared" si="2"/>
        <v>7681.6722853999991</v>
      </c>
      <c r="O25" s="3307">
        <v>18.991363636363641</v>
      </c>
      <c r="P25" s="3334">
        <f t="shared" si="3"/>
        <v>145.88543170740792</v>
      </c>
      <c r="Q25" s="3334">
        <f>'Table1.A(d)'!G25</f>
        <v>332.38304809090914</v>
      </c>
      <c r="R25" s="3334">
        <f t="shared" si="7"/>
        <v>-186.49761638350122</v>
      </c>
      <c r="S25" s="2597">
        <f t="shared" si="8"/>
        <v>1</v>
      </c>
      <c r="T25" s="3340">
        <f t="shared" si="9"/>
        <v>-683.82459340617118</v>
      </c>
    </row>
    <row r="26" spans="2:20" ht="18" customHeight="1" x14ac:dyDescent="0.2">
      <c r="B26" s="1730"/>
      <c r="C26" s="1570"/>
      <c r="D26" s="36" t="s">
        <v>384</v>
      </c>
      <c r="E26" s="2595" t="s">
        <v>374</v>
      </c>
      <c r="F26" s="3346"/>
      <c r="G26" s="3326">
        <v>15959.345707574992</v>
      </c>
      <c r="H26" s="3326" t="s">
        <v>199</v>
      </c>
      <c r="I26" s="3346"/>
      <c r="J26" s="3326" t="s">
        <v>199</v>
      </c>
      <c r="K26" s="3334">
        <f t="shared" si="0"/>
        <v>15959.345707574992</v>
      </c>
      <c r="L26" s="2597">
        <f t="shared" si="6"/>
        <v>1</v>
      </c>
      <c r="M26" s="5" t="s">
        <v>97</v>
      </c>
      <c r="N26" s="3334">
        <f t="shared" si="2"/>
        <v>15959.345707574992</v>
      </c>
      <c r="O26" s="3307">
        <v>25.26136363636364</v>
      </c>
      <c r="P26" s="3334">
        <f t="shared" si="3"/>
        <v>403.15483531749101</v>
      </c>
      <c r="Q26" s="3334">
        <f>'Table1.A(d)'!G26</f>
        <v>403.15483531749089</v>
      </c>
      <c r="R26" s="3334">
        <f t="shared" si="7"/>
        <v>1.1368683772161603E-13</v>
      </c>
      <c r="S26" s="2597">
        <f t="shared" si="8"/>
        <v>1</v>
      </c>
      <c r="T26" s="3340">
        <f t="shared" si="9"/>
        <v>4.1685173831259209E-13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4769.1199999999981</v>
      </c>
      <c r="H28" s="3326">
        <v>2131.9999999999995</v>
      </c>
      <c r="I28" s="3346"/>
      <c r="J28" s="3326">
        <v>270.29577220000033</v>
      </c>
      <c r="K28" s="3334">
        <f t="shared" si="0"/>
        <v>2366.824227799998</v>
      </c>
      <c r="L28" s="2597">
        <f t="shared" si="6"/>
        <v>1</v>
      </c>
      <c r="M28" s="5" t="s">
        <v>97</v>
      </c>
      <c r="N28" s="3334">
        <f t="shared" si="2"/>
        <v>2366.824227799998</v>
      </c>
      <c r="O28" s="3307">
        <v>19.041545652204078</v>
      </c>
      <c r="P28" s="3334">
        <f t="shared" si="3"/>
        <v>45.067991584396324</v>
      </c>
      <c r="Q28" s="3334">
        <f>'Table1.A(d)'!G28</f>
        <v>495.97485593454547</v>
      </c>
      <c r="R28" s="3334">
        <f t="shared" si="7"/>
        <v>-450.90686435014914</v>
      </c>
      <c r="S28" s="2597">
        <f t="shared" si="8"/>
        <v>1</v>
      </c>
      <c r="T28" s="3340">
        <f t="shared" si="9"/>
        <v>-1653.3251692838803</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1736045.3626197751</v>
      </c>
      <c r="O31" s="3329"/>
      <c r="P31" s="3336">
        <f>SUM(P11:P29)</f>
        <v>32660.54563730496</v>
      </c>
      <c r="Q31" s="3336">
        <f>SUM(Q11:Q29)</f>
        <v>2361.0279637974909</v>
      </c>
      <c r="R31" s="3334">
        <f t="shared" si="7"/>
        <v>30299.517673507471</v>
      </c>
      <c r="S31" s="2598"/>
      <c r="T31" s="3342">
        <f>SUM(T11:T29)</f>
        <v>111098.23146952738</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8151489.436767824</v>
      </c>
      <c r="G35" s="3326" t="s">
        <v>199</v>
      </c>
      <c r="H35" s="3326">
        <v>6581800</v>
      </c>
      <c r="I35" s="3326" t="s">
        <v>199</v>
      </c>
      <c r="J35" s="3326">
        <v>-12800</v>
      </c>
      <c r="K35" s="3334">
        <f t="shared" si="10"/>
        <v>1582489.436767824</v>
      </c>
      <c r="L35" s="2597">
        <f t="shared" si="11"/>
        <v>1</v>
      </c>
      <c r="M35" s="55" t="s">
        <v>97</v>
      </c>
      <c r="N35" s="3334">
        <f t="shared" si="12"/>
        <v>1582489.436767824</v>
      </c>
      <c r="O35" s="3307">
        <v>23.70446585923434</v>
      </c>
      <c r="P35" s="3334">
        <f t="shared" si="13"/>
        <v>37512.066826461865</v>
      </c>
      <c r="Q35" s="3334">
        <f>'Table1.A(d)'!G35</f>
        <v>784.43851647245594</v>
      </c>
      <c r="R35" s="3334">
        <f t="shared" si="7"/>
        <v>36727.628309989406</v>
      </c>
      <c r="S35" s="2597">
        <f t="shared" si="14"/>
        <v>1</v>
      </c>
      <c r="T35" s="3340">
        <f t="shared" si="15"/>
        <v>134667.97046996115</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663779.63504273503</v>
      </c>
      <c r="G37" s="3326" t="s">
        <v>199</v>
      </c>
      <c r="H37" s="3326" t="s">
        <v>199</v>
      </c>
      <c r="I37" s="3346"/>
      <c r="J37" s="3326">
        <v>-6400</v>
      </c>
      <c r="K37" s="3334">
        <f t="shared" si="10"/>
        <v>670179.63504273503</v>
      </c>
      <c r="L37" s="2597">
        <f t="shared" si="11"/>
        <v>1</v>
      </c>
      <c r="M37" s="55" t="s">
        <v>97</v>
      </c>
      <c r="N37" s="3334">
        <f t="shared" si="12"/>
        <v>670179.63504273503</v>
      </c>
      <c r="O37" s="3307">
        <v>27.315364533882661</v>
      </c>
      <c r="P37" s="3334">
        <f t="shared" si="13"/>
        <v>18306.201034376751</v>
      </c>
      <c r="Q37" s="3334" t="str">
        <f>'Table1.A(d)'!G37</f>
        <v>NO</v>
      </c>
      <c r="R37" s="3334">
        <f t="shared" si="7"/>
        <v>18306.201034376751</v>
      </c>
      <c r="S37" s="2597">
        <f t="shared" si="14"/>
        <v>1</v>
      </c>
      <c r="T37" s="3340">
        <f t="shared" si="15"/>
        <v>67122.737126048087</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1500</v>
      </c>
      <c r="H41" s="3326" t="s">
        <v>199</v>
      </c>
      <c r="I41" s="3346"/>
      <c r="J41" s="3326">
        <v>18900</v>
      </c>
      <c r="K41" s="3334">
        <f t="shared" si="16"/>
        <v>-17400</v>
      </c>
      <c r="L41" s="2597">
        <f t="shared" si="17"/>
        <v>1</v>
      </c>
      <c r="M41" s="55" t="s">
        <v>97</v>
      </c>
      <c r="N41" s="3334">
        <f t="shared" si="18"/>
        <v>-17400</v>
      </c>
      <c r="O41" s="3307">
        <v>29.672190875712001</v>
      </c>
      <c r="P41" s="3334">
        <f t="shared" si="19"/>
        <v>-516.29612123738877</v>
      </c>
      <c r="Q41" s="3334">
        <f>'Table1.A(d)'!G41</f>
        <v>2053.8844095675745</v>
      </c>
      <c r="R41" s="3334">
        <f t="shared" si="7"/>
        <v>-2570.1805308049634</v>
      </c>
      <c r="S41" s="2597">
        <f t="shared" si="20"/>
        <v>1</v>
      </c>
      <c r="T41" s="3340">
        <f t="shared" si="21"/>
        <v>-9423.9952796181988</v>
      </c>
    </row>
    <row r="42" spans="2:20" ht="18" customHeight="1" x14ac:dyDescent="0.2">
      <c r="B42" s="1730"/>
      <c r="C42" s="1571"/>
      <c r="D42" s="31" t="s">
        <v>398</v>
      </c>
      <c r="E42" s="2595" t="s">
        <v>374</v>
      </c>
      <c r="F42" s="3346"/>
      <c r="G42" s="3326" t="s">
        <v>199</v>
      </c>
      <c r="H42" s="3326" t="s">
        <v>199</v>
      </c>
      <c r="I42" s="3346"/>
      <c r="J42" s="3326">
        <v>-3900</v>
      </c>
      <c r="K42" s="3334">
        <f t="shared" si="16"/>
        <v>3900</v>
      </c>
      <c r="L42" s="2597">
        <f t="shared" si="17"/>
        <v>1</v>
      </c>
      <c r="M42" s="55" t="s">
        <v>97</v>
      </c>
      <c r="N42" s="3334">
        <f t="shared" si="18"/>
        <v>3900</v>
      </c>
      <c r="O42" s="3307">
        <v>22.309090909090909</v>
      </c>
      <c r="P42" s="3334">
        <f t="shared" si="19"/>
        <v>87.00545454545454</v>
      </c>
      <c r="Q42" s="3334">
        <f>'Table1.A(d)'!G42</f>
        <v>187.11276402310813</v>
      </c>
      <c r="R42" s="3334">
        <f t="shared" si="7"/>
        <v>-100.10730947765359</v>
      </c>
      <c r="S42" s="2597">
        <f t="shared" si="20"/>
        <v>1</v>
      </c>
      <c r="T42" s="3340">
        <f t="shared" si="21"/>
        <v>-367.06013475139645</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2239169.0718105589</v>
      </c>
      <c r="O45" s="3329"/>
      <c r="P45" s="3336">
        <f>SUM(P33:P43)</f>
        <v>55388.977194146682</v>
      </c>
      <c r="Q45" s="3336">
        <f>SUM(Q33:Q43)</f>
        <v>3025.4356900631383</v>
      </c>
      <c r="R45" s="3336">
        <f>SUM(R33:R43)</f>
        <v>52363.541504083536</v>
      </c>
      <c r="S45" s="41"/>
      <c r="T45" s="3342">
        <f>SUM(T33:T43)</f>
        <v>191999.65218163966</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1754109.9829504734</v>
      </c>
      <c r="G47" s="3326">
        <v>51800</v>
      </c>
      <c r="H47" s="3326">
        <v>654400</v>
      </c>
      <c r="I47" s="3326" t="s">
        <v>199</v>
      </c>
      <c r="J47" s="3326">
        <v>94125.270055663466</v>
      </c>
      <c r="K47" s="3334">
        <f t="shared" ref="K47" si="22">IF((SUM(F47:G47)-SUM(H47:J47))=0,"NO",(SUM(F47:G47)-SUM(H47:J47)))</f>
        <v>1057384.7128948099</v>
      </c>
      <c r="L47" s="2597">
        <f t="shared" ref="L47" si="23">IF(K47="NO","NA",1)</f>
        <v>1</v>
      </c>
      <c r="M47" s="55" t="s">
        <v>97</v>
      </c>
      <c r="N47" s="3334">
        <f t="shared" ref="N47" si="24">K47</f>
        <v>1057384.7128948099</v>
      </c>
      <c r="O47" s="3307">
        <v>14.07068124645774</v>
      </c>
      <c r="P47" s="3334">
        <f t="shared" ref="P47" si="25">IFERROR(N47*O47/1000,"NA")</f>
        <v>14878.123250020104</v>
      </c>
      <c r="Q47" s="3334">
        <f>'Table1.A(d)'!G47</f>
        <v>596.51841208831001</v>
      </c>
      <c r="R47" s="3334">
        <f t="shared" ref="R47" si="26">IF(SUM(P47,-SUM(Q47))=0,"NO",SUM(P47,-SUM(Q47)))</f>
        <v>14281.604837931794</v>
      </c>
      <c r="S47" s="2597">
        <f t="shared" ref="S47" si="27">IF(R47="NO","NA",1)</f>
        <v>1</v>
      </c>
      <c r="T47" s="3340">
        <f t="shared" ref="T47" si="28">IF(R47="NO","NO",R47*S47*44/12)</f>
        <v>52365.884405749908</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1057384.7128948099</v>
      </c>
      <c r="O50" s="3331"/>
      <c r="P50" s="3336">
        <f>SUM(P47:P48)</f>
        <v>14878.123250020104</v>
      </c>
      <c r="Q50" s="3336">
        <f>SUM(Q47:Q48)</f>
        <v>596.51841208831001</v>
      </c>
      <c r="R50" s="3336">
        <f>SUM(R47:R48)</f>
        <v>14281.604837931794</v>
      </c>
      <c r="S50" s="2379"/>
      <c r="T50" s="3342">
        <f>SUM(T47:T48)</f>
        <v>52365.884405749908</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5032599.1473251432</v>
      </c>
      <c r="O55" s="3332"/>
      <c r="P55" s="3338">
        <f>SUM(P31,P45,P50,P54)</f>
        <v>102927.64608147174</v>
      </c>
      <c r="Q55" s="3338">
        <f>SUM(Q31,Q45,Q50,Q54)</f>
        <v>5982.9820659489396</v>
      </c>
      <c r="R55" s="3338">
        <f>SUM(R31,R45,R50,R54)</f>
        <v>96944.664015522794</v>
      </c>
      <c r="S55" s="2399"/>
      <c r="T55" s="3344">
        <f>SUM(T31,T45,T50,T54)</f>
        <v>355463.76805691695</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1736.045362619775</v>
      </c>
      <c r="D10" s="4127">
        <f>C10-'Table1.A(d)'!E31/1000</f>
        <v>1615.7520222359287</v>
      </c>
      <c r="E10" s="4126">
        <f>'Table1.A(b)'!T31</f>
        <v>111098.23146952738</v>
      </c>
      <c r="F10" s="4126">
        <f>'Table1.A(a)s1'!C11/1000</f>
        <v>1666.1286622196828</v>
      </c>
      <c r="G10" s="4126">
        <f>'Table1.A(a)s1'!H11</f>
        <v>113473.31618190855</v>
      </c>
      <c r="H10" s="4126">
        <f>100*((D10-F10)/F10)</f>
        <v>-3.023574416914498</v>
      </c>
      <c r="I10" s="4128">
        <f>100*((E10-G10)/G10)</f>
        <v>-2.0930777316613201</v>
      </c>
      <c r="L10"/>
    </row>
    <row r="11" spans="2:12" ht="18" customHeight="1" x14ac:dyDescent="0.2">
      <c r="B11" s="50" t="s">
        <v>430</v>
      </c>
      <c r="C11" s="4126">
        <f>'Table1.A(b)'!N45/1000</f>
        <v>2239.1690718105588</v>
      </c>
      <c r="D11" s="4126">
        <f>C11-'Table1.A(d)'!E45/1000</f>
        <v>2129.13238856006</v>
      </c>
      <c r="E11" s="4126">
        <f>'Table1.A(b)'!T45</f>
        <v>191999.65218163966</v>
      </c>
      <c r="F11" s="4126">
        <f>'Table1.A(a)s1'!C12/1000</f>
        <v>2146.2531791013575</v>
      </c>
      <c r="G11" s="4126">
        <f>'Table1.A(a)s1'!H12</f>
        <v>193584.25920580651</v>
      </c>
      <c r="H11" s="4126">
        <f t="shared" ref="H11:H13" si="0">100*((D11-F11)/F11)</f>
        <v>-0.79770600728782914</v>
      </c>
      <c r="I11" s="4128">
        <f t="shared" ref="I11:I13" si="1">100*((E11-G11)/G11)</f>
        <v>-0.81856191751737195</v>
      </c>
      <c r="L11"/>
    </row>
    <row r="12" spans="2:12" ht="18" customHeight="1" x14ac:dyDescent="0.2">
      <c r="B12" s="50" t="s">
        <v>431</v>
      </c>
      <c r="C12" s="4126">
        <f>'Table1.A(b)'!N50/1000</f>
        <v>1057.3847128948098</v>
      </c>
      <c r="D12" s="4126">
        <f>C12-'Table1.A(d)'!E50/1000</f>
        <v>1014.8413834818967</v>
      </c>
      <c r="E12" s="4126">
        <f>'Table1.A(b)'!T50</f>
        <v>52365.884405749908</v>
      </c>
      <c r="F12" s="4126">
        <f>'Table1.A(a)s1'!C13/1000</f>
        <v>1019.8477053545405</v>
      </c>
      <c r="G12" s="4126">
        <f>'Table1.A(a)s1'!H13</f>
        <v>52529.558926720892</v>
      </c>
      <c r="H12" s="4126">
        <f t="shared" si="0"/>
        <v>-0.4908891637799343</v>
      </c>
      <c r="I12" s="4128">
        <f t="shared" si="1"/>
        <v>-0.31158556118720016</v>
      </c>
      <c r="L12"/>
    </row>
    <row r="13" spans="2:12" ht="18" customHeight="1" x14ac:dyDescent="0.2">
      <c r="B13" s="50" t="s">
        <v>432</v>
      </c>
      <c r="C13" s="4126">
        <f>'Table1.A(b)'!N54/1000</f>
        <v>0</v>
      </c>
      <c r="D13" s="4126">
        <f>C13-SUM('Table1.A(d)'!E54)/1000</f>
        <v>0</v>
      </c>
      <c r="E13" s="4126">
        <f>'Table1.A(b)'!T54</f>
        <v>0</v>
      </c>
      <c r="F13" s="4126">
        <f>'Table1.A(a)s1'!C14/1000</f>
        <v>6.9187284571499355</v>
      </c>
      <c r="G13" s="4126">
        <f>'Table1.A(a)s1'!H14</f>
        <v>622.37279590909031</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5032.5991473251433</v>
      </c>
      <c r="D15" s="4196">
        <f>SUM(D10:D14)</f>
        <v>4759.7257942778851</v>
      </c>
      <c r="E15" s="4196">
        <f>SUM(E10:E14)</f>
        <v>355463.76805691695</v>
      </c>
      <c r="F15" s="4196">
        <f>SUM(F10:F14)</f>
        <v>4839.1482751327303</v>
      </c>
      <c r="G15" s="4196">
        <f>SUM(G10:G14)</f>
        <v>360209.50711034506</v>
      </c>
      <c r="H15" s="4197">
        <f t="shared" ref="H15" si="2">100*((D15-F15)/F15)</f>
        <v>-1.641249169052724</v>
      </c>
      <c r="I15" s="4198">
        <f t="shared" ref="I15" si="3">100*((E15-G15)/G15)</f>
        <v>-1.3174941137726066</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openxmlformats.org/package/2006/metadata/core-properties"/>
    <ds:schemaRef ds:uri="http://schemas.microsoft.com/office/2006/documentManagement/types"/>
    <ds:schemaRef ds:uri="f3ac41a9-262d-4755-bd43-8a680e000c6c"/>
    <ds:schemaRef ds:uri="81c01dc6-2c49-4730-b140-874c95cac377"/>
    <ds:schemaRef ds:uri="http://purl.org/dc/elements/1.1/"/>
    <ds:schemaRef ds:uri="http://schemas.microsoft.com/office/2006/metadata/properties"/>
    <ds:schemaRef ds:uri="3c3f7c97-9070-4768-a3ac-fb4f4af74aa6"/>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2024-04-12T00:58:24Z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y fmtid="{D5CDD505-2E9C-101B-9397-08002B2CF9AE}" pid="14" name="SV_QUERY_LIST_4F35BF76-6C0D-4D9B-82B2-816C12CF3733">
    <vt:lpwstr>empty_477D106A-C0D6-4607-AEBD-E2C9D60EA279</vt:lpwstr>
  </property>
  <property fmtid="{D5CDD505-2E9C-101B-9397-08002B2CF9AE}" pid="15" name="SV_HIDDEN_GRID_QUERY_LIST_4F35BF76-6C0D-4D9B-82B2-816C12CF3733">
    <vt:lpwstr>empty_477D106A-C0D6-4607-AEBD-E2C9D60EA279</vt:lpwstr>
  </property>
</Properties>
</file>